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comments6.xml" ContentType="application/vnd.openxmlformats-officedocument.spreadsheetml.comments+xml"/>
  <Override PartName="/xl/drawings/drawing5.xml" ContentType="application/vnd.openxmlformats-officedocument.drawing+xml"/>
  <Override PartName="/xl/comments7.xml" ContentType="application/vnd.openxmlformats-officedocument.spreadsheetml.comments+xml"/>
  <Override PartName="/xl/drawings/drawing6.xml" ContentType="application/vnd.openxmlformats-officedocument.drawing+xml"/>
  <Override PartName="/xl/comments8.xml" ContentType="application/vnd.openxmlformats-officedocument.spreadsheetml.comments+xml"/>
  <Override PartName="/xl/drawings/drawing7.xml" ContentType="application/vnd.openxmlformats-officedocument.drawing+xml"/>
  <Override PartName="/xl/comments9.xml" ContentType="application/vnd.openxmlformats-officedocument.spreadsheetml.comments+xml"/>
  <Override PartName="/xl/drawings/drawing8.xml" ContentType="application/vnd.openxmlformats-officedocument.drawing+xml"/>
  <Override PartName="/xl/comments10.xml" ContentType="application/vnd.openxmlformats-officedocument.spreadsheetml.comments+xml"/>
  <Override PartName="/xl/drawings/drawing9.xml" ContentType="application/vnd.openxmlformats-officedocument.drawing+xml"/>
  <Override PartName="/xl/comments11.xml" ContentType="application/vnd.openxmlformats-officedocument.spreadsheetml.comments+xml"/>
  <Override PartName="/xl/drawings/drawing10.xml" ContentType="application/vnd.openxmlformats-officedocument.drawing+xml"/>
  <Override PartName="/xl/comments12.xml" ContentType="application/vnd.openxmlformats-officedocument.spreadsheetml.comments+xml"/>
  <Override PartName="/xl/drawings/drawing11.xml" ContentType="application/vnd.openxmlformats-officedocument.drawing+xml"/>
  <Override PartName="/xl/comments13.xml" ContentType="application/vnd.openxmlformats-officedocument.spreadsheetml.comments+xml"/>
  <Override PartName="/xl/drawings/drawing1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I:\Hingham Site Local Copy\Committees\Sustainable Budget Task Force\Documents\"/>
    </mc:Choice>
  </mc:AlternateContent>
  <bookViews>
    <workbookView xWindow="-105" yWindow="-105" windowWidth="23250" windowHeight="12570" activeTab="2"/>
  </bookViews>
  <sheets>
    <sheet name="Overview" sheetId="65" r:id="rId1"/>
    <sheet name="Dashboard" sheetId="2" r:id="rId2"/>
    <sheet name="Model" sheetId="3" r:id="rId3"/>
    <sheet name="Budget Surplus-Deficit" sheetId="34" r:id="rId4"/>
    <sheet name="FY23 Level-Principal" sheetId="36" state="hidden" r:id="rId5"/>
    <sheet name="FY23 Level-Payment" sheetId="35" state="hidden" r:id="rId6"/>
    <sheet name="FY24 Level-Principal" sheetId="56" state="hidden" r:id="rId7"/>
    <sheet name="FY24 Level-Payment" sheetId="47" state="hidden" r:id="rId8"/>
    <sheet name="FY25 Level-Principal" sheetId="57" state="hidden" r:id="rId9"/>
    <sheet name="FY25 Level-Payment" sheetId="48" state="hidden" r:id="rId10"/>
    <sheet name="FY26 Level-Principal" sheetId="58" state="hidden" r:id="rId11"/>
    <sheet name="FY26 Level-Payment" sheetId="49" state="hidden" r:id="rId12"/>
    <sheet name="FY27 Level-Principal" sheetId="59" state="hidden" r:id="rId13"/>
    <sheet name="FY27 Level-Payment" sheetId="50" state="hidden" r:id="rId14"/>
    <sheet name="FY28 Level-Principal" sheetId="60" state="hidden" r:id="rId15"/>
    <sheet name="FY28 Level-Payment" sheetId="51" state="hidden" r:id="rId16"/>
    <sheet name="FY29 Level-Principal" sheetId="61" state="hidden" r:id="rId17"/>
    <sheet name="FY29 Level-Payment" sheetId="52" state="hidden" r:id="rId18"/>
    <sheet name="FY30 Level-Principal" sheetId="62" state="hidden" r:id="rId19"/>
    <sheet name="FY30 Level-Payment" sheetId="53" state="hidden" r:id="rId20"/>
    <sheet name="FY31 Level-Principal" sheetId="63" state="hidden" r:id="rId21"/>
    <sheet name="FY31 Level-Payment" sheetId="54" state="hidden" r:id="rId22"/>
    <sheet name="FY32 Level-Payment" sheetId="55" state="hidden" r:id="rId23"/>
    <sheet name="FY32 Level-Principal" sheetId="64" state="hidden" r:id="rId24"/>
    <sheet name="Fifteen-Year Debt Schedule" sheetId="33" state="hidden" r:id="rId25"/>
  </sheets>
  <definedNames>
    <definedName name="ART_18" localSheetId="24">'Fifteen-Year Debt Schedule'!$C$128</definedName>
    <definedName name="ART_18">#REF!</definedName>
    <definedName name="compound_period" localSheetId="5">'FY23 Level-Payment'!$E$15</definedName>
    <definedName name="compound_period" localSheetId="7">'FY24 Level-Payment'!$E$15</definedName>
    <definedName name="compound_period" localSheetId="9">'FY24 Level-Payment'!$E$15</definedName>
    <definedName name="compound_period" localSheetId="11">'FY24 Level-Payment'!$E$15</definedName>
    <definedName name="compound_period" localSheetId="13">'FY24 Level-Payment'!$E$15</definedName>
    <definedName name="compound_period" localSheetId="15">'FY24 Level-Payment'!$E$15</definedName>
    <definedName name="compound_period" localSheetId="17">'FY24 Level-Payment'!$E$15</definedName>
    <definedName name="compound_period" localSheetId="19">'FY24 Level-Payment'!$E$15</definedName>
    <definedName name="compound_period" localSheetId="21">'FY24 Level-Payment'!$E$15</definedName>
    <definedName name="compound_period" localSheetId="22">'FY24 Level-Payment'!$E$15</definedName>
    <definedName name="FIRE_STAT_RPRS" localSheetId="24">'Fifteen-Year Debt Schedule'!$AC$767</definedName>
    <definedName name="FIRE_STAT_RPRS">#REF!</definedName>
    <definedName name="FOUNDRY_POND" localSheetId="24">'Fifteen-Year Debt Schedule'!$AA$1335</definedName>
    <definedName name="FOUNDRY_POND">#REF!</definedName>
    <definedName name="fpdate" localSheetId="5">'FY23 Level-Payment'!$E$9</definedName>
    <definedName name="fpdate" localSheetId="7">'FY24 Level-Payment'!$E$9</definedName>
    <definedName name="fpdate" localSheetId="9">'FY25 Level-Payment'!$E$9</definedName>
    <definedName name="fpdate" localSheetId="11">'FY26 Level-Payment'!$E$9</definedName>
    <definedName name="fpdate" localSheetId="13">'FY27 Level-Payment'!$E$9</definedName>
    <definedName name="fpdate" localSheetId="15">'FY28 Level-Payment'!$E$9</definedName>
    <definedName name="fpdate" localSheetId="17">'FY29 Level-Payment'!$E$9</definedName>
    <definedName name="fpdate" localSheetId="19">'FY30 Level-Payment'!$E$9</definedName>
    <definedName name="fpdate" localSheetId="21">'FY31 Level-Payment'!$E$9</definedName>
    <definedName name="fpdate" localSheetId="22">'FY32 Level-Payment'!$E$9</definedName>
    <definedName name="HIGHWAY_GAR" localSheetId="24">'Fifteen-Year Debt Schedule'!$Z$739</definedName>
    <definedName name="HIGHWAY_GAR">#REF!</definedName>
    <definedName name="INCOME" localSheetId="24">'Fifteen-Year Debt Schedule'!$BG$128</definedName>
    <definedName name="INCOME">#REF!</definedName>
    <definedName name="LI" localSheetId="24">'Fifteen-Year Debt Schedule'!$A$101</definedName>
    <definedName name="LI">#REF!</definedName>
    <definedName name="LIBRARY_1" localSheetId="24">'Fifteen-Year Debt Schedule'!$Z$826</definedName>
    <definedName name="LIBRARY_1">#REF!</definedName>
    <definedName name="loan_amount" localSheetId="5">'FY23 Level-Payment'!$E$6</definedName>
    <definedName name="loan_amount" localSheetId="7">'FY24 Level-Payment'!$E$6</definedName>
    <definedName name="loan_amount" localSheetId="9">'FY25 Level-Payment'!$E$6</definedName>
    <definedName name="loan_amount" localSheetId="11">'FY26 Level-Payment'!$E$6</definedName>
    <definedName name="loan_amount" localSheetId="13">'FY27 Level-Payment'!$E$6</definedName>
    <definedName name="loan_amount" localSheetId="15">'FY28 Level-Payment'!$E$6</definedName>
    <definedName name="loan_amount" localSheetId="17">'FY29 Level-Payment'!$E$6</definedName>
    <definedName name="loan_amount" localSheetId="19">'FY30 Level-Payment'!$E$6</definedName>
    <definedName name="loan_amount" localSheetId="21">'FY31 Level-Payment'!$E$6</definedName>
    <definedName name="loan_amount" localSheetId="22">'FY32 Level-Payment'!$E$6</definedName>
    <definedName name="months_per_period" localSheetId="5">'FY23 Level-Payment'!$E$17</definedName>
    <definedName name="months_per_period" localSheetId="7">'FY24 Level-Payment'!$E$17</definedName>
    <definedName name="months_per_period" localSheetId="9">'FY25 Level-Payment'!$E$17</definedName>
    <definedName name="months_per_period" localSheetId="11">'FY26 Level-Payment'!$E$17</definedName>
    <definedName name="months_per_period" localSheetId="13">'FY27 Level-Payment'!$E$17</definedName>
    <definedName name="months_per_period" localSheetId="15">'FY28 Level-Payment'!$E$17</definedName>
    <definedName name="months_per_period" localSheetId="17">'FY29 Level-Payment'!$E$17</definedName>
    <definedName name="months_per_period" localSheetId="19">'FY30 Level-Payment'!$E$17</definedName>
    <definedName name="months_per_period" localSheetId="21">'FY31 Level-Payment'!$E$17</definedName>
    <definedName name="months_per_period" localSheetId="22">'FY32 Level-Payment'!$E$17</definedName>
    <definedName name="NEW_TOWN_HALL" localSheetId="24">'Fifteen-Year Debt Schedule'!$Z$416</definedName>
    <definedName name="NEW_TOWN_HALL">#REF!</definedName>
    <definedName name="NEW_TOWN_HALL_2" localSheetId="24">'Fifteen-Year Debt Schedule'!$Z$467</definedName>
    <definedName name="NEW_TOWN_HALL_2">#REF!</definedName>
    <definedName name="nper" localSheetId="5">'FY23 Level-Payment'!$E$18</definedName>
    <definedName name="nper" localSheetId="7">'FY24 Level-Payment'!$E$18</definedName>
    <definedName name="nper" localSheetId="9">'FY25 Level-Payment'!$E$18</definedName>
    <definedName name="nper" localSheetId="11">'FY26 Level-Payment'!$E$18</definedName>
    <definedName name="nper" localSheetId="13">'FY27 Level-Payment'!$E$18</definedName>
    <definedName name="nper" localSheetId="15">'FY28 Level-Payment'!$E$18</definedName>
    <definedName name="nper" localSheetId="17">'FY29 Level-Payment'!$E$18</definedName>
    <definedName name="nper" localSheetId="19">'FY30 Level-Payment'!$E$18</definedName>
    <definedName name="nper" localSheetId="21">'FY31 Level-Payment'!$E$18</definedName>
    <definedName name="nper" localSheetId="22">'FY32 Level-Payment'!$E$18</definedName>
    <definedName name="payment" localSheetId="5">'FY23 Level-Payment'!$E$21</definedName>
    <definedName name="payment" localSheetId="7">'FY24 Level-Payment'!$E$21</definedName>
    <definedName name="payment" localSheetId="9">'FY25 Level-Payment'!$E$21</definedName>
    <definedName name="payment" localSheetId="11">'FY26 Level-Payment'!$E$21</definedName>
    <definedName name="payment" localSheetId="13">'FY27 Level-Payment'!$E$21</definedName>
    <definedName name="payment" localSheetId="15">'FY28 Level-Payment'!$E$21</definedName>
    <definedName name="payment" localSheetId="17">'FY29 Level-Payment'!$E$21</definedName>
    <definedName name="payment" localSheetId="19">'FY30 Level-Payment'!$E$21</definedName>
    <definedName name="payment" localSheetId="21">'FY31 Level-Payment'!$E$21</definedName>
    <definedName name="payment" localSheetId="22">'FY32 Level-Payment'!$E$21</definedName>
    <definedName name="periods_per_year" localSheetId="5">'FY23 Level-Payment'!$E$14</definedName>
    <definedName name="periods_per_year" localSheetId="7">'FY24 Level-Payment'!$E$14</definedName>
    <definedName name="periods_per_year" localSheetId="9">'FY24 Level-Payment'!$E$14</definedName>
    <definedName name="periods_per_year" localSheetId="11">'FY24 Level-Payment'!$E$14</definedName>
    <definedName name="periods_per_year" localSheetId="13">'FY24 Level-Payment'!$E$14</definedName>
    <definedName name="periods_per_year" localSheetId="15">'FY24 Level-Payment'!$E$14</definedName>
    <definedName name="periods_per_year" localSheetId="17">'FY24 Level-Payment'!$E$14</definedName>
    <definedName name="periods_per_year" localSheetId="19">'FY24 Level-Payment'!$E$14</definedName>
    <definedName name="periods_per_year" localSheetId="21">'FY24 Level-Payment'!$E$14</definedName>
    <definedName name="periods_per_year" localSheetId="22">'FY24 Level-Payment'!$E$14</definedName>
    <definedName name="pmtType" localSheetId="5">'FY23 Level-Payment'!$E$16</definedName>
    <definedName name="pmtType" localSheetId="7">'FY24 Level-Payment'!$E$16</definedName>
    <definedName name="pmtType" localSheetId="9">'FY25 Level-Payment'!$E$16</definedName>
    <definedName name="pmtType" localSheetId="11">'FY26 Level-Payment'!$E$16</definedName>
    <definedName name="pmtType" localSheetId="13">'FY27 Level-Payment'!$E$16</definedName>
    <definedName name="pmtType" localSheetId="15">'FY28 Level-Payment'!$E$16</definedName>
    <definedName name="pmtType" localSheetId="17">'FY29 Level-Payment'!$E$16</definedName>
    <definedName name="pmtType" localSheetId="19">'FY30 Level-Payment'!$E$16</definedName>
    <definedName name="pmtType" localSheetId="21">'FY31 Level-Payment'!$E$16</definedName>
    <definedName name="pmtType" localSheetId="22">'FY32 Level-Payment'!$E$16</definedName>
    <definedName name="_xlnm.Print_Area" localSheetId="3">'Budget Surplus-Deficit'!$A$1:$J$89</definedName>
    <definedName name="_xlnm.Print_Area" localSheetId="1">Dashboard!$A$1:$O$190</definedName>
    <definedName name="_xlnm.Print_Area" localSheetId="24">'Fifteen-Year Debt Schedule'!$A$3:$AL$83</definedName>
    <definedName name="_xlnm.Print_Area" localSheetId="5">'FY23 Level-Payment'!$A$1:$L$92</definedName>
    <definedName name="_xlnm.Print_Area" localSheetId="4">'FY23 Level-Principal'!$A$1:$G$71</definedName>
    <definedName name="_xlnm.Print_Area" localSheetId="7">'FY24 Level-Payment'!$A$1:$L$92</definedName>
    <definedName name="_xlnm.Print_Area" localSheetId="6">'FY24 Level-Principal'!$A$1:$G$71</definedName>
    <definedName name="_xlnm.Print_Area" localSheetId="9">'FY25 Level-Payment'!$A$1:$L$92</definedName>
    <definedName name="_xlnm.Print_Area" localSheetId="8">'FY25 Level-Principal'!$A$1:$G$71</definedName>
    <definedName name="_xlnm.Print_Area" localSheetId="11">'FY26 Level-Payment'!$A$1:$L$92</definedName>
    <definedName name="_xlnm.Print_Area" localSheetId="10">'FY26 Level-Principal'!$A$1:$G$71</definedName>
    <definedName name="_xlnm.Print_Area" localSheetId="13">'FY27 Level-Payment'!$A$1:$L$92</definedName>
    <definedName name="_xlnm.Print_Area" localSheetId="12">'FY27 Level-Principal'!$A$1:$G$71</definedName>
    <definedName name="_xlnm.Print_Area" localSheetId="15">'FY28 Level-Payment'!$A$1:$L$92</definedName>
    <definedName name="_xlnm.Print_Area" localSheetId="14">'FY28 Level-Principal'!$A$1:$G$71</definedName>
    <definedName name="_xlnm.Print_Area" localSheetId="17">'FY29 Level-Payment'!$A$1:$L$92</definedName>
    <definedName name="_xlnm.Print_Area" localSheetId="16">'FY29 Level-Principal'!$A$1:$G$71</definedName>
    <definedName name="_xlnm.Print_Area" localSheetId="19">'FY30 Level-Payment'!$A$1:$L$92</definedName>
    <definedName name="_xlnm.Print_Area" localSheetId="18">'FY30 Level-Principal'!$A$1:$G$71</definedName>
    <definedName name="_xlnm.Print_Area" localSheetId="21">'FY31 Level-Payment'!$A$1:$L$92</definedName>
    <definedName name="_xlnm.Print_Area" localSheetId="20">'FY31 Level-Principal'!$A$1:$G$71</definedName>
    <definedName name="_xlnm.Print_Area" localSheetId="22">'FY32 Level-Payment'!$A$1:$L$92</definedName>
    <definedName name="_xlnm.Print_Area" localSheetId="23">'FY32 Level-Principal'!$A$1:$G$71</definedName>
    <definedName name="_xlnm.Print_Area" localSheetId="2">Model!$A$1:$P$129</definedName>
    <definedName name="_xlnm.Print_Area" localSheetId="0">Overview!$A$1:$N$63</definedName>
    <definedName name="_xlnm.Print_Area">#REF!</definedName>
    <definedName name="_xlnm.Print_Titles" localSheetId="5">'FY23 Level-Payment'!$59:$59</definedName>
    <definedName name="_xlnm.Print_Titles" localSheetId="4">'FY23 Level-Principal'!$1:$5</definedName>
    <definedName name="_xlnm.Print_Titles" localSheetId="7">'FY24 Level-Payment'!$59:$59</definedName>
    <definedName name="_xlnm.Print_Titles" localSheetId="6">'FY24 Level-Principal'!$1:$5</definedName>
    <definedName name="_xlnm.Print_Titles" localSheetId="9">'FY25 Level-Payment'!$59:$59</definedName>
    <definedName name="_xlnm.Print_Titles" localSheetId="8">'FY25 Level-Principal'!$1:$5</definedName>
    <definedName name="_xlnm.Print_Titles" localSheetId="11">'FY26 Level-Payment'!$59:$59</definedName>
    <definedName name="_xlnm.Print_Titles" localSheetId="10">'FY26 Level-Principal'!$1:$5</definedName>
    <definedName name="_xlnm.Print_Titles" localSheetId="13">'FY27 Level-Payment'!$59:$59</definedName>
    <definedName name="_xlnm.Print_Titles" localSheetId="12">'FY27 Level-Principal'!$1:$5</definedName>
    <definedName name="_xlnm.Print_Titles" localSheetId="15">'FY28 Level-Payment'!$59:$59</definedName>
    <definedName name="_xlnm.Print_Titles" localSheetId="14">'FY28 Level-Principal'!$1:$5</definedName>
    <definedName name="_xlnm.Print_Titles" localSheetId="17">'FY29 Level-Payment'!$59:$59</definedName>
    <definedName name="_xlnm.Print_Titles" localSheetId="16">'FY29 Level-Principal'!$1:$5</definedName>
    <definedName name="_xlnm.Print_Titles" localSheetId="19">'FY30 Level-Payment'!$59:$59</definedName>
    <definedName name="_xlnm.Print_Titles" localSheetId="18">'FY30 Level-Principal'!$1:$5</definedName>
    <definedName name="_xlnm.Print_Titles" localSheetId="21">'FY31 Level-Payment'!$59:$59</definedName>
    <definedName name="_xlnm.Print_Titles" localSheetId="20">'FY31 Level-Principal'!$1:$5</definedName>
    <definedName name="_xlnm.Print_Titles" localSheetId="22">'FY32 Level-Payment'!$59:$59</definedName>
    <definedName name="_xlnm.Print_Titles" localSheetId="23">'FY32 Level-Principal'!$1:$5</definedName>
    <definedName name="rate" localSheetId="5">'FY23 Level-Payment'!$I$6</definedName>
    <definedName name="rate" localSheetId="7">'FY24 Level-Payment'!$I$6</definedName>
    <definedName name="rate" localSheetId="9">'FY25 Level-Payment'!$I$6</definedName>
    <definedName name="rate" localSheetId="11">'FY26 Level-Payment'!$I$6</definedName>
    <definedName name="rate" localSheetId="13">'FY27 Level-Payment'!$I$6</definedName>
    <definedName name="rate" localSheetId="15">'FY28 Level-Payment'!$I$6</definedName>
    <definedName name="rate" localSheetId="17">'FY29 Level-Payment'!$I$6</definedName>
    <definedName name="rate" localSheetId="19">'FY30 Level-Payment'!$I$6</definedName>
    <definedName name="rate" localSheetId="21">'FY31 Level-Payment'!$I$6</definedName>
    <definedName name="rate" localSheetId="22">'FY32 Level-Payment'!$I$6</definedName>
    <definedName name="REVENUE_POLICY" localSheetId="24">'Fifteen-Year Debt Schedule'!$AB$97</definedName>
    <definedName name="REVENUE_POLICY">#REF!</definedName>
    <definedName name="roundOpt" localSheetId="5">'FY23 Level-Payment'!$E$19</definedName>
    <definedName name="roundOpt" localSheetId="7">'FY24 Level-Payment'!$E$19</definedName>
    <definedName name="roundOpt" localSheetId="9">'FY25 Level-Payment'!$E$19</definedName>
    <definedName name="roundOpt" localSheetId="11">'FY26 Level-Payment'!$E$19</definedName>
    <definedName name="roundOpt" localSheetId="13">'FY27 Level-Payment'!$E$19</definedName>
    <definedName name="roundOpt" localSheetId="15">'FY28 Level-Payment'!$E$19</definedName>
    <definedName name="roundOpt" localSheetId="17">'FY29 Level-Payment'!$E$19</definedName>
    <definedName name="roundOpt" localSheetId="19">'FY30 Level-Payment'!$E$19</definedName>
    <definedName name="roundOpt" localSheetId="21">'FY31 Level-Payment'!$E$19</definedName>
    <definedName name="roundOpt" localSheetId="22">'FY32 Level-Payment'!$E$19</definedName>
    <definedName name="SEWER_LAFAYETTE" localSheetId="24">'Fifteen-Year Debt Schedule'!$AB$686</definedName>
    <definedName name="SEWER_LAFAYETTE">#REF!</definedName>
    <definedName name="SEWER_PUMPS98" localSheetId="24">'Fifteen-Year Debt Schedule'!$AA$797</definedName>
    <definedName name="SEWER_PUMPS98">#REF!</definedName>
    <definedName name="SEWER_PUMPS99" localSheetId="24">'Fifteen-Year Debt Schedule'!$AA$963</definedName>
    <definedName name="SEWER_PUMPS99">#REF!</definedName>
    <definedName name="SI" localSheetId="24">'Fifteen-Year Debt Schedule'!$A$100</definedName>
    <definedName name="SI">#REF!</definedName>
    <definedName name="SO_JR_HS" localSheetId="24">'Fifteen-Year Debt Schedule'!$AC$365</definedName>
    <definedName name="SO_JR_HS">#REF!</definedName>
    <definedName name="term" localSheetId="5">'FY23 Level-Payment'!$E$8</definedName>
    <definedName name="term" localSheetId="7">'FY24 Level-Payment'!$E$8</definedName>
    <definedName name="term" localSheetId="9">'FY25 Level-Payment'!$E$8</definedName>
    <definedName name="term" localSheetId="11">'FY26 Level-Payment'!$E$8</definedName>
    <definedName name="term" localSheetId="13">'FY27 Level-Payment'!$E$8</definedName>
    <definedName name="term" localSheetId="15">'FY28 Level-Payment'!$E$8</definedName>
    <definedName name="term" localSheetId="17">'FY29 Level-Payment'!$E$8</definedName>
    <definedName name="term" localSheetId="19">'FY30 Level-Payment'!$E$8</definedName>
    <definedName name="term" localSheetId="21">'FY31 Level-Payment'!$E$8</definedName>
    <definedName name="term" localSheetId="22">'FY32 Level-Payment'!$E$8</definedName>
    <definedName name="TOWN_OFFICE_BLD" localSheetId="24">'Fifteen-Year Debt Schedule'!$AE$716</definedName>
    <definedName name="TOWN_OFFICE_BLD">#REF!</definedName>
    <definedName name="valuevx">42.314159</definedName>
    <definedName name="vertex42_copyright" hidden="1">"© 2008-2018 Vertex42 LLC"</definedName>
    <definedName name="vertex42_id" hidden="1">"loan-amortization-schedule.xlsx"</definedName>
    <definedName name="vertex42_title" hidden="1">"Loan Amortization Schedule"</definedName>
    <definedName name="WEIR_RIVER" localSheetId="24">'Fifteen-Year Debt Schedule'!$AC$633</definedName>
    <definedName name="WEIR_RIVER">#REF!</definedName>
    <definedName name="WEIR_RIVER_SRF" localSheetId="24">'Fifteen-Year Debt Schedule'!$AC$577</definedName>
    <definedName name="WEIR_RIVER_SRF">#REF!</definedName>
    <definedName name="WHITNEY_WHARF" localSheetId="24">'Fifteen-Year Debt Schedule'!$Z$932</definedName>
    <definedName name="WHITNEY_WHARF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97" i="3" l="1"/>
  <c r="H53" i="3"/>
  <c r="D53" i="3"/>
  <c r="F52" i="34"/>
  <c r="G52" i="34" s="1"/>
  <c r="H52" i="34" s="1"/>
  <c r="I52" i="34" s="1"/>
  <c r="E58" i="34"/>
  <c r="E52" i="34"/>
  <c r="I43" i="34"/>
  <c r="H43" i="34"/>
  <c r="G43" i="34"/>
  <c r="F43" i="34"/>
  <c r="F38" i="34"/>
  <c r="E43" i="34"/>
  <c r="D7" i="34" l="1"/>
  <c r="F58" i="34"/>
  <c r="G58" i="34" s="1"/>
  <c r="H58" i="34" s="1"/>
  <c r="I58" i="34" s="1"/>
  <c r="G53" i="34"/>
  <c r="H53" i="34" s="1"/>
  <c r="I53" i="34" s="1"/>
  <c r="F53" i="34"/>
  <c r="E53" i="34"/>
  <c r="G39" i="34"/>
  <c r="H39" i="34" s="1"/>
  <c r="I39" i="34" s="1"/>
  <c r="F39" i="34"/>
  <c r="E39" i="34"/>
  <c r="I28" i="34"/>
  <c r="H28" i="34"/>
  <c r="G28" i="34"/>
  <c r="F28" i="34"/>
  <c r="G27" i="34"/>
  <c r="H27" i="34" s="1"/>
  <c r="I27" i="34" s="1"/>
  <c r="F27" i="34"/>
  <c r="F26" i="34"/>
  <c r="G26" i="34" s="1"/>
  <c r="H26" i="34" s="1"/>
  <c r="I26" i="34" s="1"/>
  <c r="F25" i="34"/>
  <c r="G25" i="34" s="1"/>
  <c r="H25" i="34" s="1"/>
  <c r="I25" i="34" s="1"/>
  <c r="F24" i="34"/>
  <c r="G24" i="34" s="1"/>
  <c r="H24" i="34" s="1"/>
  <c r="I24" i="34" s="1"/>
  <c r="G23" i="34"/>
  <c r="H23" i="34" s="1"/>
  <c r="I23" i="34" s="1"/>
  <c r="F23" i="34"/>
  <c r="E20" i="34"/>
  <c r="E19" i="34"/>
  <c r="C16" i="34" l="1"/>
  <c r="E21" i="34"/>
  <c r="E28" i="34" l="1"/>
  <c r="F20" i="34"/>
  <c r="G20" i="34" l="1"/>
  <c r="H20" i="34" s="1"/>
  <c r="I20" i="34" s="1"/>
  <c r="N27" i="2"/>
  <c r="M83" i="2"/>
  <c r="L83" i="2"/>
  <c r="K83" i="2"/>
  <c r="J83" i="2"/>
  <c r="I83" i="2"/>
  <c r="L85" i="2" l="1"/>
  <c r="M85" i="2"/>
  <c r="J85" i="2"/>
  <c r="K85" i="2"/>
  <c r="C98" i="2"/>
  <c r="B98" i="2"/>
  <c r="D59" i="34" l="1"/>
  <c r="D60" i="34" s="1"/>
  <c r="C52" i="34"/>
  <c r="C48" i="34"/>
  <c r="D8" i="34"/>
  <c r="B4" i="64"/>
  <c r="B3" i="64"/>
  <c r="B4" i="63"/>
  <c r="E67" i="63" s="1"/>
  <c r="B3" i="63"/>
  <c r="B4" i="62"/>
  <c r="E65" i="62" s="1"/>
  <c r="B3" i="62"/>
  <c r="B4" i="61"/>
  <c r="B3" i="61"/>
  <c r="B4" i="60"/>
  <c r="E65" i="60" s="1"/>
  <c r="B3" i="60"/>
  <c r="B4" i="59"/>
  <c r="E67" i="59" s="1"/>
  <c r="B3" i="59"/>
  <c r="B4" i="58"/>
  <c r="B3" i="58"/>
  <c r="B4" i="57"/>
  <c r="B3" i="57"/>
  <c r="B4" i="56"/>
  <c r="B3" i="56"/>
  <c r="E8" i="55"/>
  <c r="E18" i="55" s="1"/>
  <c r="E7" i="55"/>
  <c r="E8" i="54"/>
  <c r="E18" i="54" s="1"/>
  <c r="E7" i="54"/>
  <c r="E8" i="53"/>
  <c r="E18" i="53" s="1"/>
  <c r="E7" i="53"/>
  <c r="E8" i="52"/>
  <c r="E18" i="52" s="1"/>
  <c r="E7" i="52"/>
  <c r="E8" i="51"/>
  <c r="E18" i="51" s="1"/>
  <c r="E7" i="51"/>
  <c r="E8" i="50"/>
  <c r="E7" i="50"/>
  <c r="E8" i="49"/>
  <c r="E18" i="49" s="1"/>
  <c r="E7" i="49"/>
  <c r="E8" i="48"/>
  <c r="E18" i="48" s="1"/>
  <c r="E7" i="48"/>
  <c r="E8" i="47"/>
  <c r="E7" i="47"/>
  <c r="B98" i="55"/>
  <c r="I98" i="55" s="1"/>
  <c r="B99" i="55" s="1"/>
  <c r="C26" i="55"/>
  <c r="D21" i="55"/>
  <c r="E19" i="55"/>
  <c r="E16" i="55"/>
  <c r="E14" i="55"/>
  <c r="E17" i="55" s="1"/>
  <c r="E11" i="55"/>
  <c r="E15" i="55" s="1"/>
  <c r="B10" i="55"/>
  <c r="I2" i="55"/>
  <c r="B98" i="54"/>
  <c r="I98" i="54" s="1"/>
  <c r="B99" i="54" s="1"/>
  <c r="H99" i="54" s="1"/>
  <c r="C26" i="54"/>
  <c r="C27" i="54" s="1"/>
  <c r="D21" i="54"/>
  <c r="E19" i="54"/>
  <c r="E17" i="54"/>
  <c r="E16" i="54"/>
  <c r="E14" i="54"/>
  <c r="E11" i="54"/>
  <c r="E15" i="54" s="1"/>
  <c r="B10" i="54"/>
  <c r="I2" i="54"/>
  <c r="B98" i="53"/>
  <c r="I98" i="53" s="1"/>
  <c r="B99" i="53" s="1"/>
  <c r="C26" i="53"/>
  <c r="D21" i="53"/>
  <c r="E19" i="53"/>
  <c r="E16" i="53"/>
  <c r="E14" i="53"/>
  <c r="E17" i="53" s="1"/>
  <c r="E11" i="53"/>
  <c r="E15" i="53" s="1"/>
  <c r="B10" i="53"/>
  <c r="I2" i="53"/>
  <c r="B98" i="52"/>
  <c r="I98" i="52" s="1"/>
  <c r="B99" i="52" s="1"/>
  <c r="C26" i="52"/>
  <c r="D21" i="52"/>
  <c r="E19" i="52"/>
  <c r="E16" i="52"/>
  <c r="E14" i="52"/>
  <c r="E17" i="52" s="1"/>
  <c r="E11" i="52"/>
  <c r="E15" i="52" s="1"/>
  <c r="B10" i="52"/>
  <c r="I2" i="52"/>
  <c r="B98" i="51"/>
  <c r="I98" i="51" s="1"/>
  <c r="B99" i="51" s="1"/>
  <c r="C26" i="51"/>
  <c r="D21" i="51"/>
  <c r="E19" i="51"/>
  <c r="E16" i="51"/>
  <c r="E14" i="51"/>
  <c r="E17" i="51" s="1"/>
  <c r="E11" i="51"/>
  <c r="E15" i="51" s="1"/>
  <c r="I11" i="51" s="1"/>
  <c r="B10" i="51"/>
  <c r="I2" i="51"/>
  <c r="B98" i="50"/>
  <c r="C26" i="50"/>
  <c r="D21" i="50"/>
  <c r="E19" i="50"/>
  <c r="E16" i="50"/>
  <c r="E14" i="50"/>
  <c r="E17" i="50" s="1"/>
  <c r="E11" i="50"/>
  <c r="E15" i="50" s="1"/>
  <c r="B10" i="50"/>
  <c r="I2" i="50"/>
  <c r="B98" i="49"/>
  <c r="C98" i="49" s="1"/>
  <c r="C26" i="49"/>
  <c r="C27" i="49" s="1"/>
  <c r="C28" i="49" s="1"/>
  <c r="C29" i="49" s="1"/>
  <c r="D21" i="49"/>
  <c r="E19" i="49"/>
  <c r="E16" i="49"/>
  <c r="E15" i="49"/>
  <c r="I11" i="49" s="1"/>
  <c r="E14" i="49"/>
  <c r="E17" i="49" s="1"/>
  <c r="E11" i="49"/>
  <c r="B10" i="49"/>
  <c r="I2" i="49"/>
  <c r="B98" i="48"/>
  <c r="G98" i="48" s="1"/>
  <c r="C26" i="48"/>
  <c r="D21" i="48"/>
  <c r="E19" i="48"/>
  <c r="E16" i="48"/>
  <c r="E14" i="48"/>
  <c r="E17" i="48" s="1"/>
  <c r="E11" i="48"/>
  <c r="E15" i="48" s="1"/>
  <c r="B10" i="48"/>
  <c r="I2" i="48"/>
  <c r="B98" i="47"/>
  <c r="D98" i="47" s="1"/>
  <c r="C26" i="47"/>
  <c r="D21" i="47"/>
  <c r="E19" i="47"/>
  <c r="E16" i="47"/>
  <c r="E14" i="47"/>
  <c r="E11" i="47"/>
  <c r="E15" i="47" s="1"/>
  <c r="I11" i="47" s="1"/>
  <c r="B10" i="47"/>
  <c r="I2" i="47"/>
  <c r="B4" i="36"/>
  <c r="E67" i="36" s="1"/>
  <c r="B3" i="36"/>
  <c r="E8" i="35"/>
  <c r="E7" i="35"/>
  <c r="C26" i="35"/>
  <c r="C27" i="35" s="1"/>
  <c r="D21" i="35"/>
  <c r="E19" i="35"/>
  <c r="E16" i="35"/>
  <c r="E14" i="35"/>
  <c r="E17" i="35" s="1"/>
  <c r="E11" i="35"/>
  <c r="E15" i="35" s="1"/>
  <c r="B10" i="35"/>
  <c r="I2" i="35"/>
  <c r="C93" i="3"/>
  <c r="I66" i="34"/>
  <c r="I74" i="34" s="1"/>
  <c r="I75" i="34" s="1"/>
  <c r="I65" i="34"/>
  <c r="I59" i="34"/>
  <c r="I60" i="34" s="1"/>
  <c r="I30" i="34"/>
  <c r="I11" i="34"/>
  <c r="L16" i="2"/>
  <c r="D28" i="2"/>
  <c r="E6" i="35" s="1"/>
  <c r="I60" i="35" s="1"/>
  <c r="E7" i="34" l="1"/>
  <c r="E67" i="62"/>
  <c r="E57" i="63"/>
  <c r="E59" i="63"/>
  <c r="E61" i="63"/>
  <c r="E63" i="63"/>
  <c r="E65" i="63"/>
  <c r="E57" i="62"/>
  <c r="E59" i="62"/>
  <c r="E61" i="62"/>
  <c r="E63" i="62"/>
  <c r="E67" i="61"/>
  <c r="E57" i="61"/>
  <c r="E59" i="61"/>
  <c r="E61" i="61"/>
  <c r="E63" i="61"/>
  <c r="E65" i="61"/>
  <c r="E67" i="60"/>
  <c r="E67" i="58"/>
  <c r="E67" i="57"/>
  <c r="E67" i="56"/>
  <c r="E57" i="56"/>
  <c r="E59" i="56"/>
  <c r="E61" i="56"/>
  <c r="E63" i="56"/>
  <c r="E65" i="56"/>
  <c r="B2" i="36"/>
  <c r="B6" i="36" s="1"/>
  <c r="D6" i="36" s="1"/>
  <c r="D7" i="36" s="1"/>
  <c r="C98" i="54"/>
  <c r="I6" i="55"/>
  <c r="I11" i="55"/>
  <c r="C27" i="55"/>
  <c r="I99" i="55"/>
  <c r="B100" i="55" s="1"/>
  <c r="H99" i="55"/>
  <c r="G99" i="55"/>
  <c r="D99" i="55"/>
  <c r="C99" i="55"/>
  <c r="D98" i="54"/>
  <c r="C98" i="55"/>
  <c r="D98" i="55"/>
  <c r="G98" i="55"/>
  <c r="H98" i="55"/>
  <c r="C28" i="54"/>
  <c r="I11" i="54"/>
  <c r="I6" i="54"/>
  <c r="C99" i="54"/>
  <c r="G99" i="54"/>
  <c r="I99" i="54"/>
  <c r="B100" i="54" s="1"/>
  <c r="D99" i="54"/>
  <c r="G98" i="54"/>
  <c r="H98" i="54"/>
  <c r="I11" i="53"/>
  <c r="I6" i="53"/>
  <c r="I99" i="53"/>
  <c r="B100" i="53" s="1"/>
  <c r="D99" i="53"/>
  <c r="H99" i="53"/>
  <c r="G99" i="53"/>
  <c r="C99" i="53"/>
  <c r="C27" i="53"/>
  <c r="C98" i="53"/>
  <c r="D98" i="53"/>
  <c r="G98" i="53"/>
  <c r="H98" i="53"/>
  <c r="I11" i="52"/>
  <c r="I6" i="52"/>
  <c r="C99" i="52"/>
  <c r="D99" i="52"/>
  <c r="I99" i="52"/>
  <c r="B100" i="52" s="1"/>
  <c r="H99" i="52"/>
  <c r="G99" i="52"/>
  <c r="C27" i="52"/>
  <c r="C98" i="52"/>
  <c r="D98" i="52"/>
  <c r="G98" i="52"/>
  <c r="H98" i="52"/>
  <c r="I6" i="51"/>
  <c r="C99" i="51"/>
  <c r="I99" i="51"/>
  <c r="B100" i="51" s="1"/>
  <c r="D99" i="51"/>
  <c r="H99" i="51"/>
  <c r="G99" i="51"/>
  <c r="C27" i="51"/>
  <c r="C98" i="51"/>
  <c r="D98" i="51"/>
  <c r="G98" i="51"/>
  <c r="H98" i="51"/>
  <c r="D98" i="49"/>
  <c r="E18" i="50"/>
  <c r="I11" i="50"/>
  <c r="I6" i="50"/>
  <c r="I98" i="50"/>
  <c r="B99" i="50" s="1"/>
  <c r="H98" i="50"/>
  <c r="G98" i="50"/>
  <c r="D98" i="50"/>
  <c r="C98" i="50"/>
  <c r="C27" i="50"/>
  <c r="H98" i="49"/>
  <c r="C30" i="49"/>
  <c r="H98" i="48"/>
  <c r="I6" i="49"/>
  <c r="G98" i="49"/>
  <c r="I98" i="49"/>
  <c r="B99" i="49" s="1"/>
  <c r="I11" i="48"/>
  <c r="I6" i="48"/>
  <c r="I98" i="48"/>
  <c r="B99" i="48" s="1"/>
  <c r="C27" i="48"/>
  <c r="C98" i="48"/>
  <c r="D98" i="48"/>
  <c r="E18" i="47"/>
  <c r="E17" i="47"/>
  <c r="I6" i="47"/>
  <c r="C27" i="47"/>
  <c r="I98" i="47"/>
  <c r="B99" i="47" s="1"/>
  <c r="H98" i="47"/>
  <c r="G98" i="47"/>
  <c r="C98" i="47"/>
  <c r="E18" i="35"/>
  <c r="B61" i="35" s="1"/>
  <c r="C28" i="35"/>
  <c r="I25" i="35"/>
  <c r="K25" i="35"/>
  <c r="I11" i="35"/>
  <c r="I6" i="35"/>
  <c r="I76" i="34"/>
  <c r="B48" i="2"/>
  <c r="B66" i="34"/>
  <c r="B65" i="34"/>
  <c r="H66" i="34"/>
  <c r="H74" i="34" s="1"/>
  <c r="G66" i="34"/>
  <c r="F66" i="34"/>
  <c r="F74" i="34" s="1"/>
  <c r="E66" i="34"/>
  <c r="E74" i="34" s="1"/>
  <c r="H65" i="34"/>
  <c r="G65" i="34"/>
  <c r="F65" i="34"/>
  <c r="E65" i="34"/>
  <c r="M28" i="2"/>
  <c r="L28" i="2"/>
  <c r="K28" i="2"/>
  <c r="J28" i="2"/>
  <c r="I28" i="2"/>
  <c r="H28" i="2"/>
  <c r="G28" i="2"/>
  <c r="F28" i="2"/>
  <c r="E28" i="2"/>
  <c r="B2" i="56" s="1"/>
  <c r="B6" i="56" s="1"/>
  <c r="B7" i="56" s="1"/>
  <c r="C6" i="2"/>
  <c r="N26" i="2"/>
  <c r="N25" i="2"/>
  <c r="N24" i="2"/>
  <c r="N23" i="2"/>
  <c r="N22" i="2"/>
  <c r="I55" i="34"/>
  <c r="I56" i="34" s="1"/>
  <c r="I72" i="34" s="1"/>
  <c r="D52" i="34"/>
  <c r="H30" i="34"/>
  <c r="G30" i="34"/>
  <c r="F30" i="34"/>
  <c r="E30" i="34"/>
  <c r="H11" i="34"/>
  <c r="G11" i="34"/>
  <c r="F11" i="34"/>
  <c r="E11" i="34"/>
  <c r="D11" i="34"/>
  <c r="C11" i="34"/>
  <c r="M82" i="3"/>
  <c r="L82" i="3"/>
  <c r="K82" i="3"/>
  <c r="J82" i="3"/>
  <c r="I82" i="3"/>
  <c r="H82" i="3"/>
  <c r="H83" i="2" s="1"/>
  <c r="G82" i="3"/>
  <c r="G83" i="2" s="1"/>
  <c r="F82" i="3"/>
  <c r="F83" i="2" s="1"/>
  <c r="F85" i="2" s="1"/>
  <c r="E82" i="3"/>
  <c r="E83" i="2" s="1"/>
  <c r="D82" i="3"/>
  <c r="D83" i="2" s="1"/>
  <c r="C82" i="3"/>
  <c r="C83" i="2" s="1"/>
  <c r="C85" i="2" s="1"/>
  <c r="M86" i="3"/>
  <c r="L86" i="3"/>
  <c r="K86" i="3"/>
  <c r="J86" i="3"/>
  <c r="I86" i="3"/>
  <c r="H86" i="3"/>
  <c r="I10" i="34" s="1"/>
  <c r="G86" i="3"/>
  <c r="H10" i="34" s="1"/>
  <c r="F86" i="3"/>
  <c r="G10" i="34" s="1"/>
  <c r="E86" i="3"/>
  <c r="F10" i="34" s="1"/>
  <c r="D86" i="3"/>
  <c r="D112" i="3" s="1"/>
  <c r="H85" i="3"/>
  <c r="G85" i="3"/>
  <c r="F85" i="3"/>
  <c r="E85" i="3"/>
  <c r="D85" i="3"/>
  <c r="C85" i="3"/>
  <c r="H84" i="3"/>
  <c r="G84" i="3"/>
  <c r="F84" i="3"/>
  <c r="E84" i="3"/>
  <c r="D84" i="3"/>
  <c r="C84" i="3"/>
  <c r="D81" i="3"/>
  <c r="C81" i="3"/>
  <c r="B85" i="3"/>
  <c r="B81" i="3"/>
  <c r="B80" i="3"/>
  <c r="B79" i="3"/>
  <c r="C78" i="34"/>
  <c r="C79" i="34" s="1"/>
  <c r="D19" i="34"/>
  <c r="C27" i="34"/>
  <c r="C22" i="34"/>
  <c r="C20" i="34"/>
  <c r="H59" i="34"/>
  <c r="H60" i="34" s="1"/>
  <c r="G59" i="34"/>
  <c r="G60" i="34" s="1"/>
  <c r="F59" i="34"/>
  <c r="F60" i="34" s="1"/>
  <c r="E59" i="34"/>
  <c r="E60" i="34" s="1"/>
  <c r="D48" i="34"/>
  <c r="D64" i="34"/>
  <c r="E64" i="34" s="1"/>
  <c r="F64" i="34" s="1"/>
  <c r="G64" i="34" s="1"/>
  <c r="H64" i="34" s="1"/>
  <c r="I64" i="34" s="1"/>
  <c r="F9" i="34"/>
  <c r="G9" i="34" s="1"/>
  <c r="H9" i="34" s="1"/>
  <c r="I9" i="34" s="1"/>
  <c r="H81" i="3" s="1"/>
  <c r="C79" i="3"/>
  <c r="D5" i="34"/>
  <c r="E5" i="34" s="1"/>
  <c r="F5" i="34" s="1"/>
  <c r="G5" i="34" s="1"/>
  <c r="H5" i="34" s="1"/>
  <c r="I5" i="34" s="1"/>
  <c r="M72" i="3"/>
  <c r="L72" i="3"/>
  <c r="K72" i="3"/>
  <c r="J72" i="3"/>
  <c r="I72" i="3"/>
  <c r="H72" i="3"/>
  <c r="G72" i="3"/>
  <c r="F72" i="3"/>
  <c r="E72" i="3"/>
  <c r="D72" i="3"/>
  <c r="C72" i="3"/>
  <c r="B73" i="3"/>
  <c r="B72" i="3"/>
  <c r="M46" i="3"/>
  <c r="L46" i="3"/>
  <c r="K46" i="3"/>
  <c r="J46" i="3"/>
  <c r="I46" i="3"/>
  <c r="H46" i="3"/>
  <c r="G46" i="3"/>
  <c r="F46" i="3"/>
  <c r="E46" i="3"/>
  <c r="D46" i="3"/>
  <c r="C46" i="3"/>
  <c r="B46" i="3"/>
  <c r="M45" i="3"/>
  <c r="L45" i="3"/>
  <c r="K45" i="3"/>
  <c r="J45" i="3"/>
  <c r="I45" i="3"/>
  <c r="H45" i="3"/>
  <c r="G45" i="3"/>
  <c r="F45" i="3"/>
  <c r="E45" i="3"/>
  <c r="D45" i="3"/>
  <c r="C45" i="3"/>
  <c r="B45" i="3"/>
  <c r="M44" i="3"/>
  <c r="L44" i="3"/>
  <c r="K44" i="3"/>
  <c r="J44" i="3"/>
  <c r="I44" i="3"/>
  <c r="H44" i="3"/>
  <c r="G44" i="3"/>
  <c r="F44" i="3"/>
  <c r="E44" i="3"/>
  <c r="D44" i="3"/>
  <c r="C44" i="3"/>
  <c r="B44" i="3"/>
  <c r="AG1444" i="33"/>
  <c r="AG1446" i="33" s="1"/>
  <c r="AG1448" i="33" s="1"/>
  <c r="AG1450" i="33" s="1"/>
  <c r="AG1452" i="33" s="1"/>
  <c r="AG1454" i="33" s="1"/>
  <c r="AG1456" i="33" s="1"/>
  <c r="AG1458" i="33" s="1"/>
  <c r="AG1460" i="33" s="1"/>
  <c r="AG1462" i="33" s="1"/>
  <c r="AG1464" i="33" s="1"/>
  <c r="AG1466" i="33" s="1"/>
  <c r="AG1468" i="33" s="1"/>
  <c r="AG1470" i="33" s="1"/>
  <c r="AG1472" i="33" s="1"/>
  <c r="AG1474" i="33" s="1"/>
  <c r="AG1476" i="33" s="1"/>
  <c r="AG1441" i="33"/>
  <c r="AG1443" i="33" s="1"/>
  <c r="AG1445" i="33" s="1"/>
  <c r="AG1447" i="33" s="1"/>
  <c r="AG1449" i="33" s="1"/>
  <c r="AG1451" i="33" s="1"/>
  <c r="AG1453" i="33" s="1"/>
  <c r="AG1455" i="33" s="1"/>
  <c r="AG1457" i="33" s="1"/>
  <c r="AG1459" i="33" s="1"/>
  <c r="AG1461" i="33" s="1"/>
  <c r="AG1463" i="33" s="1"/>
  <c r="AG1465" i="33" s="1"/>
  <c r="AG1467" i="33" s="1"/>
  <c r="AG1469" i="33" s="1"/>
  <c r="AG1471" i="33" s="1"/>
  <c r="AG1473" i="33" s="1"/>
  <c r="AG1475" i="33" s="1"/>
  <c r="AG1440" i="33"/>
  <c r="AG1442" i="33" s="1"/>
  <c r="AG1438" i="33"/>
  <c r="AD1438" i="33"/>
  <c r="AG1437" i="33"/>
  <c r="AG1439" i="33" s="1"/>
  <c r="AC1436" i="33"/>
  <c r="AC1435" i="33"/>
  <c r="AF1424" i="33"/>
  <c r="AF1418" i="33"/>
  <c r="AD1418" i="33"/>
  <c r="AD1420" i="33" s="1"/>
  <c r="AF1416" i="33"/>
  <c r="AD1416" i="33"/>
  <c r="AF1414" i="33"/>
  <c r="AE1412" i="33"/>
  <c r="AF1412" i="33" s="1"/>
  <c r="AE1410" i="33"/>
  <c r="AE1408" i="33"/>
  <c r="AE1406" i="33"/>
  <c r="AE1404" i="33"/>
  <c r="AE1402" i="33"/>
  <c r="AE1400" i="33"/>
  <c r="AE1398" i="33"/>
  <c r="AF1396" i="33"/>
  <c r="AE1396" i="33"/>
  <c r="AD1396" i="33"/>
  <c r="AC1395" i="33"/>
  <c r="AC1396" i="33" s="1"/>
  <c r="AC1397" i="33" s="1"/>
  <c r="AC1398" i="33" s="1"/>
  <c r="AE1394" i="33"/>
  <c r="AC1393" i="33"/>
  <c r="AC1394" i="33" s="1"/>
  <c r="AF1392" i="33"/>
  <c r="AC1392" i="33"/>
  <c r="AF1390" i="33"/>
  <c r="AC1389" i="33"/>
  <c r="AF1388" i="33"/>
  <c r="AC1384" i="33"/>
  <c r="AE1363" i="33"/>
  <c r="AE1361" i="33"/>
  <c r="AE1359" i="33"/>
  <c r="AE1357" i="33"/>
  <c r="AE1355" i="33"/>
  <c r="AE1353" i="33"/>
  <c r="AE1351" i="33"/>
  <c r="AE1349" i="33"/>
  <c r="AE1347" i="33"/>
  <c r="AE1345" i="33"/>
  <c r="AE1343" i="33"/>
  <c r="AE1341" i="33"/>
  <c r="AE1339" i="33"/>
  <c r="AE1337" i="33"/>
  <c r="AE1335" i="33"/>
  <c r="AE1333" i="33"/>
  <c r="AE1331" i="33"/>
  <c r="AE1329" i="33"/>
  <c r="AE1327" i="33"/>
  <c r="AE1325" i="33"/>
  <c r="AD1325" i="33"/>
  <c r="AD1327" i="33" s="1"/>
  <c r="AD1329" i="33" s="1"/>
  <c r="AD1331" i="33" s="1"/>
  <c r="AD1333" i="33" s="1"/>
  <c r="AD1335" i="33" s="1"/>
  <c r="AD1337" i="33" s="1"/>
  <c r="AD1339" i="33" s="1"/>
  <c r="AD1341" i="33" s="1"/>
  <c r="AD1343" i="33" s="1"/>
  <c r="AD1345" i="33" s="1"/>
  <c r="AD1347" i="33" s="1"/>
  <c r="AD1349" i="33" s="1"/>
  <c r="AD1351" i="33" s="1"/>
  <c r="AD1353" i="33" s="1"/>
  <c r="AD1355" i="33" s="1"/>
  <c r="AD1357" i="33" s="1"/>
  <c r="AD1359" i="33" s="1"/>
  <c r="AD1361" i="33" s="1"/>
  <c r="AD1363" i="33" s="1"/>
  <c r="AD1324" i="33"/>
  <c r="AE1323" i="33"/>
  <c r="AG1322" i="33"/>
  <c r="AD1322" i="33"/>
  <c r="AG1320" i="33"/>
  <c r="AG1321" i="33" s="1"/>
  <c r="AG1319" i="33"/>
  <c r="AF1319" i="33"/>
  <c r="AC1318" i="33"/>
  <c r="AC1319" i="33" s="1"/>
  <c r="AC1320" i="33" s="1"/>
  <c r="AC1321" i="33" s="1"/>
  <c r="AE1300" i="33"/>
  <c r="AD1264" i="33"/>
  <c r="AD1266" i="33" s="1"/>
  <c r="AD1268" i="33" s="1"/>
  <c r="AG1262" i="33"/>
  <c r="AG1264" i="33" s="1"/>
  <c r="AC1262" i="33"/>
  <c r="AG1261" i="33"/>
  <c r="AF1261" i="33"/>
  <c r="AC1256" i="33"/>
  <c r="AC1260" i="33" s="1"/>
  <c r="AC1261" i="33" s="1"/>
  <c r="AE1261" i="33" s="1"/>
  <c r="AE1232" i="33"/>
  <c r="AR1221" i="33"/>
  <c r="AR1219" i="33"/>
  <c r="AR1217" i="33"/>
  <c r="AK1217" i="33"/>
  <c r="AD1217" i="33"/>
  <c r="AD1219" i="33" s="1"/>
  <c r="AD1221" i="33" s="1"/>
  <c r="AE1216" i="33"/>
  <c r="AN1214" i="33"/>
  <c r="AD1214" i="33"/>
  <c r="AU1213" i="33"/>
  <c r="AN1213" i="33"/>
  <c r="AN1215" i="33" s="1"/>
  <c r="AG1213" i="33"/>
  <c r="AU1212" i="33"/>
  <c r="AT1212" i="33"/>
  <c r="AN1212" i="33"/>
  <c r="AM1212" i="33"/>
  <c r="AJ1212" i="33"/>
  <c r="AJ1213" i="33" s="1"/>
  <c r="AG1212" i="33"/>
  <c r="AF1212" i="33"/>
  <c r="AC1212" i="33"/>
  <c r="AC1213" i="33" s="1"/>
  <c r="AC1214" i="33" s="1"/>
  <c r="AQ1211" i="33"/>
  <c r="AQ1212" i="33" s="1"/>
  <c r="AQ1213" i="33" s="1"/>
  <c r="AJ1211" i="33"/>
  <c r="AC1211" i="33"/>
  <c r="AE1170" i="33"/>
  <c r="AE1169" i="33"/>
  <c r="AD1168" i="33"/>
  <c r="AD1165" i="33"/>
  <c r="AR1164" i="33"/>
  <c r="AK1164" i="33"/>
  <c r="AD1164" i="33"/>
  <c r="AQ1162" i="33"/>
  <c r="AQ1163" i="33" s="1"/>
  <c r="AU1161" i="33"/>
  <c r="AU1162" i="33" s="1"/>
  <c r="AR1161" i="33"/>
  <c r="AK1161" i="33"/>
  <c r="AG1161" i="33"/>
  <c r="AG1162" i="33" s="1"/>
  <c r="AE1161" i="33"/>
  <c r="AE1162" i="33" s="1"/>
  <c r="AD1161" i="33"/>
  <c r="AD1163" i="33" s="1"/>
  <c r="AT1160" i="33"/>
  <c r="AM1160" i="33"/>
  <c r="AF1160" i="33"/>
  <c r="AU1159" i="33"/>
  <c r="AU1160" i="33" s="1"/>
  <c r="AN1159" i="33"/>
  <c r="AG1159" i="33"/>
  <c r="AG1160" i="33" s="1"/>
  <c r="AU1158" i="33"/>
  <c r="AT1158" i="33"/>
  <c r="AQ1158" i="33"/>
  <c r="AQ1159" i="33" s="1"/>
  <c r="AQ1160" i="33" s="1"/>
  <c r="AQ1161" i="33" s="1"/>
  <c r="AS1161" i="33" s="1"/>
  <c r="AS1162" i="33" s="1"/>
  <c r="AN1158" i="33"/>
  <c r="AM1158" i="33"/>
  <c r="AJ1158" i="33"/>
  <c r="AJ1159" i="33" s="1"/>
  <c r="AJ1160" i="33" s="1"/>
  <c r="AJ1161" i="33" s="1"/>
  <c r="AG1158" i="33"/>
  <c r="AF1158" i="33"/>
  <c r="AQ1157" i="33"/>
  <c r="AJ1157" i="33"/>
  <c r="AC1157" i="33"/>
  <c r="AC1158" i="33" s="1"/>
  <c r="AC1159" i="33" s="1"/>
  <c r="AC1160" i="33" s="1"/>
  <c r="AC1161" i="33" s="1"/>
  <c r="AC1162" i="33" s="1"/>
  <c r="AC1163" i="33" s="1"/>
  <c r="AE1133" i="33"/>
  <c r="W1133" i="33"/>
  <c r="AE1131" i="33"/>
  <c r="W1131" i="33"/>
  <c r="AE1129" i="33"/>
  <c r="W1129" i="33"/>
  <c r="AE1127" i="33"/>
  <c r="W1127" i="33"/>
  <c r="AE1125" i="33"/>
  <c r="W1125" i="33"/>
  <c r="AE1123" i="33"/>
  <c r="W1123" i="33"/>
  <c r="AE1121" i="33"/>
  <c r="W1121" i="33"/>
  <c r="AE1119" i="33"/>
  <c r="W1119" i="33"/>
  <c r="AE1117" i="33"/>
  <c r="W1117" i="33"/>
  <c r="AE1115" i="33"/>
  <c r="W1115" i="33"/>
  <c r="AE1113" i="33"/>
  <c r="AD1113" i="33"/>
  <c r="W1113" i="33"/>
  <c r="V1113" i="33"/>
  <c r="V1115" i="33" s="1"/>
  <c r="V1117" i="33" s="1"/>
  <c r="V1119" i="33" s="1"/>
  <c r="V1121" i="33" s="1"/>
  <c r="V1123" i="33" s="1"/>
  <c r="V1125" i="33" s="1"/>
  <c r="V1127" i="33" s="1"/>
  <c r="V1129" i="33" s="1"/>
  <c r="V1131" i="33" s="1"/>
  <c r="V1133" i="33" s="1"/>
  <c r="AD1112" i="33"/>
  <c r="AE1111" i="33"/>
  <c r="AC1111" i="33"/>
  <c r="AC1112" i="33" s="1"/>
  <c r="AC1113" i="33" s="1"/>
  <c r="W1111" i="33"/>
  <c r="W1147" i="33" s="1"/>
  <c r="AD1110" i="33"/>
  <c r="AC1110" i="33"/>
  <c r="V1110" i="33"/>
  <c r="X1109" i="33"/>
  <c r="V1109" i="33"/>
  <c r="U1109" i="33"/>
  <c r="U1110" i="33" s="1"/>
  <c r="AG1107" i="33"/>
  <c r="X1107" i="33"/>
  <c r="AG1106" i="33"/>
  <c r="AG1108" i="33" s="1"/>
  <c r="Y1106" i="33"/>
  <c r="AG1105" i="33"/>
  <c r="Y1105" i="33"/>
  <c r="X1105" i="33"/>
  <c r="U1105" i="33"/>
  <c r="U1106" i="33" s="1"/>
  <c r="U1107" i="33" s="1"/>
  <c r="AC1104" i="33"/>
  <c r="AC1105" i="33" s="1"/>
  <c r="U1104" i="33"/>
  <c r="AD1100" i="33"/>
  <c r="AC1108" i="33" s="1"/>
  <c r="AC1109" i="33" s="1"/>
  <c r="AD1109" i="33" s="1"/>
  <c r="AF1109" i="33" s="1"/>
  <c r="AE1096" i="33"/>
  <c r="AE1094" i="33"/>
  <c r="AE1092" i="33"/>
  <c r="AE1090" i="33"/>
  <c r="AD1090" i="33"/>
  <c r="AD1092" i="33" s="1"/>
  <c r="AD1094" i="33" s="1"/>
  <c r="AD1096" i="33" s="1"/>
  <c r="AE1088" i="33"/>
  <c r="AE1086" i="33"/>
  <c r="AE1084" i="33"/>
  <c r="AD1084" i="33"/>
  <c r="AD1086" i="33" s="1"/>
  <c r="AD1088" i="33" s="1"/>
  <c r="AE1082" i="33"/>
  <c r="AD1082" i="33"/>
  <c r="AE1080" i="33"/>
  <c r="AE1078" i="33"/>
  <c r="AE1076" i="33"/>
  <c r="AE1074" i="33"/>
  <c r="AD1074" i="33"/>
  <c r="AD1076" i="33" s="1"/>
  <c r="AD1078" i="33" s="1"/>
  <c r="AE1072" i="33"/>
  <c r="AE1070" i="33"/>
  <c r="AD1070" i="33"/>
  <c r="AD1072" i="33" s="1"/>
  <c r="AE1068" i="33"/>
  <c r="AE1066" i="33"/>
  <c r="AD1066" i="33"/>
  <c r="AD1068" i="33" s="1"/>
  <c r="AK1065" i="33"/>
  <c r="AG1065" i="33"/>
  <c r="AE1064" i="33"/>
  <c r="AD1064" i="33"/>
  <c r="AL1063" i="33"/>
  <c r="AL1064" i="33" s="1"/>
  <c r="AK1063" i="33"/>
  <c r="AL1062" i="33"/>
  <c r="AG1062" i="33"/>
  <c r="AE1062" i="33"/>
  <c r="AN1061" i="33"/>
  <c r="AK1061" i="33"/>
  <c r="AG1061" i="33"/>
  <c r="AG1063" i="33" s="1"/>
  <c r="AG1064" i="33" s="1"/>
  <c r="AD1061" i="33"/>
  <c r="AM1060" i="33"/>
  <c r="AJ1060" i="33"/>
  <c r="AJ1061" i="33" s="1"/>
  <c r="AJ1062" i="33" s="1"/>
  <c r="AJ1063" i="33" s="1"/>
  <c r="AJ1064" i="33" s="1"/>
  <c r="AK1064" i="33" s="1"/>
  <c r="AK1066" i="33" s="1"/>
  <c r="AK1068" i="33" s="1"/>
  <c r="AK1070" i="33" s="1"/>
  <c r="AK1072" i="33" s="1"/>
  <c r="AK1074" i="33" s="1"/>
  <c r="AK1076" i="33" s="1"/>
  <c r="AK1078" i="33" s="1"/>
  <c r="AK1080" i="33" s="1"/>
  <c r="AK1082" i="33" s="1"/>
  <c r="AK1084" i="33" s="1"/>
  <c r="AK1086" i="33" s="1"/>
  <c r="AK1088" i="33" s="1"/>
  <c r="AK1090" i="33" s="1"/>
  <c r="AK1092" i="33" s="1"/>
  <c r="AK1094" i="33" s="1"/>
  <c r="AK1096" i="33" s="1"/>
  <c r="AF1060" i="33"/>
  <c r="AC1060" i="33"/>
  <c r="AC1061" i="33" s="1"/>
  <c r="AC1062" i="33" s="1"/>
  <c r="AC1063" i="33" s="1"/>
  <c r="AN1059" i="33"/>
  <c r="AN1060" i="33" s="1"/>
  <c r="AG1059" i="33"/>
  <c r="AG1060" i="33" s="1"/>
  <c r="AN1058" i="33"/>
  <c r="AM1058" i="33"/>
  <c r="AJ1058" i="33"/>
  <c r="AJ1059" i="33" s="1"/>
  <c r="AG1058" i="33"/>
  <c r="AF1058" i="33"/>
  <c r="AJ1057" i="33"/>
  <c r="AC1057" i="33"/>
  <c r="AC1058" i="33" s="1"/>
  <c r="AC1059" i="33" s="1"/>
  <c r="AG1049" i="33"/>
  <c r="AG1047" i="33"/>
  <c r="AG1045" i="33"/>
  <c r="AG1043" i="33"/>
  <c r="AG1041" i="33"/>
  <c r="AG1039" i="33"/>
  <c r="AG1037" i="33"/>
  <c r="AG1035" i="33"/>
  <c r="AG1033" i="33"/>
  <c r="AD1032" i="33"/>
  <c r="AD1034" i="33" s="1"/>
  <c r="AG1031" i="33"/>
  <c r="AG1029" i="33"/>
  <c r="AF1029" i="33"/>
  <c r="AC1029" i="33"/>
  <c r="AC1030" i="33" s="1"/>
  <c r="AC1028" i="33"/>
  <c r="AG1019" i="33"/>
  <c r="AG1017" i="33"/>
  <c r="AG1015" i="33"/>
  <c r="AG1013" i="33"/>
  <c r="AG1011" i="33"/>
  <c r="AG1009" i="33"/>
  <c r="AG1007" i="33"/>
  <c r="AG1005" i="33"/>
  <c r="AG1003" i="33"/>
  <c r="AD1002" i="33"/>
  <c r="AD1004" i="33" s="1"/>
  <c r="AD1006" i="33" s="1"/>
  <c r="AD1008" i="33" s="1"/>
  <c r="AD1010" i="33" s="1"/>
  <c r="AD1012" i="33" s="1"/>
  <c r="AD1014" i="33" s="1"/>
  <c r="AD1016" i="33" s="1"/>
  <c r="AD1018" i="33" s="1"/>
  <c r="AG1001" i="33"/>
  <c r="AF999" i="33"/>
  <c r="AC999" i="33"/>
  <c r="AC1000" i="33" s="1"/>
  <c r="AE990" i="33"/>
  <c r="AE989" i="33"/>
  <c r="AF989" i="33" s="1"/>
  <c r="AE987" i="33"/>
  <c r="AE985" i="33"/>
  <c r="AE983" i="33"/>
  <c r="AE981" i="33"/>
  <c r="AE979" i="33"/>
  <c r="AE977" i="33"/>
  <c r="AE975" i="33"/>
  <c r="AD975" i="33"/>
  <c r="AF975" i="33" s="1"/>
  <c r="AF973" i="33"/>
  <c r="AE973" i="33"/>
  <c r="AF971" i="33"/>
  <c r="AC970" i="33"/>
  <c r="AC971" i="33" s="1"/>
  <c r="AC972" i="33" s="1"/>
  <c r="AC973" i="33" s="1"/>
  <c r="AC974" i="33" s="1"/>
  <c r="AC975" i="33" s="1"/>
  <c r="AC976" i="33" s="1"/>
  <c r="AC977" i="33" s="1"/>
  <c r="AF969" i="33"/>
  <c r="AC968" i="33"/>
  <c r="AC965" i="33"/>
  <c r="AC964" i="33"/>
  <c r="AE958" i="33"/>
  <c r="AF958" i="33" s="1"/>
  <c r="AE956" i="33"/>
  <c r="AD956" i="33"/>
  <c r="AF956" i="33" s="1"/>
  <c r="AE954" i="33"/>
  <c r="AF954" i="33" s="1"/>
  <c r="AD954" i="33"/>
  <c r="AF952" i="33"/>
  <c r="AE952" i="33"/>
  <c r="AE950" i="33"/>
  <c r="AE948" i="33"/>
  <c r="AB948" i="33"/>
  <c r="AE946" i="33"/>
  <c r="AD946" i="33"/>
  <c r="AC945" i="33"/>
  <c r="AC946" i="33" s="1"/>
  <c r="AC947" i="33" s="1"/>
  <c r="AC948" i="33" s="1"/>
  <c r="AE944" i="33"/>
  <c r="AD944" i="33"/>
  <c r="AF944" i="33" s="1"/>
  <c r="AE942" i="33"/>
  <c r="AF942" i="33" s="1"/>
  <c r="AE940" i="33"/>
  <c r="AF940" i="33" s="1"/>
  <c r="AC939" i="33"/>
  <c r="AC940" i="33" s="1"/>
  <c r="AC941" i="33" s="1"/>
  <c r="AC942" i="33" s="1"/>
  <c r="AC943" i="33" s="1"/>
  <c r="AC944" i="33" s="1"/>
  <c r="AE938" i="33"/>
  <c r="AE959" i="33" s="1"/>
  <c r="AC934" i="33"/>
  <c r="AJ888" i="33"/>
  <c r="AH887" i="33"/>
  <c r="AG887" i="33"/>
  <c r="AE887" i="33"/>
  <c r="AH886" i="33"/>
  <c r="AF886" i="33"/>
  <c r="AC885" i="33"/>
  <c r="AC887" i="33" s="1"/>
  <c r="AD881" i="33"/>
  <c r="AE874" i="33"/>
  <c r="AE872" i="33"/>
  <c r="AE870" i="33"/>
  <c r="AE868" i="33"/>
  <c r="AE866" i="33"/>
  <c r="AE864" i="33"/>
  <c r="AE862" i="33"/>
  <c r="AE860" i="33"/>
  <c r="AD860" i="33"/>
  <c r="AD862" i="33" s="1"/>
  <c r="AD864" i="33" s="1"/>
  <c r="AD866" i="33" s="1"/>
  <c r="AD868" i="33" s="1"/>
  <c r="AD870" i="33" s="1"/>
  <c r="AD872" i="33" s="1"/>
  <c r="AD874" i="33" s="1"/>
  <c r="AD858" i="33"/>
  <c r="AE856" i="33"/>
  <c r="AE854" i="33"/>
  <c r="AD854" i="33"/>
  <c r="AE852" i="33"/>
  <c r="AE850" i="33"/>
  <c r="AE848" i="33"/>
  <c r="AD848" i="33"/>
  <c r="AD850" i="33" s="1"/>
  <c r="AD852" i="33" s="1"/>
  <c r="AE846" i="33"/>
  <c r="AD846" i="33"/>
  <c r="AD845" i="33"/>
  <c r="AE844" i="33"/>
  <c r="AD843" i="33"/>
  <c r="AF844" i="33" s="1"/>
  <c r="AE842" i="33"/>
  <c r="AE875" i="33" s="1"/>
  <c r="AD841" i="33"/>
  <c r="AE840" i="33"/>
  <c r="AD840" i="33"/>
  <c r="AD839" i="33"/>
  <c r="AF838" i="33"/>
  <c r="AE838" i="33"/>
  <c r="AC837" i="33"/>
  <c r="AC838" i="33" s="1"/>
  <c r="AC839" i="33" s="1"/>
  <c r="AC840" i="33" s="1"/>
  <c r="AC841" i="33" s="1"/>
  <c r="AC842" i="33" s="1"/>
  <c r="AF836" i="33"/>
  <c r="AE836" i="33"/>
  <c r="AF834" i="33"/>
  <c r="AF832" i="33"/>
  <c r="AC832" i="33"/>
  <c r="AC833" i="33" s="1"/>
  <c r="AC834" i="33" s="1"/>
  <c r="AC835" i="33" s="1"/>
  <c r="AC836" i="33" s="1"/>
  <c r="AC831" i="33"/>
  <c r="AC828" i="33"/>
  <c r="AC827" i="33"/>
  <c r="AD824" i="33"/>
  <c r="AE823" i="33"/>
  <c r="AF823" i="33" s="1"/>
  <c r="AF821" i="33"/>
  <c r="AE821" i="33"/>
  <c r="AE819" i="33"/>
  <c r="AF819" i="33" s="1"/>
  <c r="AF817" i="33"/>
  <c r="AE817" i="33"/>
  <c r="AE815" i="33"/>
  <c r="AF815" i="33" s="1"/>
  <c r="AF813" i="33"/>
  <c r="AE813" i="33"/>
  <c r="AF811" i="33"/>
  <c r="AE811" i="33"/>
  <c r="AF809" i="33"/>
  <c r="AE809" i="33"/>
  <c r="AC808" i="33"/>
  <c r="AC809" i="33" s="1"/>
  <c r="AC810" i="33" s="1"/>
  <c r="AC811" i="33" s="1"/>
  <c r="AC812" i="33" s="1"/>
  <c r="AC813" i="33" s="1"/>
  <c r="AC814" i="33" s="1"/>
  <c r="AC815" i="33" s="1"/>
  <c r="AC816" i="33" s="1"/>
  <c r="AC817" i="33" s="1"/>
  <c r="AC818" i="33" s="1"/>
  <c r="AC819" i="33" s="1"/>
  <c r="AC820" i="33" s="1"/>
  <c r="AC821" i="33" s="1"/>
  <c r="AC822" i="33" s="1"/>
  <c r="AC823" i="33" s="1"/>
  <c r="AF807" i="33"/>
  <c r="AC807" i="33"/>
  <c r="AF805" i="33"/>
  <c r="AF803" i="33"/>
  <c r="AC803" i="33"/>
  <c r="AC804" i="33" s="1"/>
  <c r="AC805" i="33" s="1"/>
  <c r="AC806" i="33" s="1"/>
  <c r="AE793" i="33"/>
  <c r="AF793" i="33" s="1"/>
  <c r="AD793" i="33"/>
  <c r="AG791" i="33"/>
  <c r="AF791" i="33"/>
  <c r="AE791" i="33"/>
  <c r="AG790" i="33"/>
  <c r="AE789" i="33"/>
  <c r="AD789" i="33"/>
  <c r="AF789" i="33" s="1"/>
  <c r="AE787" i="33"/>
  <c r="AF787" i="33" s="1"/>
  <c r="AD787" i="33"/>
  <c r="AD794" i="33" s="1"/>
  <c r="AE785" i="33"/>
  <c r="AF785" i="33" s="1"/>
  <c r="AF783" i="33"/>
  <c r="AE783" i="33"/>
  <c r="AF781" i="33"/>
  <c r="AE781" i="33"/>
  <c r="AF779" i="33"/>
  <c r="AE779" i="33"/>
  <c r="AE777" i="33"/>
  <c r="AF775" i="33"/>
  <c r="AE775" i="33"/>
  <c r="AF773" i="33"/>
  <c r="AC773" i="33"/>
  <c r="AC774" i="33" s="1"/>
  <c r="AC775" i="33" s="1"/>
  <c r="AC776" i="33" s="1"/>
  <c r="AC777" i="33" s="1"/>
  <c r="AC778" i="33" s="1"/>
  <c r="AC779" i="33" s="1"/>
  <c r="AC780" i="33" s="1"/>
  <c r="AC781" i="33" s="1"/>
  <c r="AC782" i="33" s="1"/>
  <c r="AC783" i="33" s="1"/>
  <c r="AC784" i="33" s="1"/>
  <c r="AC785" i="33" s="1"/>
  <c r="AC786" i="33" s="1"/>
  <c r="AC787" i="33" s="1"/>
  <c r="AC788" i="33" s="1"/>
  <c r="AC789" i="33" s="1"/>
  <c r="AC790" i="33" s="1"/>
  <c r="AC791" i="33" s="1"/>
  <c r="AC792" i="33" s="1"/>
  <c r="AC793" i="33" s="1"/>
  <c r="AG763" i="33"/>
  <c r="AF763" i="33"/>
  <c r="AE763" i="33"/>
  <c r="AG762" i="33"/>
  <c r="AE761" i="33"/>
  <c r="AE759" i="33"/>
  <c r="AF757" i="33"/>
  <c r="K30" i="33" s="1"/>
  <c r="AE757" i="33"/>
  <c r="AD757" i="33"/>
  <c r="AF755" i="33"/>
  <c r="AE755" i="33"/>
  <c r="AE753" i="33"/>
  <c r="AF753" i="33" s="1"/>
  <c r="AC753" i="33"/>
  <c r="AC754" i="33" s="1"/>
  <c r="AC755" i="33" s="1"/>
  <c r="AC756" i="33" s="1"/>
  <c r="AC757" i="33" s="1"/>
  <c r="AC758" i="33" s="1"/>
  <c r="AC759" i="33" s="1"/>
  <c r="AE751" i="33"/>
  <c r="AF751" i="33" s="1"/>
  <c r="AE749" i="33"/>
  <c r="AF749" i="33" s="1"/>
  <c r="AC749" i="33"/>
  <c r="AC750" i="33" s="1"/>
  <c r="AC751" i="33" s="1"/>
  <c r="AC752" i="33" s="1"/>
  <c r="AE747" i="33"/>
  <c r="AC746" i="33"/>
  <c r="AC747" i="33" s="1"/>
  <c r="AC748" i="33" s="1"/>
  <c r="AF745" i="33"/>
  <c r="AC745" i="33"/>
  <c r="AD736" i="33"/>
  <c r="AE735" i="33"/>
  <c r="AF735" i="33" s="1"/>
  <c r="AF733" i="33"/>
  <c r="AE733" i="33"/>
  <c r="AE731" i="33"/>
  <c r="AF731" i="33" s="1"/>
  <c r="AF729" i="33"/>
  <c r="AE729" i="33"/>
  <c r="AE727" i="33"/>
  <c r="AF727" i="33" s="1"/>
  <c r="AF725" i="33"/>
  <c r="AE725" i="33"/>
  <c r="AC725" i="33"/>
  <c r="AC726" i="33" s="1"/>
  <c r="AC727" i="33" s="1"/>
  <c r="AC728" i="33" s="1"/>
  <c r="AC729" i="33" s="1"/>
  <c r="AC730" i="33" s="1"/>
  <c r="AC731" i="33" s="1"/>
  <c r="AC732" i="33" s="1"/>
  <c r="AC733" i="33" s="1"/>
  <c r="AC734" i="33" s="1"/>
  <c r="AC735" i="33" s="1"/>
  <c r="AE723" i="33"/>
  <c r="AF723" i="33" s="1"/>
  <c r="AF721" i="33"/>
  <c r="AE721" i="33"/>
  <c r="AC720" i="33"/>
  <c r="AC721" i="33" s="1"/>
  <c r="AC722" i="33" s="1"/>
  <c r="AC723" i="33" s="1"/>
  <c r="AC724" i="33" s="1"/>
  <c r="AF719" i="33"/>
  <c r="AF710" i="33"/>
  <c r="AE710" i="33"/>
  <c r="AE708" i="33"/>
  <c r="AF708" i="33" s="1"/>
  <c r="AF706" i="33"/>
  <c r="AE706" i="33"/>
  <c r="AE704" i="33"/>
  <c r="AE702" i="33"/>
  <c r="AE700" i="33"/>
  <c r="AE698" i="33"/>
  <c r="AE696" i="33"/>
  <c r="AF696" i="33" s="1"/>
  <c r="AD696" i="33"/>
  <c r="AD698" i="33" s="1"/>
  <c r="AC696" i="33"/>
  <c r="AC697" i="33" s="1"/>
  <c r="AC698" i="33" s="1"/>
  <c r="AE694" i="33"/>
  <c r="AF694" i="33" s="1"/>
  <c r="AC693" i="33"/>
  <c r="AC694" i="33" s="1"/>
  <c r="AC695" i="33" s="1"/>
  <c r="AF692" i="33"/>
  <c r="AE683" i="33"/>
  <c r="AE681" i="33"/>
  <c r="AE679" i="33"/>
  <c r="AE677" i="33"/>
  <c r="AE675" i="33"/>
  <c r="AD675" i="33"/>
  <c r="AE673" i="33"/>
  <c r="AD673" i="33"/>
  <c r="AF673" i="33" s="1"/>
  <c r="AF671" i="33"/>
  <c r="AE671" i="33"/>
  <c r="AD671" i="33"/>
  <c r="AF669" i="33"/>
  <c r="AE669" i="33"/>
  <c r="AE667" i="33"/>
  <c r="AE665" i="33"/>
  <c r="AE663" i="33"/>
  <c r="AE661" i="33"/>
  <c r="AE659" i="33"/>
  <c r="AE657" i="33"/>
  <c r="AE655" i="33"/>
  <c r="AE653" i="33"/>
  <c r="AE651" i="33"/>
  <c r="AE649" i="33"/>
  <c r="AE647" i="33"/>
  <c r="AD647" i="33"/>
  <c r="AC647" i="33"/>
  <c r="AF645" i="33"/>
  <c r="AE645" i="33"/>
  <c r="AB644" i="33"/>
  <c r="AE643" i="33"/>
  <c r="AF643" i="33" s="1"/>
  <c r="AC643" i="33"/>
  <c r="AC644" i="33" s="1"/>
  <c r="AC645" i="33" s="1"/>
  <c r="AC646" i="33" s="1"/>
  <c r="AF641" i="33"/>
  <c r="AC641" i="33"/>
  <c r="AC639" i="33"/>
  <c r="AE640" i="33" s="1"/>
  <c r="AC635" i="33"/>
  <c r="AH634" i="33"/>
  <c r="AD630" i="33"/>
  <c r="AF625" i="33"/>
  <c r="AF623" i="33"/>
  <c r="AF621" i="33"/>
  <c r="AF619" i="33"/>
  <c r="AF617" i="33"/>
  <c r="AF615" i="33"/>
  <c r="AF613" i="33"/>
  <c r="AF611" i="33"/>
  <c r="AF609" i="33"/>
  <c r="AF607" i="33"/>
  <c r="AF605" i="33"/>
  <c r="AF603" i="33"/>
  <c r="AF601" i="33"/>
  <c r="AF599" i="33"/>
  <c r="AK597" i="33"/>
  <c r="AF597" i="33"/>
  <c r="AF595" i="33"/>
  <c r="AF593" i="33"/>
  <c r="AF591" i="33"/>
  <c r="AF589" i="33"/>
  <c r="AF587" i="33"/>
  <c r="AC585" i="33"/>
  <c r="AC586" i="33" s="1"/>
  <c r="AC587" i="33" s="1"/>
  <c r="AC588" i="33" s="1"/>
  <c r="AC589" i="33" s="1"/>
  <c r="AC590" i="33" s="1"/>
  <c r="AC591" i="33" s="1"/>
  <c r="AC592" i="33" s="1"/>
  <c r="AC593" i="33" s="1"/>
  <c r="AC594" i="33" s="1"/>
  <c r="AC595" i="33" s="1"/>
  <c r="AC596" i="33" s="1"/>
  <c r="AC597" i="33" s="1"/>
  <c r="AC598" i="33" s="1"/>
  <c r="AC599" i="33" s="1"/>
  <c r="AC600" i="33" s="1"/>
  <c r="AC601" i="33" s="1"/>
  <c r="AC602" i="33" s="1"/>
  <c r="AC603" i="33" s="1"/>
  <c r="AC604" i="33" s="1"/>
  <c r="AC605" i="33" s="1"/>
  <c r="AC606" i="33" s="1"/>
  <c r="AC607" i="33" s="1"/>
  <c r="AC608" i="33" s="1"/>
  <c r="AC609" i="33" s="1"/>
  <c r="AC610" i="33" s="1"/>
  <c r="AC611" i="33" s="1"/>
  <c r="AC612" i="33" s="1"/>
  <c r="AC613" i="33" s="1"/>
  <c r="AC614" i="33" s="1"/>
  <c r="AC615" i="33" s="1"/>
  <c r="AC616" i="33" s="1"/>
  <c r="AC617" i="33" s="1"/>
  <c r="AC618" i="33" s="1"/>
  <c r="AC619" i="33" s="1"/>
  <c r="AC620" i="33" s="1"/>
  <c r="AC621" i="33" s="1"/>
  <c r="AC622" i="33" s="1"/>
  <c r="AC623" i="33" s="1"/>
  <c r="AC624" i="33" s="1"/>
  <c r="AC625" i="33" s="1"/>
  <c r="AC626" i="33" s="1"/>
  <c r="AC627" i="33" s="1"/>
  <c r="AC628" i="33" s="1"/>
  <c r="AC629" i="33" s="1"/>
  <c r="AE584" i="33"/>
  <c r="AF583" i="33"/>
  <c r="AC583" i="33"/>
  <c r="AH578" i="33"/>
  <c r="AE571" i="33"/>
  <c r="AE569" i="33"/>
  <c r="AE567" i="33"/>
  <c r="AE565" i="33"/>
  <c r="AE563" i="33"/>
  <c r="AE561" i="33"/>
  <c r="AE559" i="33"/>
  <c r="AE557" i="33"/>
  <c r="AD557" i="33"/>
  <c r="V557" i="33"/>
  <c r="V558" i="33" s="1"/>
  <c r="U556" i="33"/>
  <c r="AF555" i="33"/>
  <c r="AJ555" i="33" s="1"/>
  <c r="AE555" i="33"/>
  <c r="AD555" i="33"/>
  <c r="AF553" i="33"/>
  <c r="AJ553" i="33" s="1"/>
  <c r="AE553" i="33"/>
  <c r="V552" i="33"/>
  <c r="AE551" i="33"/>
  <c r="AE549" i="33"/>
  <c r="AE547" i="33"/>
  <c r="AE545" i="33"/>
  <c r="AI543" i="33"/>
  <c r="AI545" i="33" s="1"/>
  <c r="AI547" i="33" s="1"/>
  <c r="AI549" i="33" s="1"/>
  <c r="AI551" i="33" s="1"/>
  <c r="AI553" i="33" s="1"/>
  <c r="AI555" i="33" s="1"/>
  <c r="AI557" i="33" s="1"/>
  <c r="AI559" i="33" s="1"/>
  <c r="AI561" i="33" s="1"/>
  <c r="AI563" i="33" s="1"/>
  <c r="AI565" i="33" s="1"/>
  <c r="AI567" i="33" s="1"/>
  <c r="AI569" i="33" s="1"/>
  <c r="AI571" i="33" s="1"/>
  <c r="AE543" i="33"/>
  <c r="AE541" i="33"/>
  <c r="AE572" i="33" s="1"/>
  <c r="AC541" i="33"/>
  <c r="AE539" i="33"/>
  <c r="AD539" i="33"/>
  <c r="AJ537" i="33"/>
  <c r="AE537" i="33"/>
  <c r="AF537" i="33" s="1"/>
  <c r="AF535" i="33"/>
  <c r="AJ535" i="33" s="1"/>
  <c r="AC534" i="33"/>
  <c r="AC535" i="33" s="1"/>
  <c r="AC536" i="33" s="1"/>
  <c r="AC537" i="33" s="1"/>
  <c r="AC538" i="33" s="1"/>
  <c r="AC539" i="33" s="1"/>
  <c r="AC540" i="33" s="1"/>
  <c r="AE533" i="33"/>
  <c r="AF533" i="33" s="1"/>
  <c r="AJ533" i="33" s="1"/>
  <c r="AE521" i="33"/>
  <c r="AE519" i="33"/>
  <c r="AE517" i="33"/>
  <c r="AE515" i="33"/>
  <c r="AE513" i="33"/>
  <c r="AE511" i="33"/>
  <c r="AE509" i="33"/>
  <c r="AE507" i="33"/>
  <c r="AE505" i="33"/>
  <c r="AE503" i="33"/>
  <c r="AE501" i="33"/>
  <c r="AE499" i="33"/>
  <c r="AD499" i="33"/>
  <c r="AD501" i="33" s="1"/>
  <c r="AD503" i="33" s="1"/>
  <c r="AD505" i="33" s="1"/>
  <c r="AD507" i="33" s="1"/>
  <c r="AD509" i="33" s="1"/>
  <c r="AD511" i="33" s="1"/>
  <c r="AD513" i="33" s="1"/>
  <c r="AD515" i="33" s="1"/>
  <c r="AD517" i="33" s="1"/>
  <c r="AD519" i="33" s="1"/>
  <c r="AD521" i="33" s="1"/>
  <c r="AE497" i="33"/>
  <c r="AE495" i="33"/>
  <c r="AE493" i="33"/>
  <c r="AE491" i="33"/>
  <c r="AE489" i="33"/>
  <c r="AD489" i="33"/>
  <c r="AD491" i="33" s="1"/>
  <c r="AD493" i="33" s="1"/>
  <c r="AD495" i="33" s="1"/>
  <c r="AD488" i="33"/>
  <c r="AE487" i="33"/>
  <c r="AD487" i="33"/>
  <c r="AD486" i="33"/>
  <c r="AF485" i="33"/>
  <c r="AE485" i="33"/>
  <c r="AB484" i="33"/>
  <c r="AC477" i="33"/>
  <c r="AC478" i="33" s="1"/>
  <c r="AE476" i="33"/>
  <c r="AG475" i="33"/>
  <c r="AF475" i="33"/>
  <c r="AF473" i="33"/>
  <c r="AC469" i="33"/>
  <c r="AD468" i="33"/>
  <c r="AC468" i="33"/>
  <c r="AE464" i="33"/>
  <c r="AE462" i="33"/>
  <c r="AE460" i="33"/>
  <c r="AE458" i="33"/>
  <c r="AD458" i="33"/>
  <c r="AF458" i="33" s="1"/>
  <c r="AJ458" i="33" s="1"/>
  <c r="AJ456" i="33"/>
  <c r="AE456" i="33"/>
  <c r="AD456" i="33"/>
  <c r="AF456" i="33" s="1"/>
  <c r="AE454" i="33"/>
  <c r="AF454" i="33" s="1"/>
  <c r="AJ454" i="33" s="1"/>
  <c r="AE452" i="33"/>
  <c r="AD452" i="33"/>
  <c r="AF452" i="33" s="1"/>
  <c r="AJ452" i="33" s="1"/>
  <c r="AF450" i="33"/>
  <c r="AJ450" i="33" s="1"/>
  <c r="AE450" i="33"/>
  <c r="AE448" i="33"/>
  <c r="AF448" i="33" s="1"/>
  <c r="AJ448" i="33" s="1"/>
  <c r="AD448" i="33"/>
  <c r="AE446" i="33"/>
  <c r="AH446" i="33" s="1"/>
  <c r="AF446" i="33" s="1"/>
  <c r="AE444" i="33"/>
  <c r="AF444" i="33" s="1"/>
  <c r="AJ444" i="33" s="1"/>
  <c r="AC444" i="33"/>
  <c r="AC445" i="33" s="1"/>
  <c r="AC446" i="33" s="1"/>
  <c r="AC447" i="33" s="1"/>
  <c r="AC448" i="33" s="1"/>
  <c r="AC449" i="33" s="1"/>
  <c r="AC450" i="33" s="1"/>
  <c r="AC451" i="33" s="1"/>
  <c r="AC452" i="33" s="1"/>
  <c r="AC453" i="33" s="1"/>
  <c r="AC454" i="33" s="1"/>
  <c r="AC455" i="33" s="1"/>
  <c r="AC456" i="33" s="1"/>
  <c r="AC457" i="33" s="1"/>
  <c r="AC458" i="33" s="1"/>
  <c r="AC459" i="33" s="1"/>
  <c r="AC460" i="33" s="1"/>
  <c r="AJ442" i="33"/>
  <c r="AF442" i="33"/>
  <c r="AE442" i="33"/>
  <c r="AF440" i="33"/>
  <c r="AJ440" i="33" s="1"/>
  <c r="AE440" i="33"/>
  <c r="AE438" i="33"/>
  <c r="AF438" i="33" s="1"/>
  <c r="AJ438" i="33" s="1"/>
  <c r="AE436" i="33"/>
  <c r="AF436" i="33" s="1"/>
  <c r="AJ436" i="33" s="1"/>
  <c r="AE434" i="33"/>
  <c r="AF434" i="33" s="1"/>
  <c r="AJ434" i="33" s="1"/>
  <c r="AJ432" i="33"/>
  <c r="AE432" i="33"/>
  <c r="AF430" i="33"/>
  <c r="AJ430" i="33" s="1"/>
  <c r="AE430" i="33"/>
  <c r="AD430" i="33"/>
  <c r="AD432" i="33" s="1"/>
  <c r="AF432" i="33" s="1"/>
  <c r="AE428" i="33"/>
  <c r="AF428" i="33" s="1"/>
  <c r="G8" i="33" s="1"/>
  <c r="G15" i="33" s="1"/>
  <c r="AF426" i="33"/>
  <c r="AJ426" i="33" s="1"/>
  <c r="AE426" i="33"/>
  <c r="AC425" i="33"/>
  <c r="AC426" i="33" s="1"/>
  <c r="AC427" i="33" s="1"/>
  <c r="AC428" i="33" s="1"/>
  <c r="AC429" i="33" s="1"/>
  <c r="AC430" i="33" s="1"/>
  <c r="AC431" i="33" s="1"/>
  <c r="AC432" i="33" s="1"/>
  <c r="AC433" i="33" s="1"/>
  <c r="AC434" i="33" s="1"/>
  <c r="AC435" i="33" s="1"/>
  <c r="AC436" i="33" s="1"/>
  <c r="AC437" i="33" s="1"/>
  <c r="AC438" i="33" s="1"/>
  <c r="AC439" i="33" s="1"/>
  <c r="AC440" i="33" s="1"/>
  <c r="AC441" i="33" s="1"/>
  <c r="AC442" i="33" s="1"/>
  <c r="AC443" i="33" s="1"/>
  <c r="AF424" i="33"/>
  <c r="AJ424" i="33" s="1"/>
  <c r="AJ422" i="33"/>
  <c r="AF422" i="33"/>
  <c r="AC417" i="33"/>
  <c r="AH414" i="33"/>
  <c r="AK412" i="33"/>
  <c r="AK410" i="33"/>
  <c r="AE410" i="33"/>
  <c r="AK408" i="33"/>
  <c r="AE408" i="33"/>
  <c r="AK406" i="33"/>
  <c r="AE406" i="33"/>
  <c r="AI405" i="33"/>
  <c r="AI407" i="33" s="1"/>
  <c r="AI409" i="33" s="1"/>
  <c r="AI411" i="33" s="1"/>
  <c r="AI413" i="33" s="1"/>
  <c r="AK404" i="33"/>
  <c r="AE404" i="33"/>
  <c r="AK402" i="33"/>
  <c r="AE402" i="33"/>
  <c r="AK400" i="33"/>
  <c r="AE400" i="33"/>
  <c r="AK398" i="33"/>
  <c r="AE398" i="33"/>
  <c r="AK396" i="33"/>
  <c r="AE396" i="33"/>
  <c r="AK394" i="33"/>
  <c r="AE394" i="33"/>
  <c r="AK392" i="33"/>
  <c r="AE392" i="33"/>
  <c r="AK390" i="33"/>
  <c r="AE390" i="33"/>
  <c r="AK388" i="33"/>
  <c r="AE388" i="33"/>
  <c r="AK386" i="33"/>
  <c r="AE386" i="33"/>
  <c r="AK384" i="33"/>
  <c r="AE384" i="33"/>
  <c r="AK382" i="33"/>
  <c r="AE382" i="33"/>
  <c r="AF381" i="33"/>
  <c r="AK380" i="33"/>
  <c r="AE380" i="33"/>
  <c r="AF379" i="33"/>
  <c r="AK378" i="33"/>
  <c r="AE378" i="33"/>
  <c r="AJ377" i="33"/>
  <c r="AI377" i="33"/>
  <c r="AI379" i="33" s="1"/>
  <c r="AI381" i="33" s="1"/>
  <c r="AI383" i="33" s="1"/>
  <c r="AI385" i="33" s="1"/>
  <c r="AI387" i="33" s="1"/>
  <c r="AI389" i="33" s="1"/>
  <c r="AI391" i="33" s="1"/>
  <c r="AI393" i="33" s="1"/>
  <c r="AI395" i="33" s="1"/>
  <c r="AI397" i="33" s="1"/>
  <c r="AI399" i="33" s="1"/>
  <c r="AI401" i="33" s="1"/>
  <c r="AI403" i="33" s="1"/>
  <c r="AF377" i="33"/>
  <c r="AK377" i="33" s="1"/>
  <c r="AK376" i="33"/>
  <c r="AE376" i="33"/>
  <c r="AD376" i="33"/>
  <c r="AD378" i="33" s="1"/>
  <c r="AD380" i="33" s="1"/>
  <c r="AD382" i="33" s="1"/>
  <c r="AK375" i="33"/>
  <c r="AJ375" i="33"/>
  <c r="AF375" i="33"/>
  <c r="AF371" i="33"/>
  <c r="AJ371" i="33" s="1"/>
  <c r="AC370" i="33"/>
  <c r="AC371" i="33" s="1"/>
  <c r="AC372" i="33" s="1"/>
  <c r="AF369" i="33"/>
  <c r="AJ369" i="33" s="1"/>
  <c r="AA348" i="33"/>
  <c r="AA349" i="33" s="1"/>
  <c r="AI345" i="33"/>
  <c r="AI347" i="33" s="1"/>
  <c r="AI349" i="33" s="1"/>
  <c r="AI351" i="33" s="1"/>
  <c r="AI353" i="33" s="1"/>
  <c r="Z341" i="33"/>
  <c r="Z340" i="33"/>
  <c r="Z339" i="33"/>
  <c r="AA337" i="33"/>
  <c r="AA343" i="33" s="1"/>
  <c r="G336" i="33"/>
  <c r="G332" i="33"/>
  <c r="G333" i="33" s="1"/>
  <c r="G334" i="33" s="1"/>
  <c r="AA329" i="33"/>
  <c r="AI325" i="33"/>
  <c r="AI327" i="33" s="1"/>
  <c r="AI329" i="33" s="1"/>
  <c r="AI331" i="33" s="1"/>
  <c r="AI333" i="33" s="1"/>
  <c r="AI335" i="33" s="1"/>
  <c r="AI337" i="33" s="1"/>
  <c r="AI339" i="33" s="1"/>
  <c r="AI341" i="33" s="1"/>
  <c r="AI343" i="33" s="1"/>
  <c r="AA324" i="33"/>
  <c r="AI323" i="33"/>
  <c r="AA323" i="33"/>
  <c r="AC322" i="33"/>
  <c r="AD321" i="33"/>
  <c r="AC321" i="33"/>
  <c r="AE321" i="33" s="1"/>
  <c r="AA321" i="33"/>
  <c r="AI319" i="33"/>
  <c r="AI321" i="33" s="1"/>
  <c r="AC319" i="33"/>
  <c r="AC320" i="33" s="1"/>
  <c r="AE320" i="33" s="1"/>
  <c r="AA318" i="33"/>
  <c r="AF317" i="33"/>
  <c r="AJ317" i="33" s="1"/>
  <c r="AE317" i="33"/>
  <c r="AC317" i="33"/>
  <c r="AC316" i="33"/>
  <c r="AE318" i="33" s="1"/>
  <c r="AJ315" i="33"/>
  <c r="AF315" i="33"/>
  <c r="AC315" i="33"/>
  <c r="AA314" i="33"/>
  <c r="AA315" i="33" s="1"/>
  <c r="AA311" i="33"/>
  <c r="AA307" i="33"/>
  <c r="BJ301" i="33"/>
  <c r="K300" i="33"/>
  <c r="K301" i="33" s="1"/>
  <c r="K302" i="33" s="1"/>
  <c r="K303" i="33" s="1"/>
  <c r="K304" i="33" s="1"/>
  <c r="K305" i="33" s="1"/>
  <c r="K306" i="33" s="1"/>
  <c r="K307" i="33" s="1"/>
  <c r="BJ298" i="33"/>
  <c r="K296" i="33"/>
  <c r="K297" i="33" s="1"/>
  <c r="K298" i="33" s="1"/>
  <c r="K299" i="33" s="1"/>
  <c r="BJ295" i="33"/>
  <c r="BJ297" i="33" s="1"/>
  <c r="BJ300" i="33" s="1"/>
  <c r="BJ303" i="33" s="1"/>
  <c r="B295" i="33"/>
  <c r="AE294" i="33"/>
  <c r="AD294" i="33"/>
  <c r="AE292" i="33"/>
  <c r="AD292" i="33"/>
  <c r="AE290" i="33"/>
  <c r="AD290" i="33"/>
  <c r="AE288" i="33"/>
  <c r="AD288" i="33"/>
  <c r="AE286" i="33"/>
  <c r="AD286" i="33"/>
  <c r="AE284" i="33"/>
  <c r="AD284" i="33"/>
  <c r="AE282" i="33"/>
  <c r="AD282" i="33"/>
  <c r="AE280" i="33"/>
  <c r="AD280" i="33"/>
  <c r="AE278" i="33"/>
  <c r="AD278" i="33"/>
  <c r="AE276" i="33"/>
  <c r="AD276" i="33"/>
  <c r="AE274" i="33"/>
  <c r="AE295" i="33" s="1"/>
  <c r="AD274" i="33"/>
  <c r="AD269" i="33"/>
  <c r="AD271" i="33" s="1"/>
  <c r="AH268" i="33"/>
  <c r="AD268" i="33"/>
  <c r="AD270" i="33" s="1"/>
  <c r="AD267" i="33"/>
  <c r="AH266" i="33"/>
  <c r="AF264" i="33"/>
  <c r="AC257" i="33"/>
  <c r="AC259" i="33" s="1"/>
  <c r="AC264" i="33" s="1"/>
  <c r="AC265" i="33" s="1"/>
  <c r="AC266" i="33" s="1"/>
  <c r="AC267" i="33" s="1"/>
  <c r="AE251" i="33"/>
  <c r="AE249" i="33"/>
  <c r="AE247" i="33"/>
  <c r="AE245" i="33"/>
  <c r="AD245" i="33"/>
  <c r="AD247" i="33" s="1"/>
  <c r="AD249" i="33" s="1"/>
  <c r="AD251" i="33" s="1"/>
  <c r="AE243" i="33"/>
  <c r="AE241" i="33"/>
  <c r="AE239" i="33"/>
  <c r="AD239" i="33"/>
  <c r="AD241" i="33" s="1"/>
  <c r="AE237" i="33"/>
  <c r="AD237" i="33"/>
  <c r="AE235" i="33"/>
  <c r="AE233" i="33"/>
  <c r="AE231" i="33"/>
  <c r="AD231" i="33"/>
  <c r="AE229" i="33"/>
  <c r="AD229" i="33"/>
  <c r="AE227" i="33"/>
  <c r="AE225" i="33"/>
  <c r="AE223" i="33"/>
  <c r="AE221" i="33"/>
  <c r="AD220" i="33"/>
  <c r="AE219" i="33"/>
  <c r="AD219" i="33"/>
  <c r="AD221" i="33" s="1"/>
  <c r="AD223" i="33" s="1"/>
  <c r="AD225" i="33" s="1"/>
  <c r="AD218" i="33"/>
  <c r="AF217" i="33"/>
  <c r="AE217" i="33"/>
  <c r="AD216" i="33"/>
  <c r="AE215" i="33"/>
  <c r="AF215" i="33" s="1"/>
  <c r="AF213" i="33"/>
  <c r="AE213" i="33"/>
  <c r="AE211" i="33"/>
  <c r="AD211" i="33"/>
  <c r="AC211" i="33"/>
  <c r="AC212" i="33" s="1"/>
  <c r="AC213" i="33" s="1"/>
  <c r="AC214" i="33" s="1"/>
  <c r="AC215" i="33" s="1"/>
  <c r="AC216" i="33" s="1"/>
  <c r="AC217" i="33" s="1"/>
  <c r="AC218" i="33" s="1"/>
  <c r="AC219" i="33" s="1"/>
  <c r="AC220" i="33" s="1"/>
  <c r="AC221" i="33" s="1"/>
  <c r="AC222" i="33" s="1"/>
  <c r="AE210" i="33"/>
  <c r="AE209" i="33"/>
  <c r="AD209" i="33"/>
  <c r="AF209" i="33" s="1"/>
  <c r="Z209" i="33"/>
  <c r="AC208" i="33"/>
  <c r="AC209" i="33" s="1"/>
  <c r="AC210" i="33" s="1"/>
  <c r="AE205" i="33"/>
  <c r="AF205" i="33" s="1"/>
  <c r="T13" i="33" s="1"/>
  <c r="AC205" i="33"/>
  <c r="AE203" i="33"/>
  <c r="AF203" i="33" s="1"/>
  <c r="S13" i="33" s="1"/>
  <c r="AC203" i="33"/>
  <c r="AF201" i="33"/>
  <c r="AD195" i="33"/>
  <c r="BJ192" i="33"/>
  <c r="AD161" i="33"/>
  <c r="AD163" i="33" s="1"/>
  <c r="AD165" i="33" s="1"/>
  <c r="AD167" i="33" s="1"/>
  <c r="AD169" i="33" s="1"/>
  <c r="AD171" i="33" s="1"/>
  <c r="AD173" i="33" s="1"/>
  <c r="AD175" i="33" s="1"/>
  <c r="AD177" i="33" s="1"/>
  <c r="AD179" i="33" s="1"/>
  <c r="AD181" i="33" s="1"/>
  <c r="AD183" i="33" s="1"/>
  <c r="AD185" i="33" s="1"/>
  <c r="AD187" i="33" s="1"/>
  <c r="AD158" i="33"/>
  <c r="AH156" i="33"/>
  <c r="AH158" i="33" s="1"/>
  <c r="AD156" i="33"/>
  <c r="AC155" i="33"/>
  <c r="AH154" i="33"/>
  <c r="AH152" i="33"/>
  <c r="AE152" i="33"/>
  <c r="AF152" i="33" s="1"/>
  <c r="AC152" i="33"/>
  <c r="AC154" i="33" s="1"/>
  <c r="AE150" i="33"/>
  <c r="AF150" i="33" s="1"/>
  <c r="AF148" i="33"/>
  <c r="AC143" i="33"/>
  <c r="AC150" i="33" s="1"/>
  <c r="AI138" i="33"/>
  <c r="BJ137" i="33"/>
  <c r="AI137" i="33"/>
  <c r="BJ136" i="33"/>
  <c r="AI136" i="33"/>
  <c r="AI135" i="33"/>
  <c r="BP134" i="33"/>
  <c r="BJ134" i="33"/>
  <c r="AI134" i="33"/>
  <c r="AI133" i="33"/>
  <c r="AI132" i="33"/>
  <c r="AI131" i="33"/>
  <c r="AI129" i="33"/>
  <c r="AI127" i="33"/>
  <c r="W124" i="33"/>
  <c r="X123" i="33"/>
  <c r="W123" i="33"/>
  <c r="X122" i="33"/>
  <c r="Y57" i="33" s="1"/>
  <c r="AC121" i="33"/>
  <c r="W121" i="33"/>
  <c r="X121" i="33" s="1"/>
  <c r="X57" i="33" s="1"/>
  <c r="X120" i="33"/>
  <c r="W57" i="33" s="1"/>
  <c r="S120" i="33"/>
  <c r="S121" i="33" s="1"/>
  <c r="X119" i="33"/>
  <c r="S119" i="33"/>
  <c r="X118" i="33"/>
  <c r="U57" i="33" s="1"/>
  <c r="X117" i="33"/>
  <c r="X116" i="33"/>
  <c r="S57" i="33" s="1"/>
  <c r="Z57" i="33"/>
  <c r="V57" i="33"/>
  <c r="T57" i="33"/>
  <c r="E53" i="33"/>
  <c r="D53" i="33"/>
  <c r="C53" i="33"/>
  <c r="AK51" i="33"/>
  <c r="AK50" i="33"/>
  <c r="U48" i="33"/>
  <c r="AB47" i="33"/>
  <c r="Z47" i="33"/>
  <c r="AN46" i="33"/>
  <c r="U46" i="33"/>
  <c r="AL45" i="33"/>
  <c r="AK45" i="33"/>
  <c r="AJ45" i="33"/>
  <c r="AI45" i="33"/>
  <c r="AH45" i="33"/>
  <c r="AG45" i="33"/>
  <c r="AF45" i="33"/>
  <c r="AE45" i="33"/>
  <c r="AD45" i="33"/>
  <c r="AC45" i="33"/>
  <c r="AB45" i="33"/>
  <c r="AA45" i="33"/>
  <c r="Z45" i="33"/>
  <c r="Y45" i="33"/>
  <c r="X45" i="33"/>
  <c r="W45" i="33"/>
  <c r="V45" i="33"/>
  <c r="V44" i="33"/>
  <c r="AJ43" i="33"/>
  <c r="AI43" i="33"/>
  <c r="V43" i="33"/>
  <c r="AG42" i="33"/>
  <c r="AF42" i="33"/>
  <c r="AE42" i="33"/>
  <c r="AD42" i="33"/>
  <c r="AC42" i="33"/>
  <c r="AB42" i="33"/>
  <c r="AA42" i="33"/>
  <c r="Z42" i="33"/>
  <c r="X42" i="33"/>
  <c r="W42" i="33"/>
  <c r="V42" i="33"/>
  <c r="U42" i="33"/>
  <c r="T42" i="33"/>
  <c r="S42" i="33"/>
  <c r="R42" i="33"/>
  <c r="Q42" i="33"/>
  <c r="AG41" i="33"/>
  <c r="AF41" i="33"/>
  <c r="AE41" i="33"/>
  <c r="AD41" i="33"/>
  <c r="AC41" i="33"/>
  <c r="AB41" i="33"/>
  <c r="AA41" i="33"/>
  <c r="Z41" i="33"/>
  <c r="X41" i="33"/>
  <c r="W41" i="33"/>
  <c r="V41" i="33"/>
  <c r="U41" i="33"/>
  <c r="T41" i="33"/>
  <c r="S41" i="33"/>
  <c r="R41" i="33"/>
  <c r="Q41" i="33"/>
  <c r="P41" i="33"/>
  <c r="AG40" i="33"/>
  <c r="AF40" i="33"/>
  <c r="AE40" i="33"/>
  <c r="AD40" i="33"/>
  <c r="AC40" i="33"/>
  <c r="AB40" i="33"/>
  <c r="AA40" i="33"/>
  <c r="Z40" i="33"/>
  <c r="Y40" i="33"/>
  <c r="X40" i="33"/>
  <c r="W40" i="33"/>
  <c r="V40" i="33"/>
  <c r="U40" i="33"/>
  <c r="T40" i="33"/>
  <c r="S40" i="33"/>
  <c r="R40" i="33"/>
  <c r="Q40" i="33"/>
  <c r="AG39" i="33"/>
  <c r="AF39" i="33"/>
  <c r="AE39" i="33"/>
  <c r="AD39" i="33"/>
  <c r="AC39" i="33"/>
  <c r="AB39" i="33"/>
  <c r="AA39" i="33"/>
  <c r="Z39" i="33"/>
  <c r="X39" i="33"/>
  <c r="W39" i="33"/>
  <c r="V39" i="33"/>
  <c r="U39" i="33"/>
  <c r="T39" i="33"/>
  <c r="S39" i="33"/>
  <c r="R39" i="33"/>
  <c r="Q39" i="33"/>
  <c r="P39" i="33"/>
  <c r="O39" i="33"/>
  <c r="AF38" i="33"/>
  <c r="AE38" i="33"/>
  <c r="AD38" i="33"/>
  <c r="AC38" i="33"/>
  <c r="AB38" i="33"/>
  <c r="AA38" i="33"/>
  <c r="Z38" i="33"/>
  <c r="X38" i="33"/>
  <c r="W38" i="33"/>
  <c r="V38" i="33"/>
  <c r="U38" i="33"/>
  <c r="T38" i="33"/>
  <c r="S38" i="33"/>
  <c r="R38" i="33"/>
  <c r="Q38" i="33"/>
  <c r="P38" i="33"/>
  <c r="O38" i="33"/>
  <c r="N38" i="33"/>
  <c r="M38" i="33"/>
  <c r="L38" i="33"/>
  <c r="AC37" i="33"/>
  <c r="AB37" i="33"/>
  <c r="AA37" i="33"/>
  <c r="J36" i="33"/>
  <c r="B36" i="33"/>
  <c r="AC35" i="33"/>
  <c r="AA35" i="33"/>
  <c r="Z35" i="33"/>
  <c r="Y35" i="33"/>
  <c r="X35" i="33"/>
  <c r="W35" i="33"/>
  <c r="V35" i="33"/>
  <c r="U35" i="33"/>
  <c r="T35" i="33"/>
  <c r="S35" i="33"/>
  <c r="N35" i="33"/>
  <c r="K35" i="33"/>
  <c r="J35" i="33"/>
  <c r="I35" i="33"/>
  <c r="H35" i="33"/>
  <c r="F35" i="33"/>
  <c r="B35" i="33"/>
  <c r="X33" i="33"/>
  <c r="W33" i="33"/>
  <c r="V33" i="33"/>
  <c r="U33" i="33"/>
  <c r="T33" i="33"/>
  <c r="S33" i="33"/>
  <c r="R33" i="33"/>
  <c r="Q33" i="33"/>
  <c r="AH32" i="33"/>
  <c r="AG32" i="33"/>
  <c r="AF32" i="33"/>
  <c r="AE32" i="33"/>
  <c r="AD32" i="33"/>
  <c r="AC32" i="33"/>
  <c r="AB32" i="33"/>
  <c r="AA32" i="33"/>
  <c r="Z32" i="33"/>
  <c r="X32" i="33"/>
  <c r="W32" i="33"/>
  <c r="V32" i="33"/>
  <c r="U32" i="33"/>
  <c r="T32" i="33"/>
  <c r="S32" i="33"/>
  <c r="R32" i="33"/>
  <c r="Q32" i="33"/>
  <c r="N32" i="33"/>
  <c r="M32" i="33"/>
  <c r="L32" i="33"/>
  <c r="J32" i="33"/>
  <c r="AM31" i="33"/>
  <c r="T31" i="33"/>
  <c r="AG30" i="33"/>
  <c r="AF30" i="33"/>
  <c r="AE30" i="33"/>
  <c r="AD30" i="33"/>
  <c r="AC30" i="33"/>
  <c r="AB30" i="33"/>
  <c r="AA30" i="33"/>
  <c r="Z30" i="33"/>
  <c r="J30" i="33"/>
  <c r="I30" i="33"/>
  <c r="H30" i="33"/>
  <c r="B30" i="33"/>
  <c r="C22" i="33"/>
  <c r="C55" i="33" s="1"/>
  <c r="AO20" i="33"/>
  <c r="AN20" i="33"/>
  <c r="AM20" i="33"/>
  <c r="AL20" i="33"/>
  <c r="AK20" i="33"/>
  <c r="AJ20" i="33"/>
  <c r="AI20" i="33"/>
  <c r="AH20" i="33"/>
  <c r="AG20" i="33"/>
  <c r="AF20" i="33"/>
  <c r="AE20" i="33"/>
  <c r="AD20" i="33"/>
  <c r="AC20" i="33"/>
  <c r="AB20" i="33"/>
  <c r="AA20" i="33"/>
  <c r="Z20" i="33"/>
  <c r="Y20" i="33"/>
  <c r="X20" i="33"/>
  <c r="W20" i="33"/>
  <c r="V20" i="33"/>
  <c r="U20" i="33"/>
  <c r="T20" i="33"/>
  <c r="S20" i="33"/>
  <c r="R20" i="33"/>
  <c r="Q20" i="33"/>
  <c r="P20" i="33"/>
  <c r="O20" i="33"/>
  <c r="N20" i="33"/>
  <c r="M20" i="33"/>
  <c r="L20" i="33"/>
  <c r="K20" i="33"/>
  <c r="I19" i="33"/>
  <c r="W18" i="33"/>
  <c r="X18" i="33" s="1"/>
  <c r="Y18" i="33" s="1"/>
  <c r="Z18" i="33" s="1"/>
  <c r="AA18" i="33" s="1"/>
  <c r="V18" i="33"/>
  <c r="T18" i="33"/>
  <c r="U18" i="33" s="1"/>
  <c r="S18" i="33"/>
  <c r="Q18" i="33"/>
  <c r="J18" i="33"/>
  <c r="K18" i="33" s="1"/>
  <c r="L18" i="33" s="1"/>
  <c r="M18" i="33" s="1"/>
  <c r="N18" i="33" s="1"/>
  <c r="O18" i="33" s="1"/>
  <c r="W17" i="33"/>
  <c r="X17" i="33" s="1"/>
  <c r="Y17" i="33" s="1"/>
  <c r="Z17" i="33" s="1"/>
  <c r="AA17" i="33" s="1"/>
  <c r="V17" i="33"/>
  <c r="T17" i="33"/>
  <c r="U17" i="33" s="1"/>
  <c r="S17" i="33"/>
  <c r="Q17" i="33"/>
  <c r="J17" i="33"/>
  <c r="K17" i="33" s="1"/>
  <c r="L17" i="33" s="1"/>
  <c r="M17" i="33" s="1"/>
  <c r="N17" i="33" s="1"/>
  <c r="O17" i="33" s="1"/>
  <c r="I17" i="33"/>
  <c r="U16" i="33"/>
  <c r="V16" i="33" s="1"/>
  <c r="W16" i="33" s="1"/>
  <c r="X16" i="33" s="1"/>
  <c r="T16" i="33"/>
  <c r="Q16" i="33"/>
  <c r="H16" i="33"/>
  <c r="I16" i="33" s="1"/>
  <c r="J16" i="33" s="1"/>
  <c r="K16" i="33" s="1"/>
  <c r="L16" i="33" s="1"/>
  <c r="M16" i="33" s="1"/>
  <c r="N16" i="33" s="1"/>
  <c r="O16" i="33" s="1"/>
  <c r="K15" i="33"/>
  <c r="AE107" i="33" s="1"/>
  <c r="AF107" i="33" s="1"/>
  <c r="F15" i="33"/>
  <c r="AE102" i="33" s="1"/>
  <c r="AF102" i="33" s="1"/>
  <c r="AG102" i="33" s="1"/>
  <c r="E57" i="33" s="1"/>
  <c r="C15" i="33"/>
  <c r="C25" i="33" s="1"/>
  <c r="X13" i="33"/>
  <c r="V13" i="33"/>
  <c r="E13" i="33"/>
  <c r="B13" i="33"/>
  <c r="AH12" i="33"/>
  <c r="AG11" i="33"/>
  <c r="AF11" i="33"/>
  <c r="AE11" i="33"/>
  <c r="AD11" i="33"/>
  <c r="AC11" i="33"/>
  <c r="AB11" i="33"/>
  <c r="AA11" i="33"/>
  <c r="Z11" i="33"/>
  <c r="X11" i="33"/>
  <c r="W11" i="33"/>
  <c r="V11" i="33"/>
  <c r="U11" i="33"/>
  <c r="T11" i="33"/>
  <c r="S11" i="33"/>
  <c r="R11" i="33"/>
  <c r="Q11" i="33"/>
  <c r="E11" i="33"/>
  <c r="B11" i="33"/>
  <c r="AH10" i="33"/>
  <c r="AG10" i="33"/>
  <c r="AF10" i="33"/>
  <c r="AE10" i="33"/>
  <c r="AD10" i="33"/>
  <c r="AC10" i="33"/>
  <c r="AB10" i="33"/>
  <c r="AA10" i="33"/>
  <c r="Z10" i="33"/>
  <c r="X10" i="33"/>
  <c r="W10" i="33"/>
  <c r="V10" i="33"/>
  <c r="U10" i="33"/>
  <c r="T10" i="33"/>
  <c r="S10" i="33"/>
  <c r="R10" i="33"/>
  <c r="Q10" i="33"/>
  <c r="T9" i="33"/>
  <c r="S9" i="33"/>
  <c r="R9" i="33"/>
  <c r="K9" i="33"/>
  <c r="J9" i="33"/>
  <c r="E9" i="33"/>
  <c r="B9" i="33"/>
  <c r="Z8" i="33"/>
  <c r="Y8" i="33"/>
  <c r="X8" i="33"/>
  <c r="W8" i="33"/>
  <c r="V8" i="33"/>
  <c r="U8" i="33"/>
  <c r="T8" i="33"/>
  <c r="S8" i="33"/>
  <c r="R8" i="33"/>
  <c r="R15" i="33" s="1"/>
  <c r="Q8" i="33"/>
  <c r="O8" i="33"/>
  <c r="N8" i="33"/>
  <c r="M8" i="33"/>
  <c r="L8" i="33"/>
  <c r="K8" i="33"/>
  <c r="J8" i="33"/>
  <c r="I8" i="33"/>
  <c r="I15" i="33" s="1"/>
  <c r="H8" i="33"/>
  <c r="H15" i="33" s="1"/>
  <c r="F8" i="33"/>
  <c r="E8" i="33"/>
  <c r="E15" i="33" s="1"/>
  <c r="D8" i="33"/>
  <c r="D15" i="33" s="1"/>
  <c r="B8" i="33"/>
  <c r="C18" i="34" l="1"/>
  <c r="C32" i="34" s="1"/>
  <c r="C34" i="34" s="1"/>
  <c r="C62" i="34" s="1"/>
  <c r="D85" i="2"/>
  <c r="D18" i="34"/>
  <c r="D32" i="34" s="1"/>
  <c r="E85" i="2"/>
  <c r="G85" i="2"/>
  <c r="I85" i="2"/>
  <c r="H85" i="2"/>
  <c r="D55" i="34"/>
  <c r="D56" i="34" s="1"/>
  <c r="E55" i="34"/>
  <c r="E56" i="34" s="1"/>
  <c r="E8" i="34"/>
  <c r="I70" i="34"/>
  <c r="I71" i="34" s="1"/>
  <c r="I80" i="34" s="1"/>
  <c r="E70" i="34"/>
  <c r="E71" i="34" s="1"/>
  <c r="D78" i="34"/>
  <c r="D79" i="34" s="1"/>
  <c r="D49" i="34"/>
  <c r="D50" i="34" s="1"/>
  <c r="E10" i="34"/>
  <c r="C12" i="2"/>
  <c r="E6" i="52"/>
  <c r="E21" i="52" s="1"/>
  <c r="B2" i="61"/>
  <c r="B6" i="61" s="1"/>
  <c r="C14" i="2"/>
  <c r="E6" i="54"/>
  <c r="E21" i="54" s="1"/>
  <c r="B2" i="63"/>
  <c r="B6" i="63" s="1"/>
  <c r="C15" i="2"/>
  <c r="E6" i="55"/>
  <c r="K25" i="55" s="1"/>
  <c r="B2" i="64"/>
  <c r="B6" i="64" s="1"/>
  <c r="C8" i="2"/>
  <c r="E6" i="48"/>
  <c r="E21" i="48" s="1"/>
  <c r="B2" i="57"/>
  <c r="B6" i="57" s="1"/>
  <c r="C9" i="2"/>
  <c r="E6" i="49"/>
  <c r="I60" i="49" s="1"/>
  <c r="B61" i="49" s="1"/>
  <c r="G61" i="49" s="1"/>
  <c r="B2" i="58"/>
  <c r="B6" i="58" s="1"/>
  <c r="C7" i="56"/>
  <c r="C9" i="56" s="1"/>
  <c r="C11" i="56" s="1"/>
  <c r="C13" i="56" s="1"/>
  <c r="C15" i="56" s="1"/>
  <c r="C17" i="56" s="1"/>
  <c r="C19" i="56" s="1"/>
  <c r="C21" i="56" s="1"/>
  <c r="C23" i="56" s="1"/>
  <c r="C25" i="56" s="1"/>
  <c r="C27" i="56" s="1"/>
  <c r="C29" i="56" s="1"/>
  <c r="C31" i="56" s="1"/>
  <c r="C33" i="56" s="1"/>
  <c r="C35" i="56" s="1"/>
  <c r="C37" i="56" s="1"/>
  <c r="C39" i="56" s="1"/>
  <c r="C41" i="56" s="1"/>
  <c r="C43" i="56" s="1"/>
  <c r="C45" i="56" s="1"/>
  <c r="C47" i="56" s="1"/>
  <c r="C49" i="56" s="1"/>
  <c r="C51" i="56" s="1"/>
  <c r="C53" i="56" s="1"/>
  <c r="C55" i="56" s="1"/>
  <c r="C57" i="56" s="1"/>
  <c r="C59" i="56" s="1"/>
  <c r="C61" i="56" s="1"/>
  <c r="C63" i="56" s="1"/>
  <c r="C65" i="56" s="1"/>
  <c r="C10" i="2"/>
  <c r="B2" i="59"/>
  <c r="B6" i="59" s="1"/>
  <c r="E6" i="50"/>
  <c r="E21" i="50" s="1"/>
  <c r="D6" i="56"/>
  <c r="D7" i="56" s="1"/>
  <c r="C13" i="2"/>
  <c r="B2" i="62"/>
  <c r="B6" i="62" s="1"/>
  <c r="E6" i="53"/>
  <c r="K25" i="53" s="1"/>
  <c r="C11" i="2"/>
  <c r="B2" i="60"/>
  <c r="B6" i="60" s="1"/>
  <c r="E6" i="51"/>
  <c r="K25" i="51" s="1"/>
  <c r="C7" i="2"/>
  <c r="E6" i="47"/>
  <c r="E21" i="47" s="1"/>
  <c r="N28" i="2"/>
  <c r="C100" i="55"/>
  <c r="I100" i="55"/>
  <c r="B101" i="55" s="1"/>
  <c r="H100" i="55"/>
  <c r="G100" i="55"/>
  <c r="D100" i="55"/>
  <c r="C28" i="55"/>
  <c r="C29" i="54"/>
  <c r="D100" i="54"/>
  <c r="C100" i="54"/>
  <c r="H100" i="54"/>
  <c r="I100" i="54"/>
  <c r="B101" i="54" s="1"/>
  <c r="G100" i="54"/>
  <c r="C100" i="53"/>
  <c r="I100" i="53"/>
  <c r="B101" i="53" s="1"/>
  <c r="G100" i="53"/>
  <c r="H100" i="53"/>
  <c r="D100" i="53"/>
  <c r="C28" i="53"/>
  <c r="C28" i="52"/>
  <c r="G100" i="52"/>
  <c r="D100" i="52"/>
  <c r="C100" i="52"/>
  <c r="H100" i="52"/>
  <c r="I100" i="52"/>
  <c r="B101" i="52" s="1"/>
  <c r="C28" i="51"/>
  <c r="D100" i="51"/>
  <c r="C100" i="51"/>
  <c r="G100" i="51"/>
  <c r="H100" i="51"/>
  <c r="I100" i="51"/>
  <c r="B101" i="51" s="1"/>
  <c r="C99" i="50"/>
  <c r="I99" i="50"/>
  <c r="B100" i="50" s="1"/>
  <c r="H99" i="50"/>
  <c r="G99" i="50"/>
  <c r="D99" i="50"/>
  <c r="C28" i="50"/>
  <c r="C31" i="49"/>
  <c r="G99" i="49"/>
  <c r="D99" i="49"/>
  <c r="C99" i="49"/>
  <c r="I99" i="49"/>
  <c r="B100" i="49" s="1"/>
  <c r="H99" i="49"/>
  <c r="C28" i="48"/>
  <c r="I99" i="48"/>
  <c r="B100" i="48" s="1"/>
  <c r="H99" i="48"/>
  <c r="G99" i="48"/>
  <c r="D99" i="48"/>
  <c r="C99" i="48"/>
  <c r="C28" i="47"/>
  <c r="I99" i="47"/>
  <c r="B100" i="47" s="1"/>
  <c r="G99" i="47"/>
  <c r="H99" i="47"/>
  <c r="D99" i="47"/>
  <c r="C99" i="47"/>
  <c r="C7" i="36"/>
  <c r="B7" i="36"/>
  <c r="E21" i="35"/>
  <c r="D61" i="35" s="1"/>
  <c r="C61" i="35"/>
  <c r="G61" i="35"/>
  <c r="C29" i="35"/>
  <c r="H76" i="34"/>
  <c r="G76" i="34"/>
  <c r="G74" i="34"/>
  <c r="F70" i="34"/>
  <c r="F71" i="34" s="1"/>
  <c r="G70" i="34"/>
  <c r="G71" i="34" s="1"/>
  <c r="F76" i="34"/>
  <c r="N35" i="2"/>
  <c r="E76" i="34"/>
  <c r="H70" i="34"/>
  <c r="H71" i="34" s="1"/>
  <c r="G55" i="34"/>
  <c r="G56" i="34" s="1"/>
  <c r="G72" i="34" s="1"/>
  <c r="H55" i="34"/>
  <c r="H56" i="34" s="1"/>
  <c r="H72" i="34" s="1"/>
  <c r="F55" i="34"/>
  <c r="F56" i="34" s="1"/>
  <c r="F72" i="34" s="1"/>
  <c r="E72" i="34"/>
  <c r="G81" i="3"/>
  <c r="E81" i="3"/>
  <c r="F81" i="3"/>
  <c r="E75" i="34"/>
  <c r="F75" i="34"/>
  <c r="AE103" i="33"/>
  <c r="AF103" i="33" s="1"/>
  <c r="AG103" i="33" s="1"/>
  <c r="F57" i="33" s="1"/>
  <c r="G22" i="33"/>
  <c r="AE100" i="33"/>
  <c r="AF100" i="33" s="1"/>
  <c r="AG100" i="33" s="1"/>
  <c r="C57" i="33" s="1"/>
  <c r="C59" i="33" s="1"/>
  <c r="D22" i="33"/>
  <c r="D55" i="33" s="1"/>
  <c r="D25" i="33"/>
  <c r="AC223" i="33"/>
  <c r="AC224" i="33" s="1"/>
  <c r="AE101" i="33"/>
  <c r="AF101" i="33" s="1"/>
  <c r="AG101" i="33" s="1"/>
  <c r="D57" i="33" s="1"/>
  <c r="D59" i="33" s="1"/>
  <c r="E25" i="33"/>
  <c r="E22" i="33"/>
  <c r="E55" i="33" s="1"/>
  <c r="E59" i="33" s="1"/>
  <c r="AE105" i="33"/>
  <c r="AF105" i="33" s="1"/>
  <c r="I22" i="33"/>
  <c r="AE114" i="33"/>
  <c r="AF114" i="33" s="1"/>
  <c r="AG114" i="33" s="1"/>
  <c r="Q57" i="33" s="1"/>
  <c r="R22" i="33"/>
  <c r="AD222" i="33"/>
  <c r="AF221" i="33"/>
  <c r="AB13" i="33" s="1"/>
  <c r="J15" i="33"/>
  <c r="AJ107" i="33"/>
  <c r="AG107" i="33"/>
  <c r="J57" i="33" s="1"/>
  <c r="AD700" i="33"/>
  <c r="AF698" i="33"/>
  <c r="AF211" i="33"/>
  <c r="W13" i="33" s="1"/>
  <c r="AC323" i="33"/>
  <c r="AE322" i="33"/>
  <c r="F22" i="33"/>
  <c r="K22" i="33"/>
  <c r="BL138" i="33"/>
  <c r="AJ446" i="33"/>
  <c r="P8" i="33"/>
  <c r="AE155" i="33"/>
  <c r="AC156" i="33"/>
  <c r="AC157" i="33" s="1"/>
  <c r="AJ428" i="33"/>
  <c r="AE104" i="33"/>
  <c r="AF104" i="33" s="1"/>
  <c r="H22" i="33"/>
  <c r="F53" i="33"/>
  <c r="AC122" i="33"/>
  <c r="AC373" i="33"/>
  <c r="AC374" i="33" s="1"/>
  <c r="AC375" i="33" s="1"/>
  <c r="AC376" i="33" s="1"/>
  <c r="AC377" i="33" s="1"/>
  <c r="AC378" i="33" s="1"/>
  <c r="AC379" i="33" s="1"/>
  <c r="AC380" i="33" s="1"/>
  <c r="AC381" i="33" s="1"/>
  <c r="AC382" i="33" s="1"/>
  <c r="AC383" i="33" s="1"/>
  <c r="AC384" i="33" s="1"/>
  <c r="AC385" i="33" s="1"/>
  <c r="AC386" i="33" s="1"/>
  <c r="AE372" i="33"/>
  <c r="AC1031" i="33"/>
  <c r="AE1030" i="33"/>
  <c r="AC207" i="33"/>
  <c r="AC206" i="33"/>
  <c r="AE206" i="33" s="1"/>
  <c r="L295" i="33"/>
  <c r="B296" i="33" s="1"/>
  <c r="J295" i="33"/>
  <c r="AD354" i="33"/>
  <c r="AK381" i="33"/>
  <c r="AJ381" i="33"/>
  <c r="AH160" i="33"/>
  <c r="BJ304" i="33"/>
  <c r="BJ306" i="33"/>
  <c r="AD1115" i="33"/>
  <c r="AD1117" i="33" s="1"/>
  <c r="AD1119" i="33" s="1"/>
  <c r="AD1121" i="33" s="1"/>
  <c r="AD1123" i="33" s="1"/>
  <c r="AD1125" i="33" s="1"/>
  <c r="AD1127" i="33" s="1"/>
  <c r="AD1129" i="33" s="1"/>
  <c r="AD1131" i="33" s="1"/>
  <c r="AD1133" i="33" s="1"/>
  <c r="AC1114" i="33"/>
  <c r="J53" i="33"/>
  <c r="AH270" i="33"/>
  <c r="AF321" i="33"/>
  <c r="AD323" i="33"/>
  <c r="AD325" i="33" s="1"/>
  <c r="AD327" i="33" s="1"/>
  <c r="AD329" i="33" s="1"/>
  <c r="AD331" i="33" s="1"/>
  <c r="AD333" i="33" s="1"/>
  <c r="AD335" i="33" s="1"/>
  <c r="AD337" i="33" s="1"/>
  <c r="AD339" i="33" s="1"/>
  <c r="AD341" i="33" s="1"/>
  <c r="AD343" i="33" s="1"/>
  <c r="AD345" i="33" s="1"/>
  <c r="AD347" i="33" s="1"/>
  <c r="AD349" i="33" s="1"/>
  <c r="AD351" i="33" s="1"/>
  <c r="AC153" i="33"/>
  <c r="AE153" i="33" s="1"/>
  <c r="AC268" i="33"/>
  <c r="AC269" i="33" s="1"/>
  <c r="AE268" i="33"/>
  <c r="AF268" i="33" s="1"/>
  <c r="T12" i="33" s="1"/>
  <c r="T15" i="33" s="1"/>
  <c r="AF383" i="33"/>
  <c r="AD384" i="33"/>
  <c r="AE465" i="33"/>
  <c r="AF477" i="33"/>
  <c r="F36" i="33" s="1"/>
  <c r="AD677" i="33"/>
  <c r="AF675" i="33"/>
  <c r="W125" i="33"/>
  <c r="X124" i="33"/>
  <c r="AA57" i="33" s="1"/>
  <c r="AD160" i="33"/>
  <c r="AD162" i="33" s="1"/>
  <c r="AD164" i="33" s="1"/>
  <c r="AD166" i="33" s="1"/>
  <c r="AD168" i="33" s="1"/>
  <c r="AD170" i="33" s="1"/>
  <c r="AD172" i="33" s="1"/>
  <c r="AD174" i="33" s="1"/>
  <c r="AD176" i="33" s="1"/>
  <c r="AD178" i="33" s="1"/>
  <c r="AD180" i="33" s="1"/>
  <c r="AD182" i="33" s="1"/>
  <c r="AD184" i="33" s="1"/>
  <c r="AD186" i="33" s="1"/>
  <c r="AD188" i="33" s="1"/>
  <c r="AD273" i="33"/>
  <c r="AF272" i="33"/>
  <c r="AC272" i="33"/>
  <c r="AC273" i="33" s="1"/>
  <c r="AC274" i="33" s="1"/>
  <c r="AC275" i="33" s="1"/>
  <c r="AE478" i="33"/>
  <c r="AF479" i="33" s="1"/>
  <c r="G36" i="33" s="1"/>
  <c r="G53" i="33" s="1"/>
  <c r="AC479" i="33"/>
  <c r="AC480" i="33" s="1"/>
  <c r="AE684" i="33"/>
  <c r="AE253" i="33"/>
  <c r="AF219" i="33"/>
  <c r="AA13" i="33" s="1"/>
  <c r="AE266" i="33"/>
  <c r="AF266" i="33" s="1"/>
  <c r="S12" i="33" s="1"/>
  <c r="S15" i="33" s="1"/>
  <c r="AC699" i="33"/>
  <c r="AC700" i="33" s="1"/>
  <c r="AC701" i="33" s="1"/>
  <c r="AC702" i="33" s="1"/>
  <c r="AD490" i="33"/>
  <c r="AF489" i="33"/>
  <c r="L36" i="33" s="1"/>
  <c r="AF794" i="33"/>
  <c r="AE319" i="33"/>
  <c r="AF557" i="33"/>
  <c r="AJ557" i="33" s="1"/>
  <c r="AC648" i="33"/>
  <c r="AC649" i="33" s="1"/>
  <c r="AK379" i="33"/>
  <c r="AJ379" i="33"/>
  <c r="AF647" i="33"/>
  <c r="AE764" i="33"/>
  <c r="AG888" i="33"/>
  <c r="AG889" i="33"/>
  <c r="AD1036" i="33"/>
  <c r="AF747" i="33"/>
  <c r="F30" i="33" s="1"/>
  <c r="AE794" i="33"/>
  <c r="AF777" i="33"/>
  <c r="G30" i="33" s="1"/>
  <c r="AF824" i="33"/>
  <c r="AD460" i="33"/>
  <c r="AF487" i="33"/>
  <c r="K36" i="33" s="1"/>
  <c r="K53" i="33" s="1"/>
  <c r="AF539" i="33"/>
  <c r="AD541" i="33"/>
  <c r="AD649" i="33"/>
  <c r="AA325" i="33"/>
  <c r="AD559" i="33"/>
  <c r="AE630" i="33"/>
  <c r="AE632" i="33" s="1"/>
  <c r="AF585" i="33"/>
  <c r="AF630" i="33" s="1"/>
  <c r="AE631" i="33"/>
  <c r="AD759" i="33"/>
  <c r="AH888" i="33"/>
  <c r="AH889" i="33"/>
  <c r="AN1063" i="33"/>
  <c r="AN1062" i="33"/>
  <c r="AJ1214" i="33"/>
  <c r="AL1213" i="33"/>
  <c r="AD887" i="33"/>
  <c r="AC888" i="33" s="1"/>
  <c r="AF946" i="33"/>
  <c r="AD948" i="33"/>
  <c r="AC949" i="33" s="1"/>
  <c r="AC950" i="33" s="1"/>
  <c r="AG1066" i="33"/>
  <c r="AG1067" i="33"/>
  <c r="AE1147" i="33"/>
  <c r="AJ1162" i="33"/>
  <c r="AJ1163" i="33" s="1"/>
  <c r="AL1161" i="33"/>
  <c r="AE711" i="33"/>
  <c r="AE736" i="33"/>
  <c r="AD842" i="33"/>
  <c r="AF842" i="33" s="1"/>
  <c r="M35" i="33" s="1"/>
  <c r="AF840" i="33"/>
  <c r="AD847" i="33"/>
  <c r="AF846" i="33"/>
  <c r="O35" i="33" s="1"/>
  <c r="AJ1065" i="33"/>
  <c r="AD1167" i="33"/>
  <c r="AE824" i="33"/>
  <c r="AK1067" i="33"/>
  <c r="AF736" i="33"/>
  <c r="AD977" i="33"/>
  <c r="AM1064" i="33"/>
  <c r="V31" i="33" s="1"/>
  <c r="AE1163" i="33"/>
  <c r="AE1164" i="33" s="1"/>
  <c r="AC1164" i="33"/>
  <c r="AC1165" i="33" s="1"/>
  <c r="AS1163" i="33"/>
  <c r="AS1164" i="33" s="1"/>
  <c r="AF938" i="33"/>
  <c r="AC1001" i="33"/>
  <c r="AE1000" i="33"/>
  <c r="AF1062" i="33"/>
  <c r="Q30" i="33" s="1"/>
  <c r="AD1063" i="33"/>
  <c r="AC1064" i="33" s="1"/>
  <c r="AC1065" i="33" s="1"/>
  <c r="AG1109" i="33"/>
  <c r="AG1110" i="33"/>
  <c r="AG1163" i="33"/>
  <c r="X1111" i="33"/>
  <c r="W44" i="33" s="1"/>
  <c r="V1112" i="33"/>
  <c r="AN1161" i="33"/>
  <c r="AN1160" i="33"/>
  <c r="AD1223" i="33"/>
  <c r="AC1263" i="33"/>
  <c r="AE1262" i="33"/>
  <c r="AE1105" i="33"/>
  <c r="AF1105" i="33" s="1"/>
  <c r="T43" i="33" s="1"/>
  <c r="AC1106" i="33"/>
  <c r="AT1162" i="33"/>
  <c r="AU1215" i="33"/>
  <c r="AU1214" i="33"/>
  <c r="AM1062" i="33"/>
  <c r="U31" i="33" s="1"/>
  <c r="AF1113" i="33"/>
  <c r="X43" i="33" s="1"/>
  <c r="AD1114" i="33"/>
  <c r="AF1111" i="33"/>
  <c r="W43" i="33" s="1"/>
  <c r="Y1107" i="33"/>
  <c r="Y1108" i="33"/>
  <c r="U1111" i="33"/>
  <c r="U1112" i="33" s="1"/>
  <c r="AF1164" i="33"/>
  <c r="W46" i="33" s="1"/>
  <c r="AU1163" i="33"/>
  <c r="AN1216" i="33"/>
  <c r="AN1217" i="33"/>
  <c r="AK1163" i="33"/>
  <c r="AK1219" i="33"/>
  <c r="AG1266" i="33"/>
  <c r="AG1265" i="33"/>
  <c r="AE1366" i="33"/>
  <c r="AF1162" i="33"/>
  <c r="V46" i="33" s="1"/>
  <c r="AF1214" i="33"/>
  <c r="AD1270" i="33"/>
  <c r="AF1325" i="33"/>
  <c r="X34" i="33" s="1"/>
  <c r="AD1326" i="33"/>
  <c r="AC1399" i="33"/>
  <c r="AC1400" i="33" s="1"/>
  <c r="AD1321" i="33"/>
  <c r="AS1213" i="33"/>
  <c r="AQ1214" i="33"/>
  <c r="AD1440" i="33"/>
  <c r="AR1163" i="33"/>
  <c r="AC1215" i="33"/>
  <c r="AC1216" i="33" s="1"/>
  <c r="AG1215" i="33"/>
  <c r="AG1214" i="33"/>
  <c r="AR1223" i="33"/>
  <c r="AF1323" i="33"/>
  <c r="W34" i="33" s="1"/>
  <c r="AE1426" i="33"/>
  <c r="AF1394" i="33"/>
  <c r="AG1324" i="33"/>
  <c r="AG1323" i="33"/>
  <c r="AD1422" i="33"/>
  <c r="AF1422" i="33" s="1"/>
  <c r="AF1420" i="33"/>
  <c r="AC1437" i="33"/>
  <c r="AC1438" i="33" s="1"/>
  <c r="AE1436" i="33"/>
  <c r="AG1263" i="33"/>
  <c r="AD1398" i="33"/>
  <c r="F19" i="34" l="1"/>
  <c r="E18" i="34"/>
  <c r="E32" i="34" s="1"/>
  <c r="F7" i="34"/>
  <c r="F8" i="34" s="1"/>
  <c r="E112" i="3"/>
  <c r="D98" i="2"/>
  <c r="K25" i="52"/>
  <c r="I25" i="50"/>
  <c r="I25" i="52"/>
  <c r="I25" i="51"/>
  <c r="I60" i="52"/>
  <c r="B61" i="52" s="1"/>
  <c r="G61" i="52" s="1"/>
  <c r="I60" i="53"/>
  <c r="B61" i="53" s="1"/>
  <c r="G61" i="53" s="1"/>
  <c r="C16" i="2"/>
  <c r="E21" i="53"/>
  <c r="K25" i="49"/>
  <c r="E21" i="49"/>
  <c r="D61" i="49" s="1"/>
  <c r="H61" i="49" s="1"/>
  <c r="I61" i="49" s="1"/>
  <c r="B62" i="49" s="1"/>
  <c r="G62" i="49" s="1"/>
  <c r="I60" i="51"/>
  <c r="B61" i="51" s="1"/>
  <c r="C61" i="51" s="1"/>
  <c r="I25" i="49"/>
  <c r="I25" i="53"/>
  <c r="I25" i="55"/>
  <c r="B8" i="56"/>
  <c r="B9" i="56" s="1"/>
  <c r="B10" i="56" s="1"/>
  <c r="I60" i="55"/>
  <c r="B61" i="55" s="1"/>
  <c r="C61" i="55" s="1"/>
  <c r="E21" i="51"/>
  <c r="I60" i="50"/>
  <c r="B61" i="50" s="1"/>
  <c r="G61" i="50" s="1"/>
  <c r="D6" i="60"/>
  <c r="B7" i="60"/>
  <c r="C7" i="60"/>
  <c r="D6" i="59"/>
  <c r="C7" i="59"/>
  <c r="B7" i="59"/>
  <c r="K25" i="54"/>
  <c r="I60" i="54"/>
  <c r="B61" i="54" s="1"/>
  <c r="I25" i="54"/>
  <c r="K25" i="50"/>
  <c r="B7" i="57"/>
  <c r="D6" i="57"/>
  <c r="D7" i="57" s="1"/>
  <c r="C7" i="57"/>
  <c r="C9" i="57" s="1"/>
  <c r="C11" i="57" s="1"/>
  <c r="C13" i="57" s="1"/>
  <c r="C15" i="57" s="1"/>
  <c r="C17" i="57" s="1"/>
  <c r="C19" i="57" s="1"/>
  <c r="C21" i="57" s="1"/>
  <c r="C23" i="57" s="1"/>
  <c r="C25" i="57" s="1"/>
  <c r="C27" i="57" s="1"/>
  <c r="C29" i="57" s="1"/>
  <c r="C31" i="57" s="1"/>
  <c r="C33" i="57" s="1"/>
  <c r="C35" i="57" s="1"/>
  <c r="C37" i="57" s="1"/>
  <c r="C39" i="57" s="1"/>
  <c r="C41" i="57" s="1"/>
  <c r="C43" i="57" s="1"/>
  <c r="C45" i="57" s="1"/>
  <c r="C47" i="57" s="1"/>
  <c r="C49" i="57" s="1"/>
  <c r="C51" i="57" s="1"/>
  <c r="C53" i="57" s="1"/>
  <c r="C55" i="57" s="1"/>
  <c r="C57" i="57" s="1"/>
  <c r="C59" i="57" s="1"/>
  <c r="C61" i="57" s="1"/>
  <c r="C63" i="57" s="1"/>
  <c r="C65" i="57" s="1"/>
  <c r="C68" i="57" s="1"/>
  <c r="E7" i="56"/>
  <c r="B7" i="63"/>
  <c r="D6" i="63"/>
  <c r="D7" i="63" s="1"/>
  <c r="C7" i="63"/>
  <c r="C9" i="63" s="1"/>
  <c r="C11" i="63" s="1"/>
  <c r="C13" i="63" s="1"/>
  <c r="C15" i="63" s="1"/>
  <c r="C17" i="63" s="1"/>
  <c r="C19" i="63" s="1"/>
  <c r="C21" i="63" s="1"/>
  <c r="C23" i="63" s="1"/>
  <c r="C25" i="63" s="1"/>
  <c r="C27" i="63" s="1"/>
  <c r="C29" i="63" s="1"/>
  <c r="C31" i="63" s="1"/>
  <c r="C33" i="63" s="1"/>
  <c r="C35" i="63" s="1"/>
  <c r="C37" i="63" s="1"/>
  <c r="C39" i="63" s="1"/>
  <c r="C41" i="63" s="1"/>
  <c r="C43" i="63" s="1"/>
  <c r="C45" i="63" s="1"/>
  <c r="C47" i="63" s="1"/>
  <c r="C49" i="63" s="1"/>
  <c r="C51" i="63" s="1"/>
  <c r="C53" i="63" s="1"/>
  <c r="C55" i="63" s="1"/>
  <c r="C57" i="63" s="1"/>
  <c r="C59" i="63" s="1"/>
  <c r="C61" i="63" s="1"/>
  <c r="C63" i="63" s="1"/>
  <c r="C65" i="63" s="1"/>
  <c r="I60" i="48"/>
  <c r="B61" i="48" s="1"/>
  <c r="I25" i="48"/>
  <c r="K25" i="48"/>
  <c r="D6" i="61"/>
  <c r="D7" i="61" s="1"/>
  <c r="C7" i="61"/>
  <c r="C9" i="61" s="1"/>
  <c r="C11" i="61" s="1"/>
  <c r="C13" i="61" s="1"/>
  <c r="C15" i="61" s="1"/>
  <c r="C17" i="61" s="1"/>
  <c r="C19" i="61" s="1"/>
  <c r="C21" i="61" s="1"/>
  <c r="C23" i="61" s="1"/>
  <c r="C25" i="61" s="1"/>
  <c r="C27" i="61" s="1"/>
  <c r="C29" i="61" s="1"/>
  <c r="C31" i="61" s="1"/>
  <c r="C33" i="61" s="1"/>
  <c r="C35" i="61" s="1"/>
  <c r="C37" i="61" s="1"/>
  <c r="C39" i="61" s="1"/>
  <c r="C41" i="61" s="1"/>
  <c r="C43" i="61" s="1"/>
  <c r="C45" i="61" s="1"/>
  <c r="C47" i="61" s="1"/>
  <c r="C49" i="61" s="1"/>
  <c r="C51" i="61" s="1"/>
  <c r="C53" i="61" s="1"/>
  <c r="C55" i="61" s="1"/>
  <c r="C57" i="61" s="1"/>
  <c r="C59" i="61" s="1"/>
  <c r="C61" i="61" s="1"/>
  <c r="C63" i="61" s="1"/>
  <c r="C65" i="61" s="1"/>
  <c r="B7" i="61"/>
  <c r="E21" i="55"/>
  <c r="C7" i="62"/>
  <c r="C9" i="62" s="1"/>
  <c r="C11" i="62" s="1"/>
  <c r="C13" i="62" s="1"/>
  <c r="C15" i="62" s="1"/>
  <c r="C17" i="62" s="1"/>
  <c r="C19" i="62" s="1"/>
  <c r="C21" i="62" s="1"/>
  <c r="C23" i="62" s="1"/>
  <c r="C25" i="62" s="1"/>
  <c r="C27" i="62" s="1"/>
  <c r="C29" i="62" s="1"/>
  <c r="C31" i="62" s="1"/>
  <c r="C33" i="62" s="1"/>
  <c r="C35" i="62" s="1"/>
  <c r="C37" i="62" s="1"/>
  <c r="C39" i="62" s="1"/>
  <c r="C41" i="62" s="1"/>
  <c r="C43" i="62" s="1"/>
  <c r="C45" i="62" s="1"/>
  <c r="C47" i="62" s="1"/>
  <c r="C49" i="62" s="1"/>
  <c r="C51" i="62" s="1"/>
  <c r="C53" i="62" s="1"/>
  <c r="C55" i="62" s="1"/>
  <c r="C57" i="62" s="1"/>
  <c r="C59" i="62" s="1"/>
  <c r="C61" i="62" s="1"/>
  <c r="C63" i="62" s="1"/>
  <c r="C65" i="62" s="1"/>
  <c r="B7" i="62"/>
  <c r="D6" i="62"/>
  <c r="B7" i="58"/>
  <c r="D6" i="58"/>
  <c r="C7" i="58"/>
  <c r="C9" i="58" s="1"/>
  <c r="C11" i="58" s="1"/>
  <c r="C13" i="58" s="1"/>
  <c r="C15" i="58" s="1"/>
  <c r="C17" i="58" s="1"/>
  <c r="C19" i="58" s="1"/>
  <c r="C21" i="58" s="1"/>
  <c r="C23" i="58" s="1"/>
  <c r="C25" i="58" s="1"/>
  <c r="C27" i="58" s="1"/>
  <c r="C29" i="58" s="1"/>
  <c r="C31" i="58" s="1"/>
  <c r="C33" i="58" s="1"/>
  <c r="C35" i="58" s="1"/>
  <c r="C37" i="58" s="1"/>
  <c r="C39" i="58" s="1"/>
  <c r="C41" i="58" s="1"/>
  <c r="C43" i="58" s="1"/>
  <c r="C45" i="58" s="1"/>
  <c r="C47" i="58" s="1"/>
  <c r="C49" i="58" s="1"/>
  <c r="C51" i="58" s="1"/>
  <c r="C53" i="58" s="1"/>
  <c r="C55" i="58" s="1"/>
  <c r="C57" i="58" s="1"/>
  <c r="C59" i="58" s="1"/>
  <c r="C61" i="58" s="1"/>
  <c r="C63" i="58" s="1"/>
  <c r="C65" i="58" s="1"/>
  <c r="C7" i="64"/>
  <c r="C9" i="64" s="1"/>
  <c r="C11" i="64" s="1"/>
  <c r="C13" i="64" s="1"/>
  <c r="C15" i="64" s="1"/>
  <c r="C17" i="64" s="1"/>
  <c r="C19" i="64" s="1"/>
  <c r="C21" i="64" s="1"/>
  <c r="C23" i="64" s="1"/>
  <c r="C25" i="64" s="1"/>
  <c r="C27" i="64" s="1"/>
  <c r="C29" i="64" s="1"/>
  <c r="C31" i="64" s="1"/>
  <c r="C33" i="64" s="1"/>
  <c r="C35" i="64" s="1"/>
  <c r="C37" i="64" s="1"/>
  <c r="C39" i="64" s="1"/>
  <c r="C41" i="64" s="1"/>
  <c r="C43" i="64" s="1"/>
  <c r="C45" i="64" s="1"/>
  <c r="C47" i="64" s="1"/>
  <c r="C49" i="64" s="1"/>
  <c r="C51" i="64" s="1"/>
  <c r="C53" i="64" s="1"/>
  <c r="C55" i="64" s="1"/>
  <c r="C57" i="64" s="1"/>
  <c r="C59" i="64" s="1"/>
  <c r="C61" i="64" s="1"/>
  <c r="C63" i="64" s="1"/>
  <c r="C65" i="64" s="1"/>
  <c r="B7" i="64"/>
  <c r="D6" i="64"/>
  <c r="C68" i="56"/>
  <c r="C61" i="49"/>
  <c r="K25" i="47"/>
  <c r="I25" i="47"/>
  <c r="I60" i="47"/>
  <c r="B61" i="47" s="1"/>
  <c r="D61" i="47" s="1"/>
  <c r="C29" i="55"/>
  <c r="G101" i="55"/>
  <c r="D101" i="55"/>
  <c r="C101" i="55"/>
  <c r="I101" i="55"/>
  <c r="B102" i="55" s="1"/>
  <c r="H101" i="55"/>
  <c r="H101" i="54"/>
  <c r="G101" i="54"/>
  <c r="D101" i="54"/>
  <c r="C101" i="54"/>
  <c r="I101" i="54"/>
  <c r="B102" i="54" s="1"/>
  <c r="C30" i="54"/>
  <c r="C29" i="53"/>
  <c r="G101" i="53"/>
  <c r="D101" i="53"/>
  <c r="C101" i="53"/>
  <c r="I101" i="53"/>
  <c r="B102" i="53" s="1"/>
  <c r="H101" i="53"/>
  <c r="I101" i="52"/>
  <c r="B102" i="52" s="1"/>
  <c r="H101" i="52"/>
  <c r="G101" i="52"/>
  <c r="D101" i="52"/>
  <c r="C101" i="52"/>
  <c r="C29" i="52"/>
  <c r="C29" i="51"/>
  <c r="H101" i="51"/>
  <c r="G101" i="51"/>
  <c r="D101" i="51"/>
  <c r="C101" i="51"/>
  <c r="I101" i="51"/>
  <c r="B102" i="51" s="1"/>
  <c r="G100" i="50"/>
  <c r="D100" i="50"/>
  <c r="C100" i="50"/>
  <c r="I100" i="50"/>
  <c r="B101" i="50" s="1"/>
  <c r="H100" i="50"/>
  <c r="C29" i="50"/>
  <c r="C32" i="49"/>
  <c r="I100" i="49"/>
  <c r="B101" i="49" s="1"/>
  <c r="H100" i="49"/>
  <c r="G100" i="49"/>
  <c r="D100" i="49"/>
  <c r="C100" i="49"/>
  <c r="C29" i="48"/>
  <c r="I100" i="48"/>
  <c r="B101" i="48" s="1"/>
  <c r="H100" i="48"/>
  <c r="G100" i="48"/>
  <c r="D100" i="48"/>
  <c r="C100" i="48"/>
  <c r="C100" i="47"/>
  <c r="I100" i="47"/>
  <c r="B101" i="47" s="1"/>
  <c r="H100" i="47"/>
  <c r="G100" i="47"/>
  <c r="D100" i="47"/>
  <c r="C29" i="47"/>
  <c r="C9" i="36"/>
  <c r="C11" i="36" s="1"/>
  <c r="C13" i="36" s="1"/>
  <c r="C15" i="36" s="1"/>
  <c r="C17" i="36" s="1"/>
  <c r="C19" i="36" s="1"/>
  <c r="C21" i="36" s="1"/>
  <c r="C23" i="36" s="1"/>
  <c r="C25" i="36" s="1"/>
  <c r="C27" i="36" s="1"/>
  <c r="C29" i="36" s="1"/>
  <c r="C31" i="36" s="1"/>
  <c r="C33" i="36" s="1"/>
  <c r="C35" i="36" s="1"/>
  <c r="C37" i="36" s="1"/>
  <c r="C39" i="36" s="1"/>
  <c r="C41" i="36" s="1"/>
  <c r="C43" i="36" s="1"/>
  <c r="C45" i="36" s="1"/>
  <c r="C47" i="36" s="1"/>
  <c r="C49" i="36" s="1"/>
  <c r="C51" i="36" s="1"/>
  <c r="C53" i="36" s="1"/>
  <c r="C55" i="36" s="1"/>
  <c r="C57" i="36" s="1"/>
  <c r="C59" i="36" s="1"/>
  <c r="C61" i="36" s="1"/>
  <c r="C63" i="36" s="1"/>
  <c r="C65" i="36" s="1"/>
  <c r="E7" i="36"/>
  <c r="H61" i="35"/>
  <c r="I61" i="35" s="1"/>
  <c r="B62" i="35" s="1"/>
  <c r="B8" i="36"/>
  <c r="D8" i="36" s="1"/>
  <c r="C30" i="35"/>
  <c r="E80" i="34"/>
  <c r="F80" i="34"/>
  <c r="D16" i="34"/>
  <c r="D34" i="34" s="1"/>
  <c r="D35" i="34" s="1"/>
  <c r="D36" i="34" s="1"/>
  <c r="G75" i="34"/>
  <c r="AE888" i="33"/>
  <c r="AC889" i="33"/>
  <c r="AE115" i="33"/>
  <c r="AF115" i="33" s="1"/>
  <c r="AG115" i="33" s="1"/>
  <c r="R57" i="33" s="1"/>
  <c r="S22" i="33"/>
  <c r="AE116" i="33"/>
  <c r="AF116" i="33" s="1"/>
  <c r="AG116" i="33" s="1"/>
  <c r="T22" i="33"/>
  <c r="AF1436" i="33"/>
  <c r="AU1165" i="33"/>
  <c r="AU1164" i="33"/>
  <c r="AJ539" i="33"/>
  <c r="L9" i="33"/>
  <c r="L15" i="33" s="1"/>
  <c r="K55" i="33"/>
  <c r="K27" i="33"/>
  <c r="K25" i="33"/>
  <c r="AD1442" i="33"/>
  <c r="AF1327" i="33"/>
  <c r="Y34" i="33" s="1"/>
  <c r="AD1328" i="33"/>
  <c r="AG1267" i="33"/>
  <c r="AG1268" i="33"/>
  <c r="AE1263" i="33"/>
  <c r="AD1001" i="33"/>
  <c r="AD1169" i="33"/>
  <c r="AH890" i="33"/>
  <c r="AH891" i="33"/>
  <c r="V12" i="33"/>
  <c r="V15" i="33" s="1"/>
  <c r="AE154" i="33"/>
  <c r="AF154" i="33" s="1"/>
  <c r="AD1031" i="33"/>
  <c r="AC1032" i="33"/>
  <c r="AE156" i="33"/>
  <c r="AF156" i="33" s="1"/>
  <c r="AF1115" i="33"/>
  <c r="Y43" i="33" s="1"/>
  <c r="AD1116" i="33"/>
  <c r="AK1221" i="33"/>
  <c r="U1113" i="33"/>
  <c r="U1114" i="33" s="1"/>
  <c r="AD1263" i="33"/>
  <c r="AG1164" i="33"/>
  <c r="AG1165" i="33"/>
  <c r="AL1162" i="33"/>
  <c r="AM1162" i="33"/>
  <c r="AD462" i="33"/>
  <c r="AF460" i="33"/>
  <c r="AD1038" i="33"/>
  <c r="AD275" i="33"/>
  <c r="AC276" i="33" s="1"/>
  <c r="AC277" i="33" s="1"/>
  <c r="AF274" i="33"/>
  <c r="W12" i="33" s="1"/>
  <c r="W15" i="33" s="1"/>
  <c r="J296" i="33"/>
  <c r="L296" i="33"/>
  <c r="B297" i="33" s="1"/>
  <c r="AF373" i="33"/>
  <c r="AJ373" i="33" s="1"/>
  <c r="AC843" i="33"/>
  <c r="AC844" i="33" s="1"/>
  <c r="AC845" i="33" s="1"/>
  <c r="AC846" i="33" s="1"/>
  <c r="AC847" i="33" s="1"/>
  <c r="AC848" i="33" s="1"/>
  <c r="AC849" i="33" s="1"/>
  <c r="V1114" i="33"/>
  <c r="X1113" i="33"/>
  <c r="X44" i="33" s="1"/>
  <c r="AD950" i="33"/>
  <c r="AC951" i="33" s="1"/>
  <c r="AC952" i="33" s="1"/>
  <c r="AC953" i="33" s="1"/>
  <c r="AC954" i="33" s="1"/>
  <c r="AC955" i="33" s="1"/>
  <c r="AC956" i="33" s="1"/>
  <c r="AC957" i="33" s="1"/>
  <c r="AC958" i="33" s="1"/>
  <c r="AF948" i="33"/>
  <c r="AR1225" i="33"/>
  <c r="AS1214" i="33"/>
  <c r="AQ1215" i="33"/>
  <c r="AD1272" i="33"/>
  <c r="Y1110" i="33"/>
  <c r="Y1109" i="33"/>
  <c r="AG1111" i="33"/>
  <c r="AG1112" i="33"/>
  <c r="AD979" i="33"/>
  <c r="AF977" i="33"/>
  <c r="AL1065" i="33"/>
  <c r="AJ1066" i="33"/>
  <c r="AJ1067" i="33" s="1"/>
  <c r="AJ1164" i="33"/>
  <c r="AJ1165" i="33" s="1"/>
  <c r="AL1163" i="33"/>
  <c r="AL1164" i="33" s="1"/>
  <c r="AF888" i="33"/>
  <c r="AD889" i="33"/>
  <c r="AA330" i="33"/>
  <c r="AC311" i="33"/>
  <c r="AC978" i="33"/>
  <c r="AC979" i="33" s="1"/>
  <c r="AC980" i="33" s="1"/>
  <c r="AC981" i="33" s="1"/>
  <c r="AH162" i="33"/>
  <c r="AF207" i="33"/>
  <c r="U13" i="33" s="1"/>
  <c r="AE207" i="33"/>
  <c r="F55" i="33"/>
  <c r="F59" i="33" s="1"/>
  <c r="F25" i="33"/>
  <c r="AT1164" i="33"/>
  <c r="AR1165" i="33"/>
  <c r="AE1106" i="33"/>
  <c r="AF1107" i="33" s="1"/>
  <c r="U43" i="33" s="1"/>
  <c r="AC1107" i="33"/>
  <c r="AE1107" i="33" s="1"/>
  <c r="I25" i="33"/>
  <c r="I27" i="33"/>
  <c r="AE1001" i="33"/>
  <c r="AC270" i="33"/>
  <c r="AE269" i="33"/>
  <c r="AE270" i="33" s="1"/>
  <c r="AC158" i="33"/>
  <c r="AC159" i="33" s="1"/>
  <c r="AE157" i="33"/>
  <c r="AF1398" i="33"/>
  <c r="AD1400" i="33"/>
  <c r="AG1326" i="33"/>
  <c r="AG1325" i="33"/>
  <c r="AT1214" i="33"/>
  <c r="AK1165" i="33"/>
  <c r="AU1217" i="33"/>
  <c r="AU1216" i="33"/>
  <c r="AD1225" i="33"/>
  <c r="AF759" i="33"/>
  <c r="L30" i="33" s="1"/>
  <c r="AD761" i="33"/>
  <c r="AD651" i="33"/>
  <c r="AF649" i="33"/>
  <c r="AF825" i="33"/>
  <c r="AG891" i="33"/>
  <c r="AG890" i="33"/>
  <c r="AC650" i="33"/>
  <c r="AC651" i="33" s="1"/>
  <c r="AD189" i="33"/>
  <c r="AC760" i="33"/>
  <c r="AC761" i="33" s="1"/>
  <c r="AC762" i="33" s="1"/>
  <c r="AC763" i="33" s="1"/>
  <c r="AC1115" i="33"/>
  <c r="AC1116" i="33" s="1"/>
  <c r="H25" i="33"/>
  <c r="H27" i="33"/>
  <c r="AF700" i="33"/>
  <c r="AD702" i="33"/>
  <c r="G55" i="33"/>
  <c r="G25" i="33"/>
  <c r="G27" i="33"/>
  <c r="AF319" i="33"/>
  <c r="AJ321" i="33"/>
  <c r="AH321" i="33"/>
  <c r="AC1401" i="33"/>
  <c r="AC1402" i="33" s="1"/>
  <c r="AC1166" i="33"/>
  <c r="AC1167" i="33" s="1"/>
  <c r="AE1165" i="33"/>
  <c r="AN1064" i="33"/>
  <c r="AN1065" i="33"/>
  <c r="AG1217" i="33"/>
  <c r="AG1216" i="33"/>
  <c r="V48" i="33"/>
  <c r="AN1218" i="33"/>
  <c r="AN1219" i="33"/>
  <c r="AD1065" i="33"/>
  <c r="AC1066" i="33" s="1"/>
  <c r="AC1067" i="33" s="1"/>
  <c r="AF1064" i="33"/>
  <c r="R30" i="33" s="1"/>
  <c r="AQ1164" i="33"/>
  <c r="AQ1165" i="33" s="1"/>
  <c r="AF737" i="33"/>
  <c r="N30" i="33" s="1"/>
  <c r="AD849" i="33"/>
  <c r="AF848" i="33"/>
  <c r="P35" i="33" s="1"/>
  <c r="AG1069" i="33"/>
  <c r="AG1068" i="33"/>
  <c r="AD543" i="33"/>
  <c r="AF541" i="33"/>
  <c r="AD492" i="33"/>
  <c r="AF491" i="33"/>
  <c r="M36" i="33" s="1"/>
  <c r="AF385" i="33"/>
  <c r="AD386" i="33"/>
  <c r="AC387" i="33" s="1"/>
  <c r="AC388" i="33" s="1"/>
  <c r="AC542" i="33"/>
  <c r="AC543" i="33" s="1"/>
  <c r="AC123" i="33"/>
  <c r="AG104" i="33"/>
  <c r="G57" i="33" s="1"/>
  <c r="G59" i="33" s="1"/>
  <c r="AJ104" i="33"/>
  <c r="AE323" i="33"/>
  <c r="AF323" i="33" s="1"/>
  <c r="AC324" i="33"/>
  <c r="AE106" i="33"/>
  <c r="AF106" i="33" s="1"/>
  <c r="J22" i="33"/>
  <c r="R27" i="33"/>
  <c r="R25" i="33"/>
  <c r="AF1321" i="33"/>
  <c r="AF223" i="33"/>
  <c r="AC13" i="33" s="1"/>
  <c r="AD224" i="33"/>
  <c r="AE1438" i="33"/>
  <c r="AF1438" i="33" s="1"/>
  <c r="AC1439" i="33"/>
  <c r="AC1440" i="33" s="1"/>
  <c r="AF559" i="33"/>
  <c r="AJ559" i="33" s="1"/>
  <c r="AD561" i="33"/>
  <c r="AF677" i="33"/>
  <c r="AD679" i="33"/>
  <c r="AE1031" i="33"/>
  <c r="AJ105" i="33"/>
  <c r="AG105" i="33"/>
  <c r="H57" i="33" s="1"/>
  <c r="AD1216" i="33"/>
  <c r="AC1217" i="33"/>
  <c r="AC1218" i="33" s="1"/>
  <c r="AC1322" i="33"/>
  <c r="AC1323" i="33" s="1"/>
  <c r="AC1324" i="33" s="1"/>
  <c r="AC1325" i="33" s="1"/>
  <c r="AC1326" i="33" s="1"/>
  <c r="AC1327" i="33" s="1"/>
  <c r="AC1328" i="33" s="1"/>
  <c r="AC1329" i="33" s="1"/>
  <c r="AC1330" i="33" s="1"/>
  <c r="AN1163" i="33"/>
  <c r="AN1162" i="33"/>
  <c r="AK1069" i="33"/>
  <c r="L35" i="33"/>
  <c r="AJ1215" i="33"/>
  <c r="AL1214" i="33"/>
  <c r="AM1214" i="33" s="1"/>
  <c r="AC703" i="33"/>
  <c r="AC704" i="33" s="1"/>
  <c r="AC481" i="33"/>
  <c r="AC482" i="33" s="1"/>
  <c r="AE480" i="33"/>
  <c r="AF481" i="33" s="1"/>
  <c r="H36" i="33" s="1"/>
  <c r="H53" i="33" s="1"/>
  <c r="H55" i="33" s="1"/>
  <c r="W126" i="33"/>
  <c r="X125" i="33"/>
  <c r="AB57" i="33" s="1"/>
  <c r="AK383" i="33"/>
  <c r="AJ383" i="33"/>
  <c r="AC461" i="33"/>
  <c r="AC462" i="33" s="1"/>
  <c r="G19" i="34" l="1"/>
  <c r="F18" i="34"/>
  <c r="F32" i="34" s="1"/>
  <c r="C61" i="53"/>
  <c r="F112" i="3"/>
  <c r="E98" i="2"/>
  <c r="G61" i="51"/>
  <c r="C61" i="52"/>
  <c r="D61" i="53"/>
  <c r="H61" i="53" s="1"/>
  <c r="I61" i="53" s="1"/>
  <c r="B62" i="53" s="1"/>
  <c r="D62" i="53" s="1"/>
  <c r="D61" i="51"/>
  <c r="D8" i="56"/>
  <c r="D9" i="56" s="1"/>
  <c r="E9" i="56" s="1"/>
  <c r="D61" i="52"/>
  <c r="H61" i="52" s="1"/>
  <c r="I61" i="52" s="1"/>
  <c r="B62" i="52" s="1"/>
  <c r="D62" i="52" s="1"/>
  <c r="G61" i="55"/>
  <c r="D61" i="55"/>
  <c r="C68" i="61"/>
  <c r="C68" i="64"/>
  <c r="B8" i="64"/>
  <c r="C68" i="62"/>
  <c r="D61" i="50"/>
  <c r="H61" i="50" s="1"/>
  <c r="I61" i="50" s="1"/>
  <c r="B62" i="50" s="1"/>
  <c r="C61" i="50"/>
  <c r="B8" i="58"/>
  <c r="B9" i="58" s="1"/>
  <c r="B10" i="58" s="1"/>
  <c r="B11" i="58" s="1"/>
  <c r="B12" i="58" s="1"/>
  <c r="D12" i="58" s="1"/>
  <c r="C68" i="58"/>
  <c r="D7" i="58"/>
  <c r="E7" i="58"/>
  <c r="B8" i="59"/>
  <c r="C9" i="59"/>
  <c r="C11" i="59" s="1"/>
  <c r="C13" i="59" s="1"/>
  <c r="C15" i="59" s="1"/>
  <c r="C17" i="59" s="1"/>
  <c r="C19" i="59" s="1"/>
  <c r="C21" i="59" s="1"/>
  <c r="C23" i="59" s="1"/>
  <c r="C25" i="59" s="1"/>
  <c r="C27" i="59" s="1"/>
  <c r="C29" i="59" s="1"/>
  <c r="C31" i="59" s="1"/>
  <c r="C33" i="59" s="1"/>
  <c r="C35" i="59" s="1"/>
  <c r="C37" i="59" s="1"/>
  <c r="C39" i="59" s="1"/>
  <c r="C41" i="59" s="1"/>
  <c r="C43" i="59" s="1"/>
  <c r="C45" i="59" s="1"/>
  <c r="C47" i="59" s="1"/>
  <c r="C49" i="59" s="1"/>
  <c r="C51" i="59" s="1"/>
  <c r="C53" i="59" s="1"/>
  <c r="C55" i="59" s="1"/>
  <c r="C57" i="59" s="1"/>
  <c r="C59" i="59" s="1"/>
  <c r="C61" i="59" s="1"/>
  <c r="C63" i="59" s="1"/>
  <c r="C65" i="59" s="1"/>
  <c r="D7" i="59"/>
  <c r="E7" i="59" s="1"/>
  <c r="E7" i="57"/>
  <c r="D7" i="62"/>
  <c r="E7" i="62" s="1"/>
  <c r="B8" i="57"/>
  <c r="B8" i="60"/>
  <c r="C9" i="60"/>
  <c r="B8" i="62"/>
  <c r="D61" i="48"/>
  <c r="G61" i="48"/>
  <c r="C61" i="48"/>
  <c r="D7" i="64"/>
  <c r="E7" i="64" s="1"/>
  <c r="D7" i="60"/>
  <c r="E7" i="60"/>
  <c r="G61" i="54"/>
  <c r="D61" i="54"/>
  <c r="C61" i="54"/>
  <c r="E7" i="61"/>
  <c r="C68" i="63"/>
  <c r="B8" i="61"/>
  <c r="B8" i="63"/>
  <c r="E7" i="63"/>
  <c r="B11" i="56"/>
  <c r="B12" i="56" s="1"/>
  <c r="D10" i="56"/>
  <c r="H61" i="55"/>
  <c r="I61" i="55" s="1"/>
  <c r="B62" i="55" s="1"/>
  <c r="G62" i="55" s="1"/>
  <c r="C61" i="47"/>
  <c r="G61" i="47"/>
  <c r="H61" i="47" s="1"/>
  <c r="I61" i="47" s="1"/>
  <c r="B62" i="47" s="1"/>
  <c r="C30" i="55"/>
  <c r="I102" i="55"/>
  <c r="B103" i="55" s="1"/>
  <c r="H102" i="55"/>
  <c r="G102" i="55"/>
  <c r="D102" i="55"/>
  <c r="C102" i="55"/>
  <c r="I102" i="54"/>
  <c r="B103" i="54" s="1"/>
  <c r="H102" i="54"/>
  <c r="G102" i="54"/>
  <c r="D102" i="54"/>
  <c r="C102" i="54"/>
  <c r="C31" i="54"/>
  <c r="C62" i="49"/>
  <c r="D62" i="49"/>
  <c r="H62" i="49" s="1"/>
  <c r="I62" i="49" s="1"/>
  <c r="B63" i="49" s="1"/>
  <c r="C30" i="53"/>
  <c r="I102" i="53"/>
  <c r="B103" i="53" s="1"/>
  <c r="H102" i="53"/>
  <c r="G102" i="53"/>
  <c r="D102" i="53"/>
  <c r="C102" i="53"/>
  <c r="I102" i="52"/>
  <c r="B103" i="52" s="1"/>
  <c r="H102" i="52"/>
  <c r="G102" i="52"/>
  <c r="D102" i="52"/>
  <c r="C102" i="52"/>
  <c r="C30" i="52"/>
  <c r="C30" i="51"/>
  <c r="I102" i="51"/>
  <c r="B103" i="51" s="1"/>
  <c r="H102" i="51"/>
  <c r="G102" i="51"/>
  <c r="D102" i="51"/>
  <c r="C102" i="51"/>
  <c r="I101" i="50"/>
  <c r="B102" i="50" s="1"/>
  <c r="H101" i="50"/>
  <c r="G101" i="50"/>
  <c r="D101" i="50"/>
  <c r="C101" i="50"/>
  <c r="C30" i="50"/>
  <c r="C33" i="49"/>
  <c r="I101" i="49"/>
  <c r="B102" i="49" s="1"/>
  <c r="H101" i="49"/>
  <c r="G101" i="49"/>
  <c r="C101" i="49"/>
  <c r="D101" i="49"/>
  <c r="C101" i="48"/>
  <c r="I101" i="48"/>
  <c r="B102" i="48" s="1"/>
  <c r="H101" i="48"/>
  <c r="G101" i="48"/>
  <c r="D101" i="48"/>
  <c r="C30" i="48"/>
  <c r="C30" i="47"/>
  <c r="G101" i="47"/>
  <c r="D101" i="47"/>
  <c r="C101" i="47"/>
  <c r="H101" i="47"/>
  <c r="I101" i="47"/>
  <c r="B102" i="47" s="1"/>
  <c r="C68" i="36"/>
  <c r="B9" i="36"/>
  <c r="B10" i="36" s="1"/>
  <c r="D10" i="36" s="1"/>
  <c r="D9" i="36"/>
  <c r="E9" i="36" s="1"/>
  <c r="C31" i="35"/>
  <c r="G62" i="35"/>
  <c r="D62" i="35"/>
  <c r="C62" i="35"/>
  <c r="H75" i="34"/>
  <c r="G80" i="34"/>
  <c r="AF959" i="33"/>
  <c r="AH323" i="33"/>
  <c r="AJ323" i="33"/>
  <c r="AN1221" i="33"/>
  <c r="AN1220" i="33"/>
  <c r="AC982" i="33"/>
  <c r="AC983" i="33" s="1"/>
  <c r="L297" i="33"/>
  <c r="B298" i="33" s="1"/>
  <c r="J297" i="33"/>
  <c r="AD1040" i="33"/>
  <c r="AD1265" i="33"/>
  <c r="AD1267" i="33" s="1"/>
  <c r="AD1269" i="33" s="1"/>
  <c r="AD1271" i="33" s="1"/>
  <c r="AD1273" i="33" s="1"/>
  <c r="AD1275" i="33" s="1"/>
  <c r="AD1277" i="33" s="1"/>
  <c r="AD1279" i="33" s="1"/>
  <c r="AD1281" i="33" s="1"/>
  <c r="AD1283" i="33" s="1"/>
  <c r="AD1285" i="33" s="1"/>
  <c r="AD1287" i="33" s="1"/>
  <c r="AD1289" i="33" s="1"/>
  <c r="AD1291" i="33" s="1"/>
  <c r="AD1293" i="33" s="1"/>
  <c r="AD1295" i="33" s="1"/>
  <c r="AF1117" i="33"/>
  <c r="Z43" i="33" s="1"/>
  <c r="AD1118" i="33"/>
  <c r="AE118" i="33"/>
  <c r="AF118" i="33" s="1"/>
  <c r="V22" i="33"/>
  <c r="AD1003" i="33"/>
  <c r="AD1005" i="33" s="1"/>
  <c r="AD1007" i="33" s="1"/>
  <c r="AD1009" i="33" s="1"/>
  <c r="AD1011" i="33" s="1"/>
  <c r="AD1013" i="33" s="1"/>
  <c r="AD1015" i="33" s="1"/>
  <c r="AD1017" i="33" s="1"/>
  <c r="AD1019" i="33" s="1"/>
  <c r="AD1020" i="33"/>
  <c r="AU1167" i="33"/>
  <c r="AU1166" i="33"/>
  <c r="W127" i="33"/>
  <c r="X126" i="33"/>
  <c r="AC57" i="33" s="1"/>
  <c r="AD1218" i="33"/>
  <c r="AF1216" i="33"/>
  <c r="AF561" i="33"/>
  <c r="AJ561" i="33" s="1"/>
  <c r="AD563" i="33"/>
  <c r="AJ385" i="33"/>
  <c r="AK385" i="33"/>
  <c r="AG1071" i="33"/>
  <c r="AG1070" i="33"/>
  <c r="AG892" i="33"/>
  <c r="AG893" i="33"/>
  <c r="AD1227" i="33"/>
  <c r="AD1402" i="33"/>
  <c r="AF1400" i="33"/>
  <c r="AL1066" i="33"/>
  <c r="AM1066" i="33"/>
  <c r="W31" i="33" s="1"/>
  <c r="AD1274" i="33"/>
  <c r="AJ460" i="33"/>
  <c r="AC1264" i="33"/>
  <c r="AC1219" i="33"/>
  <c r="AC1220" i="33" s="1"/>
  <c r="AD464" i="33"/>
  <c r="AF464" i="33" s="1"/>
  <c r="AJ464" i="33" s="1"/>
  <c r="AF462" i="33"/>
  <c r="AJ462" i="33" s="1"/>
  <c r="AD465" i="33"/>
  <c r="AE482" i="33"/>
  <c r="AC483" i="33"/>
  <c r="AC1441" i="33"/>
  <c r="AC1442" i="33" s="1"/>
  <c r="AE1440" i="33"/>
  <c r="AD851" i="33"/>
  <c r="AF850" i="33"/>
  <c r="AC1168" i="33"/>
  <c r="AE1167" i="33"/>
  <c r="AU1219" i="33"/>
  <c r="AU1218" i="33"/>
  <c r="AE158" i="33"/>
  <c r="AF158" i="33" s="1"/>
  <c r="AD891" i="33"/>
  <c r="AQ1216" i="33"/>
  <c r="AS1215" i="33"/>
  <c r="AK1223" i="33"/>
  <c r="AG1269" i="33"/>
  <c r="AG1270" i="33"/>
  <c r="S27" i="33"/>
  <c r="S25" i="33"/>
  <c r="AN1066" i="33"/>
  <c r="AN1067" i="33"/>
  <c r="AG1328" i="33"/>
  <c r="AG1327" i="33"/>
  <c r="AF950" i="33"/>
  <c r="AD959" i="33"/>
  <c r="AC463" i="33"/>
  <c r="AC464" i="33" s="1"/>
  <c r="AF1031" i="33"/>
  <c r="AD494" i="33"/>
  <c r="AF493" i="33"/>
  <c r="N36" i="33" s="1"/>
  <c r="N53" i="33" s="1"/>
  <c r="AC1403" i="33"/>
  <c r="AC1404" i="33" s="1"/>
  <c r="AC1117" i="33"/>
  <c r="AC1118" i="33" s="1"/>
  <c r="AF651" i="33"/>
  <c r="AD653" i="33"/>
  <c r="AM1164" i="33"/>
  <c r="AC160" i="33"/>
  <c r="AC161" i="33" s="1"/>
  <c r="AE159" i="33"/>
  <c r="AF979" i="33"/>
  <c r="AD981" i="33"/>
  <c r="W22" i="33"/>
  <c r="AE119" i="33"/>
  <c r="AF119" i="33" s="1"/>
  <c r="AC1033" i="33"/>
  <c r="AE1032" i="33"/>
  <c r="AJ319" i="33"/>
  <c r="AH319" i="33"/>
  <c r="V1116" i="33"/>
  <c r="X1115" i="33"/>
  <c r="Y44" i="33" s="1"/>
  <c r="AF1263" i="33"/>
  <c r="AA47" i="33" s="1"/>
  <c r="AD226" i="33"/>
  <c r="AF225" i="33"/>
  <c r="AD13" i="33" s="1"/>
  <c r="J55" i="33"/>
  <c r="J59" i="33" s="1"/>
  <c r="J27" i="33"/>
  <c r="J25" i="33"/>
  <c r="AC124" i="33"/>
  <c r="AJ541" i="33"/>
  <c r="M9" i="33"/>
  <c r="M15" i="33" s="1"/>
  <c r="AQ1166" i="33"/>
  <c r="AS1165" i="33"/>
  <c r="AS1166" i="33" s="1"/>
  <c r="AC225" i="33"/>
  <c r="AC226" i="33" s="1"/>
  <c r="AD704" i="33"/>
  <c r="AF704" i="33" s="1"/>
  <c r="AF702" i="33"/>
  <c r="AF711" i="33" s="1"/>
  <c r="AF761" i="33"/>
  <c r="M30" i="33" s="1"/>
  <c r="M53" i="33" s="1"/>
  <c r="AD764" i="33"/>
  <c r="AK1167" i="33"/>
  <c r="AG1113" i="33"/>
  <c r="AG1114" i="33"/>
  <c r="AC850" i="33"/>
  <c r="AC851" i="33" s="1"/>
  <c r="AF276" i="33"/>
  <c r="X12" i="33" s="1"/>
  <c r="X15" i="33" s="1"/>
  <c r="AD277" i="33"/>
  <c r="AC278" i="33" s="1"/>
  <c r="AC279" i="33" s="1"/>
  <c r="AD1033" i="33"/>
  <c r="AD1035" i="33" s="1"/>
  <c r="AD1037" i="33" s="1"/>
  <c r="AD1039" i="33" s="1"/>
  <c r="AD1041" i="33" s="1"/>
  <c r="AD1043" i="33" s="1"/>
  <c r="AD1045" i="33" s="1"/>
  <c r="AD1047" i="33" s="1"/>
  <c r="AD1049" i="33" s="1"/>
  <c r="AF1329" i="33"/>
  <c r="Z34" i="33" s="1"/>
  <c r="AD1330" i="33"/>
  <c r="AE108" i="33"/>
  <c r="AF108" i="33" s="1"/>
  <c r="AG108" i="33" s="1"/>
  <c r="K57" i="33" s="1"/>
  <c r="K59" i="33" s="1"/>
  <c r="L22" i="33"/>
  <c r="AF387" i="33"/>
  <c r="AD388" i="33"/>
  <c r="Y1112" i="33"/>
  <c r="Y1111" i="33"/>
  <c r="AK1071" i="33"/>
  <c r="U1115" i="33"/>
  <c r="U1116" i="33" s="1"/>
  <c r="U1117" i="33" s="1"/>
  <c r="U1118" i="33" s="1"/>
  <c r="AN1164" i="33"/>
  <c r="AN1165" i="33"/>
  <c r="AJ106" i="33"/>
  <c r="AG106" i="33"/>
  <c r="I57" i="33" s="1"/>
  <c r="AF543" i="33"/>
  <c r="AD545" i="33"/>
  <c r="AG1219" i="33"/>
  <c r="AG1218" i="33"/>
  <c r="L53" i="33"/>
  <c r="AR1227" i="33"/>
  <c r="AG1167" i="33"/>
  <c r="AG1166" i="33"/>
  <c r="AF270" i="33"/>
  <c r="U12" i="33" s="1"/>
  <c r="U15" i="33" s="1"/>
  <c r="AD1171" i="33"/>
  <c r="AC1170" i="33"/>
  <c r="T27" i="33"/>
  <c r="T25" i="33"/>
  <c r="AC890" i="33"/>
  <c r="AC325" i="33"/>
  <c r="AE324" i="33"/>
  <c r="AJ1068" i="33"/>
  <c r="AJ1069" i="33" s="1"/>
  <c r="AL1067" i="33"/>
  <c r="H59" i="33"/>
  <c r="AE1166" i="33"/>
  <c r="AF1166" i="33"/>
  <c r="X46" i="33" s="1"/>
  <c r="AH892" i="33"/>
  <c r="AH893" i="33"/>
  <c r="AJ1216" i="33"/>
  <c r="AL1215" i="33"/>
  <c r="AC1331" i="33"/>
  <c r="AC1332" i="33" s="1"/>
  <c r="AD681" i="33"/>
  <c r="AF679" i="33"/>
  <c r="V34" i="33"/>
  <c r="AD711" i="33"/>
  <c r="AC544" i="33"/>
  <c r="AC545" i="33" s="1"/>
  <c r="AC546" i="33" s="1"/>
  <c r="AC547" i="33" s="1"/>
  <c r="AF1066" i="33"/>
  <c r="S30" i="33" s="1"/>
  <c r="AD1067" i="33"/>
  <c r="AC652" i="33"/>
  <c r="AC653" i="33" s="1"/>
  <c r="AC654" i="33" s="1"/>
  <c r="AC655" i="33" s="1"/>
  <c r="AF1001" i="33"/>
  <c r="AR1167" i="33"/>
  <c r="AH164" i="33"/>
  <c r="AL1165" i="33"/>
  <c r="AL1166" i="33" s="1"/>
  <c r="AJ1166" i="33"/>
  <c r="AC1002" i="33"/>
  <c r="AD1444" i="33"/>
  <c r="AE889" i="33"/>
  <c r="H19" i="34" l="1"/>
  <c r="G18" i="34"/>
  <c r="G32" i="34" s="1"/>
  <c r="H61" i="51"/>
  <c r="I61" i="51" s="1"/>
  <c r="B62" i="51" s="1"/>
  <c r="G62" i="51" s="1"/>
  <c r="C62" i="53"/>
  <c r="G62" i="53"/>
  <c r="G112" i="3"/>
  <c r="F98" i="2"/>
  <c r="H61" i="54"/>
  <c r="I61" i="54" s="1"/>
  <c r="B62" i="54" s="1"/>
  <c r="G62" i="54" s="1"/>
  <c r="C62" i="52"/>
  <c r="B13" i="58"/>
  <c r="B14" i="58" s="1"/>
  <c r="D14" i="58" s="1"/>
  <c r="G62" i="52"/>
  <c r="H62" i="52" s="1"/>
  <c r="I62" i="52" s="1"/>
  <c r="B63" i="52" s="1"/>
  <c r="C63" i="52" s="1"/>
  <c r="H61" i="48"/>
  <c r="I61" i="48" s="1"/>
  <c r="B62" i="48" s="1"/>
  <c r="D10" i="58"/>
  <c r="D11" i="58" s="1"/>
  <c r="D8" i="58"/>
  <c r="D9" i="58" s="1"/>
  <c r="E9" i="58" s="1"/>
  <c r="G7" i="64"/>
  <c r="B9" i="64"/>
  <c r="B10" i="64" s="1"/>
  <c r="D8" i="64"/>
  <c r="C11" i="60"/>
  <c r="C13" i="60" s="1"/>
  <c r="C15" i="60" s="1"/>
  <c r="C17" i="60" s="1"/>
  <c r="C19" i="60" s="1"/>
  <c r="C21" i="60" s="1"/>
  <c r="C23" i="60" s="1"/>
  <c r="C25" i="60" s="1"/>
  <c r="C27" i="60" s="1"/>
  <c r="C29" i="60" s="1"/>
  <c r="C31" i="60" s="1"/>
  <c r="C33" i="60" s="1"/>
  <c r="C35" i="60" s="1"/>
  <c r="C37" i="60" s="1"/>
  <c r="C39" i="60" s="1"/>
  <c r="C41" i="60" s="1"/>
  <c r="C43" i="60" s="1"/>
  <c r="C45" i="60" s="1"/>
  <c r="C47" i="60" s="1"/>
  <c r="C49" i="60" s="1"/>
  <c r="C51" i="60" s="1"/>
  <c r="C53" i="60" s="1"/>
  <c r="C55" i="60" s="1"/>
  <c r="C57" i="60" s="1"/>
  <c r="C59" i="60" s="1"/>
  <c r="C61" i="60" s="1"/>
  <c r="C63" i="60" s="1"/>
  <c r="C65" i="60" s="1"/>
  <c r="C62" i="50"/>
  <c r="D62" i="50"/>
  <c r="G62" i="50"/>
  <c r="C68" i="59"/>
  <c r="E11" i="58"/>
  <c r="B9" i="62"/>
  <c r="B10" i="62" s="1"/>
  <c r="D8" i="62"/>
  <c r="D9" i="62" s="1"/>
  <c r="E9" i="62" s="1"/>
  <c r="D8" i="63"/>
  <c r="D9" i="63" s="1"/>
  <c r="B9" i="63"/>
  <c r="B10" i="63" s="1"/>
  <c r="B9" i="57"/>
  <c r="B10" i="57" s="1"/>
  <c r="D8" i="57"/>
  <c r="D9" i="57" s="1"/>
  <c r="E9" i="57" s="1"/>
  <c r="D8" i="59"/>
  <c r="D9" i="59" s="1"/>
  <c r="E9" i="59" s="1"/>
  <c r="B9" i="59"/>
  <c r="B10" i="59" s="1"/>
  <c r="D8" i="61"/>
  <c r="D9" i="61" s="1"/>
  <c r="E9" i="61" s="1"/>
  <c r="B9" i="61"/>
  <c r="B10" i="61" s="1"/>
  <c r="D8" i="60"/>
  <c r="D9" i="60" s="1"/>
  <c r="E9" i="60" s="1"/>
  <c r="B9" i="60"/>
  <c r="B10" i="60" s="1"/>
  <c r="D13" i="58"/>
  <c r="E13" i="58" s="1"/>
  <c r="D11" i="56"/>
  <c r="E11" i="56" s="1"/>
  <c r="B13" i="56"/>
  <c r="B14" i="56" s="1"/>
  <c r="D12" i="56"/>
  <c r="C62" i="55"/>
  <c r="D62" i="55"/>
  <c r="H62" i="55" s="1"/>
  <c r="I62" i="55" s="1"/>
  <c r="B63" i="55" s="1"/>
  <c r="G63" i="55" s="1"/>
  <c r="C62" i="47"/>
  <c r="D62" i="47"/>
  <c r="G62" i="47"/>
  <c r="C31" i="55"/>
  <c r="I103" i="55"/>
  <c r="B104" i="55" s="1"/>
  <c r="H103" i="55"/>
  <c r="G103" i="55"/>
  <c r="D103" i="55"/>
  <c r="C103" i="55"/>
  <c r="H62" i="53"/>
  <c r="I62" i="53" s="1"/>
  <c r="B63" i="53" s="1"/>
  <c r="C63" i="53" s="1"/>
  <c r="C32" i="54"/>
  <c r="I103" i="54"/>
  <c r="B104" i="54" s="1"/>
  <c r="D103" i="54"/>
  <c r="H103" i="54"/>
  <c r="G103" i="54"/>
  <c r="C103" i="54"/>
  <c r="C31" i="53"/>
  <c r="I103" i="53"/>
  <c r="B104" i="53" s="1"/>
  <c r="H103" i="53"/>
  <c r="G103" i="53"/>
  <c r="C103" i="53"/>
  <c r="D103" i="53"/>
  <c r="C103" i="52"/>
  <c r="D103" i="52"/>
  <c r="I103" i="52"/>
  <c r="B104" i="52" s="1"/>
  <c r="H103" i="52"/>
  <c r="G103" i="52"/>
  <c r="C31" i="52"/>
  <c r="I103" i="51"/>
  <c r="B104" i="51" s="1"/>
  <c r="H103" i="51"/>
  <c r="G103" i="51"/>
  <c r="D103" i="51"/>
  <c r="C103" i="51"/>
  <c r="C31" i="51"/>
  <c r="I102" i="50"/>
  <c r="B103" i="50" s="1"/>
  <c r="H102" i="50"/>
  <c r="G102" i="50"/>
  <c r="D102" i="50"/>
  <c r="C102" i="50"/>
  <c r="C31" i="50"/>
  <c r="C102" i="49"/>
  <c r="I102" i="49"/>
  <c r="B103" i="49" s="1"/>
  <c r="G102" i="49"/>
  <c r="H102" i="49"/>
  <c r="D102" i="49"/>
  <c r="C34" i="49"/>
  <c r="C63" i="49"/>
  <c r="D63" i="49"/>
  <c r="G63" i="49"/>
  <c r="C31" i="48"/>
  <c r="G102" i="48"/>
  <c r="H102" i="48"/>
  <c r="D102" i="48"/>
  <c r="C102" i="48"/>
  <c r="I102" i="48"/>
  <c r="B103" i="48" s="1"/>
  <c r="I102" i="47"/>
  <c r="B103" i="47" s="1"/>
  <c r="H102" i="47"/>
  <c r="G102" i="47"/>
  <c r="C102" i="47"/>
  <c r="D102" i="47"/>
  <c r="C31" i="47"/>
  <c r="B11" i="36"/>
  <c r="B12" i="36" s="1"/>
  <c r="D12" i="36" s="1"/>
  <c r="H62" i="35"/>
  <c r="I62" i="35" s="1"/>
  <c r="B63" i="35" s="1"/>
  <c r="C63" i="35" s="1"/>
  <c r="D11" i="36"/>
  <c r="E11" i="36" s="1"/>
  <c r="C32" i="35"/>
  <c r="D62" i="34"/>
  <c r="E85" i="34" s="1"/>
  <c r="H80" i="34"/>
  <c r="AF389" i="33"/>
  <c r="AD390" i="33"/>
  <c r="AH166" i="33"/>
  <c r="AH894" i="33"/>
  <c r="AH895" i="33"/>
  <c r="AC326" i="33"/>
  <c r="AE325" i="33"/>
  <c r="AC1405" i="33"/>
  <c r="AC1406" i="33" s="1"/>
  <c r="AF465" i="33"/>
  <c r="AF466" i="33" s="1"/>
  <c r="AD1229" i="33"/>
  <c r="W128" i="33"/>
  <c r="X127" i="33"/>
  <c r="AD57" i="33" s="1"/>
  <c r="AF1119" i="33"/>
  <c r="AA43" i="33" s="1"/>
  <c r="AD1120" i="33"/>
  <c r="AC984" i="33"/>
  <c r="AC985" i="33" s="1"/>
  <c r="AT1166" i="33"/>
  <c r="AE890" i="33"/>
  <c r="AE891" i="33" s="1"/>
  <c r="AC891" i="33"/>
  <c r="AC892" i="33" s="1"/>
  <c r="Y1114" i="33"/>
  <c r="Y1113" i="33"/>
  <c r="AK1169" i="33"/>
  <c r="AR1166" i="33"/>
  <c r="AQ1167" i="33" s="1"/>
  <c r="AE1033" i="33"/>
  <c r="AF1033" i="33" s="1"/>
  <c r="AE160" i="33"/>
  <c r="AF160" i="33" s="1"/>
  <c r="AF890" i="33"/>
  <c r="AF563" i="33"/>
  <c r="AJ563" i="33" s="1"/>
  <c r="AD565" i="33"/>
  <c r="AE120" i="33"/>
  <c r="AF120" i="33" s="1"/>
  <c r="X22" i="33"/>
  <c r="W25" i="33"/>
  <c r="W27" i="33"/>
  <c r="AN1068" i="33"/>
  <c r="AN1069" i="33"/>
  <c r="AE1442" i="33"/>
  <c r="AF1442" i="33" s="1"/>
  <c r="AC1443" i="33"/>
  <c r="AC1444" i="33" s="1"/>
  <c r="W48" i="33"/>
  <c r="AG895" i="33"/>
  <c r="AG894" i="33"/>
  <c r="AD1446" i="33"/>
  <c r="AR1169" i="33"/>
  <c r="AF227" i="33"/>
  <c r="AE13" i="33" s="1"/>
  <c r="AD228" i="33"/>
  <c r="AC162" i="33"/>
  <c r="AC163" i="33" s="1"/>
  <c r="AE161" i="33"/>
  <c r="AF852" i="33"/>
  <c r="AD853" i="33"/>
  <c r="AC1003" i="33"/>
  <c r="AC1004" i="33" s="1"/>
  <c r="AE1002" i="33"/>
  <c r="AN1166" i="33"/>
  <c r="AN1167" i="33"/>
  <c r="AG1330" i="33"/>
  <c r="AG1329" i="33"/>
  <c r="AF1440" i="33"/>
  <c r="AD683" i="33"/>
  <c r="AF683" i="33" s="1"/>
  <c r="AF681" i="33"/>
  <c r="AC125" i="33"/>
  <c r="AF495" i="33"/>
  <c r="O36" i="33" s="1"/>
  <c r="O53" i="33" s="1"/>
  <c r="AD496" i="33"/>
  <c r="AK1225" i="33"/>
  <c r="AK1166" i="33"/>
  <c r="AF1068" i="33"/>
  <c r="T30" i="33" s="1"/>
  <c r="T53" i="33" s="1"/>
  <c r="T55" i="33" s="1"/>
  <c r="AD1069" i="33"/>
  <c r="AL1068" i="33"/>
  <c r="AM1068" i="33" s="1"/>
  <c r="X31" i="33" s="1"/>
  <c r="AF764" i="33"/>
  <c r="AF765" i="33" s="1"/>
  <c r="AC852" i="33"/>
  <c r="AC853" i="33" s="1"/>
  <c r="AC854" i="33" s="1"/>
  <c r="AC855" i="33" s="1"/>
  <c r="V1118" i="33"/>
  <c r="X1117" i="33"/>
  <c r="Z44" i="33" s="1"/>
  <c r="AD655" i="33"/>
  <c r="AC656" i="33" s="1"/>
  <c r="AC657" i="33" s="1"/>
  <c r="AF653" i="33"/>
  <c r="AA51" i="33"/>
  <c r="AC484" i="33"/>
  <c r="AC485" i="33" s="1"/>
  <c r="AC486" i="33" s="1"/>
  <c r="AC487" i="33" s="1"/>
  <c r="AC488" i="33" s="1"/>
  <c r="AC489" i="33" s="1"/>
  <c r="AC490" i="33" s="1"/>
  <c r="AC491" i="33" s="1"/>
  <c r="AC492" i="33" s="1"/>
  <c r="AC493" i="33" s="1"/>
  <c r="AC494" i="33" s="1"/>
  <c r="AC495" i="33" s="1"/>
  <c r="AC496" i="33" s="1"/>
  <c r="AE483" i="33"/>
  <c r="AE524" i="33" s="1"/>
  <c r="AD1220" i="33"/>
  <c r="AF1218" i="33"/>
  <c r="X48" i="33" s="1"/>
  <c r="V25" i="33"/>
  <c r="V27" i="33"/>
  <c r="AD1042" i="33"/>
  <c r="AC389" i="33"/>
  <c r="AC390" i="33" s="1"/>
  <c r="AL1216" i="33"/>
  <c r="AM1216" i="33" s="1"/>
  <c r="AL1069" i="33"/>
  <c r="AJ1070" i="33"/>
  <c r="AJ1071" i="33" s="1"/>
  <c r="AC1171" i="33"/>
  <c r="AD1170" i="33"/>
  <c r="AD547" i="33"/>
  <c r="AF545" i="33"/>
  <c r="AK1073" i="33"/>
  <c r="AG1115" i="33"/>
  <c r="AG1116" i="33"/>
  <c r="AD983" i="33"/>
  <c r="AF981" i="33"/>
  <c r="AC705" i="33"/>
  <c r="AC706" i="33" s="1"/>
  <c r="AC707" i="33" s="1"/>
  <c r="AC708" i="33" s="1"/>
  <c r="AC709" i="33" s="1"/>
  <c r="AC710" i="33" s="1"/>
  <c r="AS1216" i="33"/>
  <c r="AU1221" i="33"/>
  <c r="AU1220" i="33"/>
  <c r="AG1073" i="33"/>
  <c r="AG1072" i="33"/>
  <c r="AG118" i="33"/>
  <c r="AH118" i="33"/>
  <c r="AE117" i="33"/>
  <c r="AF117" i="33" s="1"/>
  <c r="AG117" i="33" s="1"/>
  <c r="U22" i="33"/>
  <c r="AE109" i="33"/>
  <c r="AF109" i="33" s="1"/>
  <c r="AG109" i="33" s="1"/>
  <c r="L57" i="33" s="1"/>
  <c r="L59" i="33" s="1"/>
  <c r="M22" i="33"/>
  <c r="AC1034" i="33"/>
  <c r="AG1271" i="33"/>
  <c r="AG1272" i="33"/>
  <c r="AD893" i="33"/>
  <c r="AD1276" i="33"/>
  <c r="AU1168" i="33"/>
  <c r="AU1169" i="33"/>
  <c r="AN1222" i="33"/>
  <c r="AN1223" i="33"/>
  <c r="AA50" i="33"/>
  <c r="AG1221" i="33"/>
  <c r="AG1220" i="33"/>
  <c r="AF278" i="33"/>
  <c r="Y12" i="33" s="1"/>
  <c r="Y15" i="33" s="1"/>
  <c r="AD279" i="33"/>
  <c r="AG119" i="33"/>
  <c r="AH119" i="33"/>
  <c r="AG1168" i="33"/>
  <c r="AG1169" i="33"/>
  <c r="AJ387" i="33"/>
  <c r="AK387" i="33"/>
  <c r="L55" i="33"/>
  <c r="AI108" i="33" s="1"/>
  <c r="AJ108" i="33" s="1"/>
  <c r="L27" i="33"/>
  <c r="L25" i="33"/>
  <c r="AC548" i="33"/>
  <c r="AC549" i="33" s="1"/>
  <c r="AJ1217" i="33"/>
  <c r="AK1216" i="33"/>
  <c r="AD1173" i="33"/>
  <c r="AR1229" i="33"/>
  <c r="AJ543" i="33"/>
  <c r="N9" i="33"/>
  <c r="N15" i="33" s="1"/>
  <c r="AF1331" i="33"/>
  <c r="AD1332" i="33"/>
  <c r="AC227" i="33"/>
  <c r="AC228" i="33" s="1"/>
  <c r="AC1119" i="33"/>
  <c r="AC1120" i="33" s="1"/>
  <c r="AR1216" i="33"/>
  <c r="AQ1217" i="33"/>
  <c r="AE1168" i="33"/>
  <c r="AF1168" i="33" s="1"/>
  <c r="Y46" i="33" s="1"/>
  <c r="AE1264" i="33"/>
  <c r="AC1265" i="33"/>
  <c r="AF1402" i="33"/>
  <c r="AD1404" i="33"/>
  <c r="L298" i="33"/>
  <c r="B299" i="33" s="1"/>
  <c r="J298" i="33"/>
  <c r="AC1068" i="33"/>
  <c r="AC1069" i="33" s="1"/>
  <c r="H62" i="50" l="1"/>
  <c r="I62" i="50" s="1"/>
  <c r="B63" i="50" s="1"/>
  <c r="G63" i="50" s="1"/>
  <c r="I19" i="34"/>
  <c r="I18" i="34" s="1"/>
  <c r="I32" i="34" s="1"/>
  <c r="H18" i="34"/>
  <c r="H32" i="34" s="1"/>
  <c r="C62" i="51"/>
  <c r="D62" i="51"/>
  <c r="H62" i="51" s="1"/>
  <c r="I62" i="51" s="1"/>
  <c r="B63" i="51" s="1"/>
  <c r="G63" i="51" s="1"/>
  <c r="D62" i="54"/>
  <c r="G63" i="52"/>
  <c r="H112" i="3"/>
  <c r="G98" i="2"/>
  <c r="C62" i="54"/>
  <c r="B15" i="58"/>
  <c r="B16" i="58" s="1"/>
  <c r="D16" i="58" s="1"/>
  <c r="H62" i="54"/>
  <c r="I62" i="54" s="1"/>
  <c r="B63" i="54" s="1"/>
  <c r="C63" i="54" s="1"/>
  <c r="D63" i="52"/>
  <c r="D62" i="48"/>
  <c r="C62" i="48"/>
  <c r="G62" i="48"/>
  <c r="D9" i="64"/>
  <c r="E9" i="64" s="1"/>
  <c r="B11" i="64"/>
  <c r="B12" i="64" s="1"/>
  <c r="D10" i="64"/>
  <c r="E9" i="63"/>
  <c r="G9" i="63" s="1"/>
  <c r="C68" i="60"/>
  <c r="D10" i="57"/>
  <c r="B11" i="57"/>
  <c r="B12" i="57" s="1"/>
  <c r="B11" i="63"/>
  <c r="B12" i="63" s="1"/>
  <c r="D10" i="63"/>
  <c r="D11" i="63" s="1"/>
  <c r="E11" i="63" s="1"/>
  <c r="D10" i="61"/>
  <c r="B11" i="61"/>
  <c r="B12" i="61" s="1"/>
  <c r="D10" i="59"/>
  <c r="B11" i="59"/>
  <c r="B12" i="59" s="1"/>
  <c r="D10" i="60"/>
  <c r="B11" i="60"/>
  <c r="B12" i="60" s="1"/>
  <c r="D10" i="62"/>
  <c r="D11" i="62" s="1"/>
  <c r="E11" i="62" s="1"/>
  <c r="G11" i="62" s="1"/>
  <c r="B11" i="62"/>
  <c r="B12" i="62" s="1"/>
  <c r="E13" i="61"/>
  <c r="D15" i="58"/>
  <c r="E15" i="58" s="1"/>
  <c r="D63" i="55"/>
  <c r="D13" i="56"/>
  <c r="E13" i="56" s="1"/>
  <c r="B15" i="56"/>
  <c r="B16" i="56" s="1"/>
  <c r="D14" i="56"/>
  <c r="C63" i="55"/>
  <c r="H63" i="55"/>
  <c r="I63" i="55" s="1"/>
  <c r="B64" i="55" s="1"/>
  <c r="H62" i="47"/>
  <c r="I62" i="47" s="1"/>
  <c r="B63" i="47" s="1"/>
  <c r="D63" i="47" s="1"/>
  <c r="D63" i="53"/>
  <c r="G63" i="53"/>
  <c r="C104" i="55"/>
  <c r="I104" i="55"/>
  <c r="B105" i="55" s="1"/>
  <c r="H104" i="55"/>
  <c r="G104" i="55"/>
  <c r="D104" i="55"/>
  <c r="C32" i="55"/>
  <c r="C33" i="54"/>
  <c r="D104" i="54"/>
  <c r="C104" i="54"/>
  <c r="H104" i="54"/>
  <c r="I104" i="54"/>
  <c r="B105" i="54" s="1"/>
  <c r="G104" i="54"/>
  <c r="C104" i="53"/>
  <c r="H104" i="53"/>
  <c r="I104" i="53"/>
  <c r="B105" i="53" s="1"/>
  <c r="G104" i="53"/>
  <c r="D104" i="53"/>
  <c r="C32" i="53"/>
  <c r="C32" i="52"/>
  <c r="G104" i="52"/>
  <c r="I104" i="52"/>
  <c r="B105" i="52" s="1"/>
  <c r="H104" i="52"/>
  <c r="D104" i="52"/>
  <c r="C104" i="52"/>
  <c r="C32" i="51"/>
  <c r="D104" i="51"/>
  <c r="H104" i="51"/>
  <c r="G104" i="51"/>
  <c r="C104" i="51"/>
  <c r="I104" i="51"/>
  <c r="B105" i="51" s="1"/>
  <c r="C32" i="50"/>
  <c r="H63" i="49"/>
  <c r="I63" i="49" s="1"/>
  <c r="B64" i="49" s="1"/>
  <c r="C103" i="50"/>
  <c r="I103" i="50"/>
  <c r="B104" i="50" s="1"/>
  <c r="H103" i="50"/>
  <c r="G103" i="50"/>
  <c r="D103" i="50"/>
  <c r="C35" i="49"/>
  <c r="G103" i="49"/>
  <c r="D103" i="49"/>
  <c r="C103" i="49"/>
  <c r="I103" i="49"/>
  <c r="B104" i="49" s="1"/>
  <c r="H103" i="49"/>
  <c r="I103" i="48"/>
  <c r="B104" i="48" s="1"/>
  <c r="H103" i="48"/>
  <c r="G103" i="48"/>
  <c r="D103" i="48"/>
  <c r="C103" i="48"/>
  <c r="C32" i="48"/>
  <c r="C32" i="47"/>
  <c r="I103" i="47"/>
  <c r="B104" i="47" s="1"/>
  <c r="G103" i="47"/>
  <c r="D103" i="47"/>
  <c r="H103" i="47"/>
  <c r="C103" i="47"/>
  <c r="G63" i="35"/>
  <c r="D63" i="35"/>
  <c r="B13" i="36"/>
  <c r="B14" i="36" s="1"/>
  <c r="D14" i="36" s="1"/>
  <c r="D13" i="36"/>
  <c r="E13" i="36" s="1"/>
  <c r="C33" i="35"/>
  <c r="AS1167" i="33"/>
  <c r="AQ1168" i="33"/>
  <c r="AC658" i="33"/>
  <c r="AC659" i="33" s="1"/>
  <c r="AB51" i="33"/>
  <c r="J299" i="33"/>
  <c r="L299" i="33"/>
  <c r="B300" i="33" s="1"/>
  <c r="AE121" i="33"/>
  <c r="AF121" i="33" s="1"/>
  <c r="Y22" i="33"/>
  <c r="AD392" i="33"/>
  <c r="AF391" i="33"/>
  <c r="AG1170" i="33"/>
  <c r="AG1171" i="33"/>
  <c r="AG1075" i="33"/>
  <c r="AG1074" i="33"/>
  <c r="AK1075" i="33"/>
  <c r="V1120" i="33"/>
  <c r="X1119" i="33"/>
  <c r="AA44" i="33" s="1"/>
  <c r="AK1168" i="33"/>
  <c r="AK1170" i="33" s="1"/>
  <c r="AK1172" i="33" s="1"/>
  <c r="AK1174" i="33" s="1"/>
  <c r="AK1176" i="33" s="1"/>
  <c r="AK1178" i="33" s="1"/>
  <c r="AK1180" i="33" s="1"/>
  <c r="AK1182" i="33" s="1"/>
  <c r="AK1184" i="33" s="1"/>
  <c r="AK1186" i="33" s="1"/>
  <c r="AK1188" i="33" s="1"/>
  <c r="AK1190" i="33" s="1"/>
  <c r="AK1192" i="33" s="1"/>
  <c r="AK1194" i="33" s="1"/>
  <c r="AK1196" i="33" s="1"/>
  <c r="AM1166" i="33"/>
  <c r="AD230" i="33"/>
  <c r="AF229" i="33"/>
  <c r="AF13" i="33" s="1"/>
  <c r="AG896" i="33"/>
  <c r="AG897" i="33"/>
  <c r="AJ1167" i="33"/>
  <c r="AD1406" i="33"/>
  <c r="AF1404" i="33"/>
  <c r="AC1121" i="33"/>
  <c r="AC1122" i="33" s="1"/>
  <c r="AC1123" i="33" s="1"/>
  <c r="AC1124" i="33" s="1"/>
  <c r="U27" i="33"/>
  <c r="U25" i="33"/>
  <c r="AI483" i="33"/>
  <c r="AF547" i="33"/>
  <c r="AD549" i="33"/>
  <c r="AC391" i="33"/>
  <c r="AC392" i="33" s="1"/>
  <c r="AC393" i="33" s="1"/>
  <c r="AC394" i="33" s="1"/>
  <c r="AC497" i="33"/>
  <c r="AC498" i="33" s="1"/>
  <c r="AC499" i="33" s="1"/>
  <c r="AC500" i="33" s="1"/>
  <c r="AK1227" i="33"/>
  <c r="X25" i="33"/>
  <c r="X27" i="33"/>
  <c r="AC327" i="33"/>
  <c r="AE326" i="33"/>
  <c r="AL1217" i="33"/>
  <c r="AJ1218" i="33"/>
  <c r="AK1171" i="33"/>
  <c r="AD1222" i="33"/>
  <c r="AF1220" i="33"/>
  <c r="Y48" i="33" s="1"/>
  <c r="Y53" i="33" s="1"/>
  <c r="Y55" i="33" s="1"/>
  <c r="AC986" i="33"/>
  <c r="AC987" i="33" s="1"/>
  <c r="AG1223" i="33"/>
  <c r="AG1222" i="33"/>
  <c r="AD1278" i="33"/>
  <c r="AJ545" i="33"/>
  <c r="O9" i="33"/>
  <c r="O15" i="33" s="1"/>
  <c r="AC1005" i="33"/>
  <c r="AC1006" i="33" s="1"/>
  <c r="AE1004" i="33"/>
  <c r="AF1121" i="33"/>
  <c r="AB43" i="33" s="1"/>
  <c r="AD1122" i="33"/>
  <c r="AC229" i="33"/>
  <c r="AC230" i="33" s="1"/>
  <c r="AC231" i="33" s="1"/>
  <c r="AC232" i="33" s="1"/>
  <c r="AD895" i="33"/>
  <c r="AF483" i="33"/>
  <c r="AF983" i="33"/>
  <c r="AD985" i="33"/>
  <c r="AD1172" i="33"/>
  <c r="AD1174" i="33" s="1"/>
  <c r="AD1176" i="33" s="1"/>
  <c r="AD1178" i="33" s="1"/>
  <c r="AD1180" i="33" s="1"/>
  <c r="AD1182" i="33" s="1"/>
  <c r="AD1184" i="33" s="1"/>
  <c r="AD1186" i="33" s="1"/>
  <c r="AD1188" i="33" s="1"/>
  <c r="AD1190" i="33" s="1"/>
  <c r="AD1192" i="33" s="1"/>
  <c r="AD1194" i="33" s="1"/>
  <c r="AD1196" i="33" s="1"/>
  <c r="AF1170" i="33"/>
  <c r="Z46" i="33" s="1"/>
  <c r="AD855" i="33"/>
  <c r="AC856" i="33" s="1"/>
  <c r="AC857" i="33" s="1"/>
  <c r="AF854" i="33"/>
  <c r="R35" i="33" s="1"/>
  <c r="AR1171" i="33"/>
  <c r="AC1221" i="33"/>
  <c r="AC1222" i="33" s="1"/>
  <c r="AC1223" i="33" s="1"/>
  <c r="AC1224" i="33" s="1"/>
  <c r="AG120" i="33"/>
  <c r="AH120" i="33"/>
  <c r="Y1116" i="33"/>
  <c r="Y1115" i="33"/>
  <c r="AI128" i="33"/>
  <c r="AH896" i="33"/>
  <c r="AH897" i="33"/>
  <c r="AE110" i="33"/>
  <c r="AF110" i="33" s="1"/>
  <c r="AG110" i="33" s="1"/>
  <c r="M57" i="33" s="1"/>
  <c r="M59" i="33" s="1"/>
  <c r="N22" i="33"/>
  <c r="AC1035" i="33"/>
  <c r="AC1036" i="33" s="1"/>
  <c r="AE1034" i="33"/>
  <c r="AC550" i="33"/>
  <c r="AC551" i="33" s="1"/>
  <c r="M25" i="33"/>
  <c r="M55" i="33"/>
  <c r="AI109" i="33" s="1"/>
  <c r="AJ109" i="33" s="1"/>
  <c r="M27" i="33"/>
  <c r="AF1003" i="33"/>
  <c r="AE1003" i="33"/>
  <c r="AK389" i="33"/>
  <c r="AJ389" i="33"/>
  <c r="AR1218" i="33"/>
  <c r="AR1220" i="33" s="1"/>
  <c r="AR1222" i="33" s="1"/>
  <c r="AR1224" i="33" s="1"/>
  <c r="AR1226" i="33" s="1"/>
  <c r="AR1228" i="33" s="1"/>
  <c r="AR1230" i="33" s="1"/>
  <c r="AC1266" i="33"/>
  <c r="AE1265" i="33"/>
  <c r="AD1175" i="33"/>
  <c r="AN1224" i="33"/>
  <c r="AN1225" i="33"/>
  <c r="AD1044" i="33"/>
  <c r="AD498" i="33"/>
  <c r="AF497" i="33"/>
  <c r="P36" i="33" s="1"/>
  <c r="P53" i="33" s="1"/>
  <c r="Q35" i="33"/>
  <c r="AC1445" i="33"/>
  <c r="AC1446" i="33" s="1"/>
  <c r="AE1444" i="33"/>
  <c r="X128" i="33"/>
  <c r="AE57" i="33" s="1"/>
  <c r="W129" i="33"/>
  <c r="AC1070" i="33"/>
  <c r="AC1071" i="33" s="1"/>
  <c r="AF1265" i="33"/>
  <c r="AF1333" i="33"/>
  <c r="AB34" i="33" s="1"/>
  <c r="AD1334" i="33"/>
  <c r="AF325" i="33"/>
  <c r="AG1273" i="33"/>
  <c r="AG1274" i="33"/>
  <c r="AU1223" i="33"/>
  <c r="AU1222" i="33"/>
  <c r="AG1117" i="33"/>
  <c r="AG1118" i="33"/>
  <c r="AL1071" i="33"/>
  <c r="AJ1072" i="33"/>
  <c r="AJ1073" i="33" s="1"/>
  <c r="AC1333" i="33"/>
  <c r="AC1334" i="33" s="1"/>
  <c r="AG1332" i="33"/>
  <c r="AG1331" i="33"/>
  <c r="AE162" i="33"/>
  <c r="AF162" i="33" s="1"/>
  <c r="AD1448" i="33"/>
  <c r="AC893" i="33"/>
  <c r="AC894" i="33" s="1"/>
  <c r="AE892" i="33"/>
  <c r="AI116" i="33"/>
  <c r="AJ116" i="33" s="1"/>
  <c r="AH116" i="33"/>
  <c r="T59" i="33"/>
  <c r="AS1217" i="33"/>
  <c r="AQ1218" i="33"/>
  <c r="AI890" i="33"/>
  <c r="U1119" i="33"/>
  <c r="U1120" i="33" s="1"/>
  <c r="AC1172" i="33"/>
  <c r="AC1173" i="33" s="1"/>
  <c r="AE1171" i="33"/>
  <c r="AA34" i="33"/>
  <c r="AK1218" i="33"/>
  <c r="AK1220" i="33" s="1"/>
  <c r="AK1222" i="33" s="1"/>
  <c r="AK1224" i="33" s="1"/>
  <c r="AK1226" i="33" s="1"/>
  <c r="AK1228" i="33" s="1"/>
  <c r="AK1230" i="33" s="1"/>
  <c r="AD281" i="33"/>
  <c r="AF280" i="33"/>
  <c r="Z12" i="33" s="1"/>
  <c r="Z15" i="33" s="1"/>
  <c r="AU1170" i="33"/>
  <c r="AU1171" i="33"/>
  <c r="AT1216" i="33"/>
  <c r="AL1070" i="33"/>
  <c r="AM1070" i="33" s="1"/>
  <c r="AD657" i="33"/>
  <c r="AF655" i="33"/>
  <c r="AD1071" i="33"/>
  <c r="AF1070" i="33"/>
  <c r="U30" i="33" s="1"/>
  <c r="U53" i="33" s="1"/>
  <c r="U55" i="33" s="1"/>
  <c r="AC126" i="33"/>
  <c r="AN1169" i="33"/>
  <c r="AN1168" i="33"/>
  <c r="AC164" i="33"/>
  <c r="AC165" i="33" s="1"/>
  <c r="AE163" i="33"/>
  <c r="AN1071" i="33"/>
  <c r="AN1070" i="33"/>
  <c r="AF565" i="33"/>
  <c r="AJ565" i="33" s="1"/>
  <c r="AD567" i="33"/>
  <c r="AR1168" i="33"/>
  <c r="AR1170" i="33" s="1"/>
  <c r="AR1172" i="33" s="1"/>
  <c r="AR1174" i="33" s="1"/>
  <c r="AR1176" i="33" s="1"/>
  <c r="AR1178" i="33" s="1"/>
  <c r="AR1180" i="33" s="1"/>
  <c r="AR1182" i="33" s="1"/>
  <c r="AR1184" i="33" s="1"/>
  <c r="AR1186" i="33" s="1"/>
  <c r="AR1188" i="33" s="1"/>
  <c r="AR1190" i="33" s="1"/>
  <c r="AR1192" i="33" s="1"/>
  <c r="AR1194" i="33" s="1"/>
  <c r="AR1196" i="33" s="1"/>
  <c r="AH168" i="33"/>
  <c r="AC280" i="33"/>
  <c r="AC281" i="33" s="1"/>
  <c r="C63" i="50" l="1"/>
  <c r="D63" i="50"/>
  <c r="H63" i="50" s="1"/>
  <c r="I63" i="50" s="1"/>
  <c r="B64" i="50" s="1"/>
  <c r="H63" i="52"/>
  <c r="I63" i="52" s="1"/>
  <c r="B64" i="52" s="1"/>
  <c r="C64" i="52" s="1"/>
  <c r="C63" i="51"/>
  <c r="D63" i="51"/>
  <c r="H63" i="51" s="1"/>
  <c r="I63" i="51" s="1"/>
  <c r="B64" i="51" s="1"/>
  <c r="D64" i="51" s="1"/>
  <c r="B17" i="58"/>
  <c r="B18" i="58" s="1"/>
  <c r="B19" i="58" s="1"/>
  <c r="B20" i="58" s="1"/>
  <c r="H62" i="48"/>
  <c r="I62" i="48" s="1"/>
  <c r="B63" i="48" s="1"/>
  <c r="G63" i="48" s="1"/>
  <c r="I112" i="3"/>
  <c r="H98" i="2"/>
  <c r="G63" i="54"/>
  <c r="D63" i="54"/>
  <c r="D11" i="64"/>
  <c r="E11" i="64" s="1"/>
  <c r="D12" i="64"/>
  <c r="B13" i="64"/>
  <c r="B14" i="64" s="1"/>
  <c r="H63" i="53"/>
  <c r="I63" i="53" s="1"/>
  <c r="B64" i="53" s="1"/>
  <c r="C64" i="53" s="1"/>
  <c r="D11" i="61"/>
  <c r="E11" i="61"/>
  <c r="G13" i="61" s="1"/>
  <c r="D11" i="60"/>
  <c r="E11" i="60"/>
  <c r="D11" i="59"/>
  <c r="E11" i="59" s="1"/>
  <c r="D11" i="57"/>
  <c r="E11" i="57" s="1"/>
  <c r="D12" i="61"/>
  <c r="D13" i="61" s="1"/>
  <c r="B13" i="61"/>
  <c r="B14" i="61" s="1"/>
  <c r="B13" i="59"/>
  <c r="B14" i="59" s="1"/>
  <c r="D12" i="59"/>
  <c r="D13" i="59" s="1"/>
  <c r="E13" i="59" s="1"/>
  <c r="B13" i="62"/>
  <c r="B14" i="62" s="1"/>
  <c r="D12" i="62"/>
  <c r="D13" i="62" s="1"/>
  <c r="E13" i="62" s="1"/>
  <c r="B13" i="60"/>
  <c r="B14" i="60" s="1"/>
  <c r="D12" i="60"/>
  <c r="B13" i="57"/>
  <c r="B14" i="57" s="1"/>
  <c r="D12" i="57"/>
  <c r="D13" i="57" s="1"/>
  <c r="E13" i="57" s="1"/>
  <c r="D12" i="63"/>
  <c r="D13" i="63" s="1"/>
  <c r="E13" i="63" s="1"/>
  <c r="B13" i="63"/>
  <c r="B14" i="63" s="1"/>
  <c r="E15" i="61"/>
  <c r="D17" i="58"/>
  <c r="E17" i="58" s="1"/>
  <c r="D15" i="56"/>
  <c r="E15" i="56" s="1"/>
  <c r="B17" i="56"/>
  <c r="B18" i="56" s="1"/>
  <c r="D16" i="56"/>
  <c r="G63" i="47"/>
  <c r="H63" i="47" s="1"/>
  <c r="I63" i="47" s="1"/>
  <c r="B64" i="47" s="1"/>
  <c r="C63" i="47"/>
  <c r="G64" i="52"/>
  <c r="G105" i="55"/>
  <c r="D105" i="55"/>
  <c r="C105" i="55"/>
  <c r="I105" i="55"/>
  <c r="B106" i="55" s="1"/>
  <c r="H105" i="55"/>
  <c r="C33" i="55"/>
  <c r="G64" i="55"/>
  <c r="D64" i="55"/>
  <c r="C64" i="55"/>
  <c r="C34" i="54"/>
  <c r="H105" i="54"/>
  <c r="G105" i="54"/>
  <c r="D105" i="54"/>
  <c r="C105" i="54"/>
  <c r="I105" i="54"/>
  <c r="B106" i="54" s="1"/>
  <c r="C33" i="53"/>
  <c r="G105" i="53"/>
  <c r="D105" i="53"/>
  <c r="C105" i="53"/>
  <c r="I105" i="53"/>
  <c r="B106" i="53" s="1"/>
  <c r="H105" i="53"/>
  <c r="I105" i="52"/>
  <c r="B106" i="52" s="1"/>
  <c r="D105" i="52"/>
  <c r="H105" i="52"/>
  <c r="G105" i="52"/>
  <c r="C105" i="52"/>
  <c r="C33" i="52"/>
  <c r="C33" i="51"/>
  <c r="H105" i="51"/>
  <c r="G105" i="51"/>
  <c r="D105" i="51"/>
  <c r="I105" i="51"/>
  <c r="B106" i="51" s="1"/>
  <c r="C105" i="51"/>
  <c r="G64" i="51"/>
  <c r="C33" i="50"/>
  <c r="G104" i="50"/>
  <c r="D104" i="50"/>
  <c r="C104" i="50"/>
  <c r="I104" i="50"/>
  <c r="B105" i="50" s="1"/>
  <c r="H104" i="50"/>
  <c r="D64" i="50"/>
  <c r="C64" i="50"/>
  <c r="G64" i="50"/>
  <c r="C36" i="49"/>
  <c r="I104" i="49"/>
  <c r="B105" i="49" s="1"/>
  <c r="H104" i="49"/>
  <c r="G104" i="49"/>
  <c r="D104" i="49"/>
  <c r="C104" i="49"/>
  <c r="D64" i="49"/>
  <c r="C64" i="49"/>
  <c r="G64" i="49"/>
  <c r="C33" i="48"/>
  <c r="I104" i="48"/>
  <c r="B105" i="48" s="1"/>
  <c r="H104" i="48"/>
  <c r="G104" i="48"/>
  <c r="D104" i="48"/>
  <c r="C104" i="48"/>
  <c r="C33" i="47"/>
  <c r="C104" i="47"/>
  <c r="I104" i="47"/>
  <c r="B105" i="47" s="1"/>
  <c r="D104" i="47"/>
  <c r="H104" i="47"/>
  <c r="G104" i="47"/>
  <c r="H63" i="35"/>
  <c r="I63" i="35" s="1"/>
  <c r="B64" i="35" s="1"/>
  <c r="G64" i="35" s="1"/>
  <c r="B15" i="36"/>
  <c r="B16" i="36" s="1"/>
  <c r="D16" i="36" s="1"/>
  <c r="D15" i="36"/>
  <c r="E15" i="36" s="1"/>
  <c r="C34" i="35"/>
  <c r="AC858" i="33"/>
  <c r="AC859" i="33" s="1"/>
  <c r="AI121" i="33"/>
  <c r="AJ121" i="33" s="1"/>
  <c r="Y59" i="33"/>
  <c r="AC1037" i="33"/>
  <c r="AC1038" i="33" s="1"/>
  <c r="AE1036" i="33"/>
  <c r="AC395" i="33"/>
  <c r="AC396" i="33" s="1"/>
  <c r="AD394" i="33"/>
  <c r="AF393" i="33"/>
  <c r="AC282" i="33"/>
  <c r="AC283" i="33" s="1"/>
  <c r="AI117" i="33"/>
  <c r="AJ117" i="33" s="1"/>
  <c r="AH117" i="33"/>
  <c r="U59" i="33"/>
  <c r="AU1173" i="33"/>
  <c r="AU1172" i="33"/>
  <c r="AE1172" i="33"/>
  <c r="AF1172" i="33" s="1"/>
  <c r="AA46" i="33" s="1"/>
  <c r="AC1072" i="33"/>
  <c r="AC1073" i="33" s="1"/>
  <c r="N55" i="33"/>
  <c r="AI110" i="33" s="1"/>
  <c r="AJ110" i="33" s="1"/>
  <c r="N25" i="33"/>
  <c r="N27" i="33"/>
  <c r="AC328" i="33"/>
  <c r="AE327" i="33"/>
  <c r="AF327" i="33" s="1"/>
  <c r="AK1077" i="33"/>
  <c r="Y25" i="33"/>
  <c r="Y27" i="33"/>
  <c r="AD1177" i="33"/>
  <c r="AN1073" i="33"/>
  <c r="AN1072" i="33"/>
  <c r="AB50" i="33"/>
  <c r="AF231" i="33"/>
  <c r="AG13" i="33" s="1"/>
  <c r="AD232" i="33"/>
  <c r="AH170" i="33"/>
  <c r="AE164" i="33"/>
  <c r="AF164" i="33" s="1"/>
  <c r="AE122" i="33"/>
  <c r="AF122" i="33" s="1"/>
  <c r="Z22" i="33"/>
  <c r="U1121" i="33"/>
  <c r="U1122" i="33" s="1"/>
  <c r="AE893" i="33"/>
  <c r="AF892" i="33"/>
  <c r="AG1334" i="33"/>
  <c r="AG1333" i="33"/>
  <c r="AG1276" i="33"/>
  <c r="AG1275" i="33"/>
  <c r="AF499" i="33"/>
  <c r="AD500" i="33"/>
  <c r="AE1266" i="33"/>
  <c r="AC1267" i="33"/>
  <c r="AH899" i="33"/>
  <c r="AH898" i="33"/>
  <c r="AC1225" i="33"/>
  <c r="AC1226" i="33" s="1"/>
  <c r="AF985" i="33"/>
  <c r="AD987" i="33"/>
  <c r="AF987" i="33" s="1"/>
  <c r="AF990" i="33" s="1"/>
  <c r="AF1123" i="33"/>
  <c r="AC43" i="33" s="1"/>
  <c r="AD1124" i="33"/>
  <c r="AD1224" i="33"/>
  <c r="AF1222" i="33"/>
  <c r="Z48" i="33" s="1"/>
  <c r="AJ547" i="33"/>
  <c r="P9" i="33"/>
  <c r="P15" i="33" s="1"/>
  <c r="AJ1168" i="33"/>
  <c r="AJ1169" i="33" s="1"/>
  <c r="AL1167" i="33"/>
  <c r="AG1077" i="33"/>
  <c r="AG1076" i="33"/>
  <c r="AC166" i="33"/>
  <c r="AC167" i="33" s="1"/>
  <c r="AE165" i="33"/>
  <c r="AD283" i="33"/>
  <c r="AF282" i="33"/>
  <c r="AA12" i="33" s="1"/>
  <c r="AA15" i="33" s="1"/>
  <c r="AE894" i="33"/>
  <c r="AE895" i="33" s="1"/>
  <c r="AC895" i="33"/>
  <c r="AC896" i="33" s="1"/>
  <c r="AC1335" i="33"/>
  <c r="AC1336" i="33" s="1"/>
  <c r="AR1173" i="33"/>
  <c r="AD1280" i="33"/>
  <c r="AG1173" i="33"/>
  <c r="AG1172" i="33"/>
  <c r="L300" i="33"/>
  <c r="B301" i="33" s="1"/>
  <c r="J300" i="33"/>
  <c r="Y1118" i="33"/>
  <c r="Y1117" i="33"/>
  <c r="AD1073" i="33"/>
  <c r="AF1072" i="33"/>
  <c r="V30" i="33" s="1"/>
  <c r="V53" i="33" s="1"/>
  <c r="V55" i="33" s="1"/>
  <c r="AC1174" i="33"/>
  <c r="AC1175" i="33" s="1"/>
  <c r="AE1173" i="33"/>
  <c r="AU1224" i="33"/>
  <c r="AU1225" i="33"/>
  <c r="X129" i="33"/>
  <c r="AF57" i="33" s="1"/>
  <c r="W130" i="33"/>
  <c r="AE111" i="33"/>
  <c r="AF111" i="33" s="1"/>
  <c r="AG111" i="33" s="1"/>
  <c r="O22" i="33"/>
  <c r="AD551" i="33"/>
  <c r="AF551" i="33" s="1"/>
  <c r="AF549" i="33"/>
  <c r="AJ549" i="33" s="1"/>
  <c r="AF1406" i="33"/>
  <c r="AD1408" i="33"/>
  <c r="AH121" i="33"/>
  <c r="AG121" i="33"/>
  <c r="AF657" i="33"/>
  <c r="AD659" i="33"/>
  <c r="AL1073" i="33"/>
  <c r="AJ1074" i="33"/>
  <c r="AJ1075" i="33" s="1"/>
  <c r="AJ325" i="33"/>
  <c r="AH325" i="33"/>
  <c r="AF1444" i="33"/>
  <c r="AD1046" i="33"/>
  <c r="AR1232" i="33"/>
  <c r="I36" i="33"/>
  <c r="I53" i="33" s="1"/>
  <c r="I55" i="33" s="1"/>
  <c r="I59" i="33" s="1"/>
  <c r="AK1173" i="33"/>
  <c r="AQ1169" i="33"/>
  <c r="AN1171" i="33"/>
  <c r="AN1170" i="33"/>
  <c r="AQ1219" i="33"/>
  <c r="AS1218" i="33"/>
  <c r="AD1450" i="33"/>
  <c r="AL1072" i="33"/>
  <c r="AM1072" i="33"/>
  <c r="Z31" i="33" s="1"/>
  <c r="AF1335" i="33"/>
  <c r="AD1336" i="33"/>
  <c r="AE1446" i="33"/>
  <c r="AF1446" i="33" s="1"/>
  <c r="AC1447" i="33"/>
  <c r="AC1448" i="33" s="1"/>
  <c r="AN1227" i="33"/>
  <c r="AN1226" i="33"/>
  <c r="AD897" i="33"/>
  <c r="AE1005" i="33"/>
  <c r="AF1005" i="33" s="1"/>
  <c r="AL1218" i="33"/>
  <c r="AJ1219" i="33"/>
  <c r="AK1229" i="33"/>
  <c r="AC1407" i="33"/>
  <c r="AC1408" i="33" s="1"/>
  <c r="AC1409" i="33" s="1"/>
  <c r="AC1410" i="33" s="1"/>
  <c r="AS1168" i="33"/>
  <c r="AT1168" i="33"/>
  <c r="AF567" i="33"/>
  <c r="AJ567" i="33" s="1"/>
  <c r="AD569" i="33"/>
  <c r="AC127" i="33"/>
  <c r="AT1218" i="33"/>
  <c r="AG1119" i="33"/>
  <c r="AG1120" i="33"/>
  <c r="AE1035" i="33"/>
  <c r="AF1035" i="33" s="1"/>
  <c r="AD857" i="33"/>
  <c r="AF856" i="33"/>
  <c r="AC1007" i="33"/>
  <c r="AC1008" i="33" s="1"/>
  <c r="AE1006" i="33"/>
  <c r="AG1224" i="33"/>
  <c r="AG1225" i="33"/>
  <c r="AM1218" i="33"/>
  <c r="AC501" i="33"/>
  <c r="AC502" i="33" s="1"/>
  <c r="AG899" i="33"/>
  <c r="AG898" i="33"/>
  <c r="V1122" i="33"/>
  <c r="X1121" i="33"/>
  <c r="AB44" i="33" s="1"/>
  <c r="AK391" i="33"/>
  <c r="AJ391" i="33"/>
  <c r="C64" i="51" l="1"/>
  <c r="D64" i="52"/>
  <c r="H64" i="52" s="1"/>
  <c r="D18" i="58"/>
  <c r="D19" i="58" s="1"/>
  <c r="E19" i="58" s="1"/>
  <c r="G19" i="58" s="1"/>
  <c r="D63" i="48"/>
  <c r="H63" i="48" s="1"/>
  <c r="I63" i="48" s="1"/>
  <c r="B64" i="48" s="1"/>
  <c r="G64" i="48" s="1"/>
  <c r="C63" i="48"/>
  <c r="J112" i="3"/>
  <c r="I98" i="2"/>
  <c r="H63" i="54"/>
  <c r="I63" i="54" s="1"/>
  <c r="B64" i="54" s="1"/>
  <c r="C64" i="54" s="1"/>
  <c r="D64" i="53"/>
  <c r="H64" i="53" s="1"/>
  <c r="I64" i="53" s="1"/>
  <c r="B65" i="53" s="1"/>
  <c r="D65" i="53" s="1"/>
  <c r="G64" i="53"/>
  <c r="B15" i="64"/>
  <c r="B16" i="64" s="1"/>
  <c r="D14" i="64"/>
  <c r="D13" i="64"/>
  <c r="E13" i="64" s="1"/>
  <c r="D13" i="60"/>
  <c r="E13" i="60" s="1"/>
  <c r="G64" i="47"/>
  <c r="D64" i="47"/>
  <c r="C64" i="47"/>
  <c r="D14" i="60"/>
  <c r="B15" i="60"/>
  <c r="B16" i="60" s="1"/>
  <c r="D14" i="62"/>
  <c r="D15" i="62" s="1"/>
  <c r="E15" i="62" s="1"/>
  <c r="B15" i="62"/>
  <c r="B16" i="62" s="1"/>
  <c r="B15" i="63"/>
  <c r="B16" i="63" s="1"/>
  <c r="D14" i="63"/>
  <c r="D15" i="63" s="1"/>
  <c r="E15" i="63" s="1"/>
  <c r="B15" i="59"/>
  <c r="B16" i="59" s="1"/>
  <c r="D14" i="59"/>
  <c r="D15" i="59" s="1"/>
  <c r="E15" i="59" s="1"/>
  <c r="B15" i="61"/>
  <c r="B16" i="61" s="1"/>
  <c r="D14" i="61"/>
  <c r="D15" i="61" s="1"/>
  <c r="D14" i="57"/>
  <c r="B15" i="57"/>
  <c r="B16" i="57" s="1"/>
  <c r="B21" i="58"/>
  <c r="B22" i="58" s="1"/>
  <c r="D20" i="58"/>
  <c r="D17" i="56"/>
  <c r="E17" i="56" s="1"/>
  <c r="B19" i="56"/>
  <c r="B20" i="56" s="1"/>
  <c r="D18" i="56"/>
  <c r="H64" i="55"/>
  <c r="I64" i="55" s="1"/>
  <c r="B65" i="55" s="1"/>
  <c r="C65" i="55" s="1"/>
  <c r="H64" i="49"/>
  <c r="I64" i="49" s="1"/>
  <c r="B65" i="49" s="1"/>
  <c r="G65" i="49" s="1"/>
  <c r="C34" i="55"/>
  <c r="I106" i="55"/>
  <c r="B107" i="55" s="1"/>
  <c r="H106" i="55"/>
  <c r="G106" i="55"/>
  <c r="D106" i="55"/>
  <c r="C106" i="55"/>
  <c r="I106" i="54"/>
  <c r="B107" i="54" s="1"/>
  <c r="H106" i="54"/>
  <c r="G106" i="54"/>
  <c r="D106" i="54"/>
  <c r="C106" i="54"/>
  <c r="C35" i="54"/>
  <c r="H64" i="50"/>
  <c r="I64" i="50" s="1"/>
  <c r="B65" i="50" s="1"/>
  <c r="G65" i="50" s="1"/>
  <c r="C34" i="53"/>
  <c r="I106" i="53"/>
  <c r="B107" i="53" s="1"/>
  <c r="H106" i="53"/>
  <c r="G106" i="53"/>
  <c r="D106" i="53"/>
  <c r="C106" i="53"/>
  <c r="H64" i="51"/>
  <c r="I64" i="51" s="1"/>
  <c r="B65" i="51" s="1"/>
  <c r="G65" i="51" s="1"/>
  <c r="I64" i="52"/>
  <c r="B65" i="52" s="1"/>
  <c r="C34" i="52"/>
  <c r="H106" i="52"/>
  <c r="G106" i="52"/>
  <c r="D106" i="52"/>
  <c r="C106" i="52"/>
  <c r="I106" i="52"/>
  <c r="B107" i="52" s="1"/>
  <c r="C34" i="51"/>
  <c r="I106" i="51"/>
  <c r="B107" i="51" s="1"/>
  <c r="H106" i="51"/>
  <c r="G106" i="51"/>
  <c r="D106" i="51"/>
  <c r="C106" i="51"/>
  <c r="C34" i="50"/>
  <c r="I105" i="50"/>
  <c r="B106" i="50" s="1"/>
  <c r="H105" i="50"/>
  <c r="G105" i="50"/>
  <c r="D105" i="50"/>
  <c r="C105" i="50"/>
  <c r="I105" i="49"/>
  <c r="B106" i="49" s="1"/>
  <c r="H105" i="49"/>
  <c r="G105" i="49"/>
  <c r="C105" i="49"/>
  <c r="D105" i="49"/>
  <c r="C37" i="49"/>
  <c r="C105" i="48"/>
  <c r="I105" i="48"/>
  <c r="B106" i="48" s="1"/>
  <c r="H105" i="48"/>
  <c r="D105" i="48"/>
  <c r="G105" i="48"/>
  <c r="C34" i="48"/>
  <c r="C34" i="47"/>
  <c r="G105" i="47"/>
  <c r="D105" i="47"/>
  <c r="C105" i="47"/>
  <c r="I105" i="47"/>
  <c r="B106" i="47" s="1"/>
  <c r="H105" i="47"/>
  <c r="B17" i="36"/>
  <c r="B18" i="36" s="1"/>
  <c r="B19" i="36" s="1"/>
  <c r="B20" i="36" s="1"/>
  <c r="C64" i="35"/>
  <c r="D64" i="35"/>
  <c r="D17" i="36"/>
  <c r="E17" i="36" s="1"/>
  <c r="C35" i="35"/>
  <c r="AC50" i="33"/>
  <c r="AC51" i="33"/>
  <c r="AJ327" i="33"/>
  <c r="AH327" i="33"/>
  <c r="V1124" i="33"/>
  <c r="X1123" i="33"/>
  <c r="AC44" i="33" s="1"/>
  <c r="Y1120" i="33"/>
  <c r="Y1119" i="33"/>
  <c r="AC168" i="33"/>
  <c r="AC169" i="33" s="1"/>
  <c r="AE167" i="33"/>
  <c r="AH900" i="33"/>
  <c r="AH901" i="33"/>
  <c r="AC128" i="33"/>
  <c r="AK1232" i="33"/>
  <c r="AC34" i="33"/>
  <c r="AJ1076" i="33"/>
  <c r="AJ1077" i="33" s="1"/>
  <c r="AL1075" i="33"/>
  <c r="AD1410" i="33"/>
  <c r="AF1408" i="33"/>
  <c r="AU1226" i="33"/>
  <c r="AU1227" i="33"/>
  <c r="AR1175" i="33"/>
  <c r="AF1125" i="33"/>
  <c r="AD43" i="33" s="1"/>
  <c r="AD1126" i="33"/>
  <c r="AC1268" i="33"/>
  <c r="AE1267" i="33"/>
  <c r="AG1336" i="33"/>
  <c r="AG1335" i="33"/>
  <c r="AK1079" i="33"/>
  <c r="AC1074" i="33"/>
  <c r="AC1075" i="33" s="1"/>
  <c r="AC233" i="33"/>
  <c r="AC234" i="33" s="1"/>
  <c r="AC235" i="33" s="1"/>
  <c r="AC236" i="33" s="1"/>
  <c r="AD1282" i="33"/>
  <c r="AG1278" i="33"/>
  <c r="AG1277" i="33"/>
  <c r="AC1411" i="33"/>
  <c r="AC1412" i="33" s="1"/>
  <c r="AC1413" i="33" s="1"/>
  <c r="AC1414" i="33" s="1"/>
  <c r="AC1415" i="33" s="1"/>
  <c r="AC1416" i="33" s="1"/>
  <c r="AC1417" i="33" s="1"/>
  <c r="AC1418" i="33" s="1"/>
  <c r="AC1419" i="33" s="1"/>
  <c r="AC1420" i="33" s="1"/>
  <c r="AC1421" i="33" s="1"/>
  <c r="AC1422" i="33" s="1"/>
  <c r="AC1423" i="33" s="1"/>
  <c r="AC1424" i="33" s="1"/>
  <c r="AC988" i="33"/>
  <c r="AC989" i="33" s="1"/>
  <c r="AG900" i="33"/>
  <c r="AG901" i="33"/>
  <c r="AF858" i="33"/>
  <c r="AD859" i="33"/>
  <c r="AC860" i="33" s="1"/>
  <c r="AC861" i="33" s="1"/>
  <c r="AF569" i="33"/>
  <c r="AJ569" i="33" s="1"/>
  <c r="AD571" i="33"/>
  <c r="AC552" i="33"/>
  <c r="AC553" i="33" s="1"/>
  <c r="AC554" i="33" s="1"/>
  <c r="AC555" i="33" s="1"/>
  <c r="AC556" i="33" s="1"/>
  <c r="AC557" i="33" s="1"/>
  <c r="AC558" i="33" s="1"/>
  <c r="AC559" i="33" s="1"/>
  <c r="AC560" i="33" s="1"/>
  <c r="AC561" i="33" s="1"/>
  <c r="AC562" i="33" s="1"/>
  <c r="AC563" i="33" s="1"/>
  <c r="AC564" i="33" s="1"/>
  <c r="AC565" i="33" s="1"/>
  <c r="AC566" i="33" s="1"/>
  <c r="AC567" i="33" s="1"/>
  <c r="AC568" i="33" s="1"/>
  <c r="AC569" i="33" s="1"/>
  <c r="AC570" i="33" s="1"/>
  <c r="AC571" i="33" s="1"/>
  <c r="Z53" i="33"/>
  <c r="Z55" i="33" s="1"/>
  <c r="AN1173" i="33"/>
  <c r="AN1172" i="33"/>
  <c r="AL1074" i="33"/>
  <c r="AM1074" i="33"/>
  <c r="AA31" i="33" s="1"/>
  <c r="AA53" i="33" s="1"/>
  <c r="J301" i="33"/>
  <c r="L301" i="33"/>
  <c r="B302" i="33" s="1"/>
  <c r="AC1337" i="33"/>
  <c r="AC1338" i="33" s="1"/>
  <c r="AC1339" i="33" s="1"/>
  <c r="AC1340" i="33" s="1"/>
  <c r="AG1079" i="33"/>
  <c r="AG1078" i="33"/>
  <c r="AF1267" i="33"/>
  <c r="AC47" i="33" s="1"/>
  <c r="AI892" i="33"/>
  <c r="AC284" i="33"/>
  <c r="AC285" i="33" s="1"/>
  <c r="AC286" i="33" s="1"/>
  <c r="AC287" i="33" s="1"/>
  <c r="AE1037" i="33"/>
  <c r="AF1037" i="33"/>
  <c r="AD51" i="33" s="1"/>
  <c r="AE1007" i="33"/>
  <c r="AF1007" i="33" s="1"/>
  <c r="AD50" i="33" s="1"/>
  <c r="AC1009" i="33"/>
  <c r="AC1010" i="33" s="1"/>
  <c r="AE1008" i="33"/>
  <c r="AF1337" i="33"/>
  <c r="AD34" i="33" s="1"/>
  <c r="AD1338" i="33"/>
  <c r="AS1219" i="33"/>
  <c r="AQ1220" i="33"/>
  <c r="AD1226" i="33"/>
  <c r="AF1224" i="33"/>
  <c r="AA48" i="33" s="1"/>
  <c r="AJ1220" i="33"/>
  <c r="AL1219" i="33"/>
  <c r="AS1169" i="33"/>
  <c r="AQ1170" i="33"/>
  <c r="AQ1171" i="33" s="1"/>
  <c r="AE1174" i="33"/>
  <c r="AF1174" i="33" s="1"/>
  <c r="AB46" i="33" s="1"/>
  <c r="AC897" i="33"/>
  <c r="AC898" i="33" s="1"/>
  <c r="AE896" i="33"/>
  <c r="AL1168" i="33"/>
  <c r="AM1168" i="33"/>
  <c r="AD990" i="33"/>
  <c r="AF501" i="33"/>
  <c r="Q36" i="33" s="1"/>
  <c r="Q53" i="33" s="1"/>
  <c r="AD502" i="33"/>
  <c r="AC503" i="33" s="1"/>
  <c r="AC504" i="33" s="1"/>
  <c r="AF894" i="33"/>
  <c r="AI894" i="33" s="1"/>
  <c r="AH172" i="33"/>
  <c r="AN1074" i="33"/>
  <c r="AN1075" i="33"/>
  <c r="AE328" i="33"/>
  <c r="AC329" i="33"/>
  <c r="AK393" i="33"/>
  <c r="AJ393" i="33"/>
  <c r="AC1039" i="33"/>
  <c r="AC1040" i="33" s="1"/>
  <c r="AE1038" i="33"/>
  <c r="AD899" i="33"/>
  <c r="AE166" i="33"/>
  <c r="AF166" i="33" s="1"/>
  <c r="AN1229" i="33"/>
  <c r="AN1230" i="33" s="1"/>
  <c r="AN1228" i="33"/>
  <c r="AD661" i="33"/>
  <c r="AF659" i="33"/>
  <c r="AG1174" i="33"/>
  <c r="AG1175" i="33"/>
  <c r="AJ1170" i="33"/>
  <c r="AJ1171" i="33" s="1"/>
  <c r="AL1169" i="33"/>
  <c r="AC660" i="33"/>
  <c r="AC661" i="33" s="1"/>
  <c r="AC662" i="33" s="1"/>
  <c r="AC663" i="33" s="1"/>
  <c r="AD396" i="33"/>
  <c r="AF395" i="33"/>
  <c r="X130" i="33"/>
  <c r="AG57" i="33" s="1"/>
  <c r="W131" i="33"/>
  <c r="AD1048" i="33"/>
  <c r="AD1050" i="33"/>
  <c r="AJ551" i="33"/>
  <c r="Q9" i="33"/>
  <c r="Q15" i="33" s="1"/>
  <c r="AC1176" i="33"/>
  <c r="AC1177" i="33" s="1"/>
  <c r="AE1175" i="33"/>
  <c r="U1123" i="33"/>
  <c r="U1124" i="33" s="1"/>
  <c r="U1125" i="33" s="1"/>
  <c r="U1126" i="33" s="1"/>
  <c r="AG1226" i="33"/>
  <c r="AG1227" i="33"/>
  <c r="AG1121" i="33"/>
  <c r="AG1122" i="33"/>
  <c r="AC1449" i="33"/>
  <c r="AC1450" i="33" s="1"/>
  <c r="AE1448" i="33"/>
  <c r="AF1448" i="33" s="1"/>
  <c r="AD1452" i="33"/>
  <c r="AK1175" i="33"/>
  <c r="O25" i="33"/>
  <c r="O55" i="33"/>
  <c r="AI111" i="33" s="1"/>
  <c r="AJ111" i="33" s="1"/>
  <c r="O27" i="33"/>
  <c r="AI118" i="33"/>
  <c r="AJ118" i="33" s="1"/>
  <c r="V59" i="33"/>
  <c r="AA55" i="33"/>
  <c r="AE123" i="33"/>
  <c r="AF123" i="33" s="1"/>
  <c r="AA22" i="33"/>
  <c r="AE112" i="33"/>
  <c r="AF112" i="33" s="1"/>
  <c r="AG112" i="33" s="1"/>
  <c r="P57" i="33" s="1"/>
  <c r="P22" i="33"/>
  <c r="Z27" i="33"/>
  <c r="Z25" i="33"/>
  <c r="AD1179" i="33"/>
  <c r="AC1125" i="33"/>
  <c r="AC1126" i="33" s="1"/>
  <c r="AC1127" i="33" s="1"/>
  <c r="AC1128" i="33" s="1"/>
  <c r="O57" i="33"/>
  <c r="O59" i="33" s="1"/>
  <c r="N57" i="33"/>
  <c r="N59" i="33" s="1"/>
  <c r="AD1075" i="33"/>
  <c r="AF1074" i="33"/>
  <c r="W30" i="33" s="1"/>
  <c r="W53" i="33" s="1"/>
  <c r="W55" i="33" s="1"/>
  <c r="AD285" i="33"/>
  <c r="AF284" i="33"/>
  <c r="AB12" i="33" s="1"/>
  <c r="AB15" i="33" s="1"/>
  <c r="AC1227" i="33"/>
  <c r="AC1228" i="33" s="1"/>
  <c r="AH122" i="33"/>
  <c r="AG122" i="33"/>
  <c r="AD234" i="33"/>
  <c r="AF233" i="33"/>
  <c r="AH13" i="33" s="1"/>
  <c r="AH15" i="33" s="1"/>
  <c r="AU1175" i="33"/>
  <c r="AU1174" i="33"/>
  <c r="AC397" i="33"/>
  <c r="AC398" i="33" s="1"/>
  <c r="G65" i="53" l="1"/>
  <c r="D64" i="48"/>
  <c r="H64" i="48" s="1"/>
  <c r="I64" i="48" s="1"/>
  <c r="B65" i="48" s="1"/>
  <c r="C64" i="48"/>
  <c r="C65" i="53"/>
  <c r="K112" i="3"/>
  <c r="J98" i="2"/>
  <c r="D64" i="54"/>
  <c r="H64" i="54" s="1"/>
  <c r="I64" i="54" s="1"/>
  <c r="B65" i="54" s="1"/>
  <c r="G64" i="54"/>
  <c r="D15" i="64"/>
  <c r="E15" i="64" s="1"/>
  <c r="B17" i="64"/>
  <c r="B18" i="64" s="1"/>
  <c r="D16" i="64"/>
  <c r="D15" i="60"/>
  <c r="E15" i="60" s="1"/>
  <c r="G15" i="60" s="1"/>
  <c r="D15" i="57"/>
  <c r="E15" i="57" s="1"/>
  <c r="H64" i="47"/>
  <c r="I64" i="47" s="1"/>
  <c r="B65" i="47" s="1"/>
  <c r="D16" i="59"/>
  <c r="B17" i="59"/>
  <c r="B18" i="59" s="1"/>
  <c r="D16" i="63"/>
  <c r="B17" i="63"/>
  <c r="B18" i="63" s="1"/>
  <c r="B17" i="57"/>
  <c r="B18" i="57" s="1"/>
  <c r="D16" i="57"/>
  <c r="D17" i="57" s="1"/>
  <c r="E17" i="57" s="1"/>
  <c r="B17" i="62"/>
  <c r="B18" i="62" s="1"/>
  <c r="D16" i="62"/>
  <c r="D17" i="62" s="1"/>
  <c r="E17" i="62" s="1"/>
  <c r="D16" i="60"/>
  <c r="B17" i="60"/>
  <c r="B18" i="60" s="1"/>
  <c r="B17" i="61"/>
  <c r="B18" i="61" s="1"/>
  <c r="D16" i="61"/>
  <c r="D17" i="61" s="1"/>
  <c r="E17" i="61" s="1"/>
  <c r="D21" i="58"/>
  <c r="E21" i="58" s="1"/>
  <c r="B23" i="58"/>
  <c r="B24" i="58" s="1"/>
  <c r="D22" i="58"/>
  <c r="D19" i="56"/>
  <c r="E19" i="56" s="1"/>
  <c r="G65" i="55"/>
  <c r="B21" i="56"/>
  <c r="B22" i="56" s="1"/>
  <c r="D20" i="56"/>
  <c r="D65" i="55"/>
  <c r="H65" i="55" s="1"/>
  <c r="I65" i="55" s="1"/>
  <c r="B66" i="55" s="1"/>
  <c r="D65" i="51"/>
  <c r="H65" i="51" s="1"/>
  <c r="I65" i="51" s="1"/>
  <c r="B66" i="51" s="1"/>
  <c r="G66" i="51" s="1"/>
  <c r="C65" i="51"/>
  <c r="C65" i="49"/>
  <c r="D65" i="49"/>
  <c r="H65" i="49" s="1"/>
  <c r="I65" i="49" s="1"/>
  <c r="B66" i="49" s="1"/>
  <c r="I107" i="55"/>
  <c r="B108" i="55" s="1"/>
  <c r="H107" i="55"/>
  <c r="G107" i="55"/>
  <c r="D107" i="55"/>
  <c r="C107" i="55"/>
  <c r="C65" i="50"/>
  <c r="D65" i="50"/>
  <c r="H65" i="50" s="1"/>
  <c r="I65" i="50" s="1"/>
  <c r="B66" i="50" s="1"/>
  <c r="G66" i="50" s="1"/>
  <c r="C35" i="55"/>
  <c r="I107" i="54"/>
  <c r="B108" i="54" s="1"/>
  <c r="D107" i="54"/>
  <c r="H107" i="54"/>
  <c r="G107" i="54"/>
  <c r="C107" i="54"/>
  <c r="C36" i="54"/>
  <c r="I107" i="53"/>
  <c r="B108" i="53" s="1"/>
  <c r="D107" i="53"/>
  <c r="H107" i="53"/>
  <c r="G107" i="53"/>
  <c r="C107" i="53"/>
  <c r="C35" i="53"/>
  <c r="H65" i="53"/>
  <c r="I65" i="53" s="1"/>
  <c r="B66" i="53" s="1"/>
  <c r="C107" i="52"/>
  <c r="I107" i="52"/>
  <c r="B108" i="52" s="1"/>
  <c r="H107" i="52"/>
  <c r="G107" i="52"/>
  <c r="D107" i="52"/>
  <c r="G65" i="52"/>
  <c r="D65" i="52"/>
  <c r="C65" i="52"/>
  <c r="C35" i="52"/>
  <c r="C107" i="51"/>
  <c r="I107" i="51"/>
  <c r="B108" i="51" s="1"/>
  <c r="D107" i="51"/>
  <c r="H107" i="51"/>
  <c r="G107" i="51"/>
  <c r="C35" i="51"/>
  <c r="C35" i="50"/>
  <c r="I106" i="50"/>
  <c r="B107" i="50" s="1"/>
  <c r="H106" i="50"/>
  <c r="G106" i="50"/>
  <c r="D106" i="50"/>
  <c r="C106" i="50"/>
  <c r="C38" i="49"/>
  <c r="C106" i="49"/>
  <c r="I106" i="49"/>
  <c r="B107" i="49" s="1"/>
  <c r="G106" i="49"/>
  <c r="H106" i="49"/>
  <c r="D106" i="49"/>
  <c r="G106" i="48"/>
  <c r="D106" i="48"/>
  <c r="C106" i="48"/>
  <c r="H106" i="48"/>
  <c r="I106" i="48"/>
  <c r="B107" i="48" s="1"/>
  <c r="C35" i="48"/>
  <c r="C35" i="47"/>
  <c r="I106" i="47"/>
  <c r="B107" i="47" s="1"/>
  <c r="H106" i="47"/>
  <c r="G106" i="47"/>
  <c r="C106" i="47"/>
  <c r="D106" i="47"/>
  <c r="H64" i="35"/>
  <c r="I64" i="35" s="1"/>
  <c r="B65" i="35" s="1"/>
  <c r="D65" i="35" s="1"/>
  <c r="D18" i="36"/>
  <c r="D20" i="36"/>
  <c r="B21" i="36"/>
  <c r="B22" i="36" s="1"/>
  <c r="C36" i="35"/>
  <c r="AD1077" i="33"/>
  <c r="AF1076" i="33"/>
  <c r="X30" i="33" s="1"/>
  <c r="X53" i="33" s="1"/>
  <c r="X55" i="33" s="1"/>
  <c r="AC1076" i="33"/>
  <c r="AC1077" i="33" s="1"/>
  <c r="AC1078" i="33" s="1"/>
  <c r="AC1079" i="33" s="1"/>
  <c r="AF1127" i="33"/>
  <c r="AE43" i="33" s="1"/>
  <c r="AD1128" i="33"/>
  <c r="AL1076" i="33"/>
  <c r="AM1076" i="33" s="1"/>
  <c r="AB31" i="33" s="1"/>
  <c r="AB53" i="33" s="1"/>
  <c r="AB55" i="33" s="1"/>
  <c r="V1126" i="33"/>
  <c r="X1125" i="33"/>
  <c r="AD44" i="33" s="1"/>
  <c r="AD236" i="33"/>
  <c r="AF235" i="33"/>
  <c r="AI13" i="33" s="1"/>
  <c r="AI15" i="33" s="1"/>
  <c r="AD1181" i="33"/>
  <c r="AK1177" i="33"/>
  <c r="AL1171" i="33"/>
  <c r="AJ1172" i="33"/>
  <c r="AJ1173" i="33" s="1"/>
  <c r="AS1170" i="33"/>
  <c r="AT1170" i="33"/>
  <c r="AT1220" i="33"/>
  <c r="L302" i="33"/>
  <c r="B303" i="33" s="1"/>
  <c r="L303" i="33" s="1"/>
  <c r="B304" i="33" s="1"/>
  <c r="L304" i="33" s="1"/>
  <c r="B305" i="33" s="1"/>
  <c r="L305" i="33" s="1"/>
  <c r="B306" i="33" s="1"/>
  <c r="L306" i="33" s="1"/>
  <c r="B307" i="33" s="1"/>
  <c r="L307" i="33" s="1"/>
  <c r="J302" i="33"/>
  <c r="AF571" i="33"/>
  <c r="AJ571" i="33" s="1"/>
  <c r="AK533" i="33" s="1"/>
  <c r="AD572" i="33"/>
  <c r="AK1081" i="33"/>
  <c r="AJ1078" i="33"/>
  <c r="AJ1079" i="33" s="1"/>
  <c r="AL1077" i="33"/>
  <c r="AH902" i="33"/>
  <c r="AH903" i="33"/>
  <c r="AI119" i="33"/>
  <c r="AJ119" i="33" s="1"/>
  <c r="W59" i="33"/>
  <c r="AC330" i="33"/>
  <c r="AE329" i="33"/>
  <c r="AF329" i="33" s="1"/>
  <c r="AQ1172" i="33"/>
  <c r="AQ1173" i="33" s="1"/>
  <c r="AS1171" i="33"/>
  <c r="AC288" i="33"/>
  <c r="AC289" i="33" s="1"/>
  <c r="AJ1221" i="33"/>
  <c r="AL1220" i="33"/>
  <c r="AM1220" i="33" s="1"/>
  <c r="AE168" i="33"/>
  <c r="AF168" i="33" s="1"/>
  <c r="AH22" i="33"/>
  <c r="AE130" i="33"/>
  <c r="AL1170" i="33"/>
  <c r="AM1170" i="33"/>
  <c r="AD901" i="33"/>
  <c r="AG1280" i="33"/>
  <c r="AG1279" i="33"/>
  <c r="AR1177" i="33"/>
  <c r="AD1454" i="33"/>
  <c r="P55" i="33"/>
  <c r="AI112" i="33" s="1"/>
  <c r="AJ112" i="33" s="1"/>
  <c r="P25" i="33"/>
  <c r="P27" i="33"/>
  <c r="AE1177" i="33"/>
  <c r="AC1178" i="33"/>
  <c r="AC1179" i="33" s="1"/>
  <c r="AE1039" i="33"/>
  <c r="AF1039" i="33"/>
  <c r="AE51" i="33" s="1"/>
  <c r="AE897" i="33"/>
  <c r="AF896" i="33"/>
  <c r="AF1009" i="33"/>
  <c r="AE50" i="33" s="1"/>
  <c r="AE1009" i="33"/>
  <c r="AJ894" i="33"/>
  <c r="AJ892" i="33"/>
  <c r="AG1338" i="33"/>
  <c r="AG1337" i="33"/>
  <c r="AU1228" i="33"/>
  <c r="AU1229" i="33"/>
  <c r="AU1230" i="33" s="1"/>
  <c r="AC170" i="33"/>
  <c r="AC171" i="33" s="1"/>
  <c r="AE169" i="33"/>
  <c r="AQ1221" i="33"/>
  <c r="AS1220" i="33"/>
  <c r="U1127" i="33"/>
  <c r="U1128" i="33" s="1"/>
  <c r="AG1177" i="33"/>
  <c r="AG1176" i="33"/>
  <c r="AE1176" i="33"/>
  <c r="AF1176" i="33"/>
  <c r="AC46" i="33" s="1"/>
  <c r="AD861" i="33"/>
  <c r="AF860" i="33"/>
  <c r="AE124" i="33"/>
  <c r="AF124" i="33" s="1"/>
  <c r="AB22" i="33"/>
  <c r="AC1451" i="33"/>
  <c r="AC1452" i="33" s="1"/>
  <c r="AE1450" i="33"/>
  <c r="Q22" i="33"/>
  <c r="AE113" i="33"/>
  <c r="AF113" i="33" s="1"/>
  <c r="AG113" i="33" s="1"/>
  <c r="AK395" i="33"/>
  <c r="AJ395" i="33"/>
  <c r="AF661" i="33"/>
  <c r="AD663" i="33"/>
  <c r="AC1041" i="33"/>
  <c r="AC1042" i="33" s="1"/>
  <c r="AE1040" i="33"/>
  <c r="AH174" i="33"/>
  <c r="AE898" i="33"/>
  <c r="AE899" i="33" s="1"/>
  <c r="AC899" i="33"/>
  <c r="AC900" i="33" s="1"/>
  <c r="AC1011" i="33"/>
  <c r="AC1012" i="33" s="1"/>
  <c r="AE1010" i="33"/>
  <c r="AG903" i="33"/>
  <c r="AG902" i="33"/>
  <c r="AD1284" i="33"/>
  <c r="AU1177" i="33"/>
  <c r="AU1176" i="33"/>
  <c r="AI123" i="33"/>
  <c r="AJ123" i="33" s="1"/>
  <c r="AA59" i="33"/>
  <c r="AG1228" i="33"/>
  <c r="AG1229" i="33"/>
  <c r="AG1230" i="33" s="1"/>
  <c r="X131" i="33"/>
  <c r="AH57" i="33" s="1"/>
  <c r="W132" i="33"/>
  <c r="AN1076" i="33"/>
  <c r="AN1077" i="33"/>
  <c r="AF1339" i="33"/>
  <c r="AD1340" i="33"/>
  <c r="AF286" i="33"/>
  <c r="AC12" i="33" s="1"/>
  <c r="AC15" i="33" s="1"/>
  <c r="AD287" i="33"/>
  <c r="AA27" i="33"/>
  <c r="AA25" i="33"/>
  <c r="AG1123" i="33"/>
  <c r="AG1124" i="33"/>
  <c r="AD398" i="33"/>
  <c r="AC399" i="33" s="1"/>
  <c r="AC400" i="33" s="1"/>
  <c r="AF397" i="33"/>
  <c r="AD1228" i="33"/>
  <c r="AC1229" i="33" s="1"/>
  <c r="AC1230" i="33" s="1"/>
  <c r="AF1226" i="33"/>
  <c r="AB48" i="33" s="1"/>
  <c r="AN1174" i="33"/>
  <c r="AN1175" i="33"/>
  <c r="AE1268" i="33"/>
  <c r="AC1269" i="33"/>
  <c r="AC129" i="33"/>
  <c r="Y1122" i="33"/>
  <c r="Y1121" i="33"/>
  <c r="AC1129" i="33"/>
  <c r="AC1130" i="33" s="1"/>
  <c r="AH123" i="33"/>
  <c r="AG123" i="33"/>
  <c r="AD504" i="33"/>
  <c r="AF503" i="33"/>
  <c r="R36" i="33" s="1"/>
  <c r="R53" i="33" s="1"/>
  <c r="R55" i="33" s="1"/>
  <c r="AG1081" i="33"/>
  <c r="AG1080" i="33"/>
  <c r="AI122" i="33"/>
  <c r="AJ122" i="33" s="1"/>
  <c r="Z59" i="33"/>
  <c r="AC237" i="33"/>
  <c r="AC238" i="33" s="1"/>
  <c r="AF1410" i="33"/>
  <c r="AF1426" i="33" s="1"/>
  <c r="AD1426" i="33"/>
  <c r="C65" i="48" l="1"/>
  <c r="D65" i="48"/>
  <c r="G65" i="48"/>
  <c r="L112" i="3"/>
  <c r="K98" i="2"/>
  <c r="C65" i="54"/>
  <c r="D65" i="54"/>
  <c r="H65" i="54" s="1"/>
  <c r="I65" i="54" s="1"/>
  <c r="B66" i="54" s="1"/>
  <c r="C66" i="54" s="1"/>
  <c r="G65" i="54"/>
  <c r="D17" i="64"/>
  <c r="E17" i="64" s="1"/>
  <c r="D18" i="64"/>
  <c r="B19" i="64"/>
  <c r="B20" i="64" s="1"/>
  <c r="D17" i="63"/>
  <c r="E17" i="63" s="1"/>
  <c r="D17" i="60"/>
  <c r="E17" i="60"/>
  <c r="D17" i="59"/>
  <c r="E17" i="59" s="1"/>
  <c r="G17" i="59" s="1"/>
  <c r="D65" i="47"/>
  <c r="C65" i="47"/>
  <c r="G65" i="47"/>
  <c r="D18" i="62"/>
  <c r="D19" i="62" s="1"/>
  <c r="E19" i="62" s="1"/>
  <c r="B19" i="62"/>
  <c r="B20" i="62" s="1"/>
  <c r="B19" i="57"/>
  <c r="B20" i="57" s="1"/>
  <c r="D18" i="57"/>
  <c r="D19" i="57" s="1"/>
  <c r="E19" i="57" s="1"/>
  <c r="B19" i="63"/>
  <c r="B20" i="63" s="1"/>
  <c r="D18" i="63"/>
  <c r="D19" i="63" s="1"/>
  <c r="E19" i="63" s="1"/>
  <c r="D18" i="61"/>
  <c r="D19" i="61" s="1"/>
  <c r="E19" i="61" s="1"/>
  <c r="B19" i="61"/>
  <c r="B20" i="61" s="1"/>
  <c r="D18" i="60"/>
  <c r="B19" i="60"/>
  <c r="B20" i="60" s="1"/>
  <c r="B19" i="59"/>
  <c r="B20" i="59" s="1"/>
  <c r="D18" i="59"/>
  <c r="D19" i="59" s="1"/>
  <c r="E19" i="59" s="1"/>
  <c r="E21" i="61"/>
  <c r="D23" i="58"/>
  <c r="E23" i="58" s="1"/>
  <c r="B25" i="58"/>
  <c r="B26" i="58" s="1"/>
  <c r="D24" i="58"/>
  <c r="D21" i="56"/>
  <c r="E21" i="56" s="1"/>
  <c r="B23" i="56"/>
  <c r="B24" i="56" s="1"/>
  <c r="D22" i="56"/>
  <c r="D66" i="50"/>
  <c r="H66" i="50" s="1"/>
  <c r="I66" i="50" s="1"/>
  <c r="B67" i="50" s="1"/>
  <c r="G67" i="50" s="1"/>
  <c r="C66" i="50"/>
  <c r="C66" i="51"/>
  <c r="D66" i="51"/>
  <c r="H66" i="51" s="1"/>
  <c r="I66" i="51" s="1"/>
  <c r="B67" i="51" s="1"/>
  <c r="G67" i="51" s="1"/>
  <c r="H65" i="48"/>
  <c r="I65" i="48" s="1"/>
  <c r="B66" i="48" s="1"/>
  <c r="G66" i="48" s="1"/>
  <c r="C108" i="55"/>
  <c r="I108" i="55"/>
  <c r="B109" i="55" s="1"/>
  <c r="H108" i="55"/>
  <c r="G108" i="55"/>
  <c r="D108" i="55"/>
  <c r="C36" i="55"/>
  <c r="G66" i="55"/>
  <c r="D66" i="55"/>
  <c r="C66" i="55"/>
  <c r="D108" i="54"/>
  <c r="C108" i="54"/>
  <c r="H108" i="54"/>
  <c r="G108" i="54"/>
  <c r="I108" i="54"/>
  <c r="B109" i="54" s="1"/>
  <c r="C37" i="54"/>
  <c r="G66" i="53"/>
  <c r="D66" i="53"/>
  <c r="C66" i="53"/>
  <c r="C36" i="53"/>
  <c r="C108" i="53"/>
  <c r="I108" i="53"/>
  <c r="B109" i="53" s="1"/>
  <c r="G108" i="53"/>
  <c r="D108" i="53"/>
  <c r="H108" i="53"/>
  <c r="H65" i="52"/>
  <c r="C36" i="52"/>
  <c r="G108" i="52"/>
  <c r="D108" i="52"/>
  <c r="C108" i="52"/>
  <c r="H108" i="52"/>
  <c r="I108" i="52"/>
  <c r="B109" i="52" s="1"/>
  <c r="C36" i="51"/>
  <c r="D108" i="51"/>
  <c r="C108" i="51"/>
  <c r="G108" i="51"/>
  <c r="H108" i="51"/>
  <c r="I108" i="51"/>
  <c r="B109" i="51" s="1"/>
  <c r="C107" i="50"/>
  <c r="I107" i="50"/>
  <c r="B108" i="50" s="1"/>
  <c r="H107" i="50"/>
  <c r="G107" i="50"/>
  <c r="D107" i="50"/>
  <c r="C36" i="50"/>
  <c r="C39" i="49"/>
  <c r="G107" i="49"/>
  <c r="D107" i="49"/>
  <c r="C107" i="49"/>
  <c r="I107" i="49"/>
  <c r="B108" i="49" s="1"/>
  <c r="H107" i="49"/>
  <c r="G66" i="49"/>
  <c r="D66" i="49"/>
  <c r="C66" i="49"/>
  <c r="I107" i="48"/>
  <c r="B108" i="48" s="1"/>
  <c r="H107" i="48"/>
  <c r="G107" i="48"/>
  <c r="D107" i="48"/>
  <c r="C107" i="48"/>
  <c r="C36" i="48"/>
  <c r="C36" i="47"/>
  <c r="I107" i="47"/>
  <c r="B108" i="47" s="1"/>
  <c r="G107" i="47"/>
  <c r="H107" i="47"/>
  <c r="D107" i="47"/>
  <c r="C107" i="47"/>
  <c r="G65" i="35"/>
  <c r="H65" i="35" s="1"/>
  <c r="I65" i="35" s="1"/>
  <c r="B66" i="35" s="1"/>
  <c r="G66" i="35" s="1"/>
  <c r="C65" i="35"/>
  <c r="D19" i="36"/>
  <c r="E19" i="36" s="1"/>
  <c r="D22" i="36"/>
  <c r="B23" i="36"/>
  <c r="B24" i="36" s="1"/>
  <c r="D21" i="36"/>
  <c r="E21" i="36" s="1"/>
  <c r="C37" i="35"/>
  <c r="P59" i="33"/>
  <c r="AI124" i="33"/>
  <c r="AJ124" i="33" s="1"/>
  <c r="AB59" i="33"/>
  <c r="AN1176" i="33"/>
  <c r="AN1177" i="33"/>
  <c r="AS1172" i="33"/>
  <c r="AT1172" i="33" s="1"/>
  <c r="AE1011" i="33"/>
  <c r="AF1011" i="33" s="1"/>
  <c r="AF50" i="33" s="1"/>
  <c r="AI896" i="33"/>
  <c r="AG1282" i="33"/>
  <c r="AG1281" i="33"/>
  <c r="AQ1174" i="33"/>
  <c r="AQ1175" i="33" s="1"/>
  <c r="AS1173" i="33"/>
  <c r="AJ1080" i="33"/>
  <c r="AJ1081" i="33" s="1"/>
  <c r="AL1079" i="33"/>
  <c r="AD1183" i="33"/>
  <c r="AF1129" i="33"/>
  <c r="AF43" i="33" s="1"/>
  <c r="AD1130" i="33"/>
  <c r="AN1079" i="33"/>
  <c r="AN1078" i="33"/>
  <c r="AC1013" i="33"/>
  <c r="AC1014" i="33" s="1"/>
  <c r="AE1012" i="33"/>
  <c r="AB27" i="33"/>
  <c r="AB25" i="33"/>
  <c r="AF898" i="33"/>
  <c r="AI898" i="33" s="1"/>
  <c r="AK1083" i="33"/>
  <c r="AF1341" i="33"/>
  <c r="AF34" i="33" s="1"/>
  <c r="AD1342" i="33"/>
  <c r="AC172" i="33"/>
  <c r="AC173" i="33" s="1"/>
  <c r="AE171" i="33"/>
  <c r="AD903" i="33"/>
  <c r="AE330" i="33"/>
  <c r="AC331" i="33"/>
  <c r="AE131" i="33"/>
  <c r="AI22" i="33"/>
  <c r="AC1080" i="33"/>
  <c r="AC1081" i="33" s="1"/>
  <c r="AG904" i="33"/>
  <c r="AG905" i="33"/>
  <c r="AE34" i="33"/>
  <c r="AD1230" i="33"/>
  <c r="AF1228" i="33"/>
  <c r="AC48" i="33" s="1"/>
  <c r="AC901" i="33"/>
  <c r="AC902" i="33" s="1"/>
  <c r="AE900" i="33"/>
  <c r="AE901" i="33" s="1"/>
  <c r="AG1178" i="33"/>
  <c r="AG1179" i="33"/>
  <c r="AH114" i="33"/>
  <c r="AI114" i="33"/>
  <c r="AJ114" i="33" s="1"/>
  <c r="R59" i="33"/>
  <c r="X132" i="33"/>
  <c r="AI57" i="33" s="1"/>
  <c r="W133" i="33"/>
  <c r="AU1178" i="33"/>
  <c r="AU1179" i="33"/>
  <c r="AG124" i="33"/>
  <c r="AH124" i="33"/>
  <c r="AG1340" i="33"/>
  <c r="AG1339" i="33"/>
  <c r="AD1456" i="33"/>
  <c r="AH571" i="33"/>
  <c r="AH569" i="33"/>
  <c r="AH567" i="33"/>
  <c r="AH565" i="33"/>
  <c r="AH563" i="33"/>
  <c r="AH561" i="33"/>
  <c r="AH559" i="33"/>
  <c r="AH557" i="33"/>
  <c r="AH541" i="33"/>
  <c r="AH572" i="33" s="1"/>
  <c r="AH574" i="33" s="1"/>
  <c r="AH551" i="33"/>
  <c r="AH547" i="33"/>
  <c r="AH543" i="33"/>
  <c r="AH553" i="33"/>
  <c r="AH549" i="33"/>
  <c r="AH545" i="33"/>
  <c r="AH555" i="33"/>
  <c r="AE574" i="33"/>
  <c r="AF574" i="33" s="1"/>
  <c r="AJ1174" i="33"/>
  <c r="AJ1175" i="33" s="1"/>
  <c r="AL1173" i="33"/>
  <c r="AF237" i="33"/>
  <c r="AJ13" i="33" s="1"/>
  <c r="AJ15" i="33" s="1"/>
  <c r="AD238" i="33"/>
  <c r="AI120" i="33"/>
  <c r="AJ120" i="33" s="1"/>
  <c r="X59" i="33"/>
  <c r="AG1125" i="33"/>
  <c r="AG1126" i="33"/>
  <c r="AC1043" i="33"/>
  <c r="AC1044" i="33" s="1"/>
  <c r="AE1042" i="33"/>
  <c r="AF663" i="33"/>
  <c r="AD665" i="33"/>
  <c r="Y1124" i="33"/>
  <c r="Y1123" i="33"/>
  <c r="AJ329" i="33"/>
  <c r="AH329" i="33"/>
  <c r="AD506" i="33"/>
  <c r="AF505" i="33"/>
  <c r="S36" i="33" s="1"/>
  <c r="S53" i="33" s="1"/>
  <c r="S55" i="33" s="1"/>
  <c r="AC130" i="33"/>
  <c r="AD289" i="33"/>
  <c r="AF288" i="33"/>
  <c r="AD12" i="33" s="1"/>
  <c r="AD15" i="33" s="1"/>
  <c r="AE1179" i="33"/>
  <c r="AC1180" i="33"/>
  <c r="AC1181" i="33" s="1"/>
  <c r="AJ1222" i="33"/>
  <c r="AL1221" i="33"/>
  <c r="AL1172" i="33"/>
  <c r="AM1172" i="33"/>
  <c r="AD1079" i="33"/>
  <c r="AF1078" i="33"/>
  <c r="AC239" i="33"/>
  <c r="AC240" i="33" s="1"/>
  <c r="AF399" i="33"/>
  <c r="AD400" i="33"/>
  <c r="AC1453" i="33"/>
  <c r="AC1454" i="33" s="1"/>
  <c r="AE1452" i="33"/>
  <c r="AF1452" i="33" s="1"/>
  <c r="AH27" i="33"/>
  <c r="AH25" i="33"/>
  <c r="AL1078" i="33"/>
  <c r="AM1078" i="33"/>
  <c r="AC31" i="33" s="1"/>
  <c r="AC53" i="33" s="1"/>
  <c r="AC55" i="33" s="1"/>
  <c r="AC1131" i="33"/>
  <c r="AC1132" i="33" s="1"/>
  <c r="AG1082" i="33"/>
  <c r="AG1083" i="33"/>
  <c r="AC664" i="33"/>
  <c r="AC665" i="33" s="1"/>
  <c r="AC666" i="33" s="1"/>
  <c r="AC667" i="33" s="1"/>
  <c r="AC1270" i="33"/>
  <c r="AE1269" i="33"/>
  <c r="AK397" i="33"/>
  <c r="AJ397" i="33"/>
  <c r="AE125" i="33"/>
  <c r="AF125" i="33" s="1"/>
  <c r="AC22" i="33"/>
  <c r="AC1341" i="33"/>
  <c r="AC1342" i="33" s="1"/>
  <c r="AC1343" i="33" s="1"/>
  <c r="AC1344" i="33" s="1"/>
  <c r="AD1286" i="33"/>
  <c r="AH176" i="33"/>
  <c r="Q55" i="33"/>
  <c r="Q25" i="33"/>
  <c r="Q27" i="33"/>
  <c r="AS1221" i="33"/>
  <c r="AQ1222" i="33"/>
  <c r="AE1178" i="33"/>
  <c r="AF1178" i="33"/>
  <c r="AD46" i="33" s="1"/>
  <c r="AH904" i="33"/>
  <c r="AH905" i="33"/>
  <c r="V1128" i="33"/>
  <c r="X1127" i="33"/>
  <c r="AE44" i="33" s="1"/>
  <c r="AC505" i="33"/>
  <c r="AC506" i="33" s="1"/>
  <c r="AC507" i="33" s="1"/>
  <c r="AC508" i="33" s="1"/>
  <c r="AF1269" i="33"/>
  <c r="AD47" i="33" s="1"/>
  <c r="AE1041" i="33"/>
  <c r="AF1041" i="33"/>
  <c r="AF51" i="33" s="1"/>
  <c r="AF1450" i="33"/>
  <c r="AD863" i="33"/>
  <c r="AF862" i="33"/>
  <c r="AE170" i="33"/>
  <c r="AF170" i="33" s="1"/>
  <c r="AR1179" i="33"/>
  <c r="AC290" i="33"/>
  <c r="AC291" i="33" s="1"/>
  <c r="AK1179" i="33"/>
  <c r="AC862" i="33"/>
  <c r="AC863" i="33" s="1"/>
  <c r="M112" i="3" l="1"/>
  <c r="L98" i="2"/>
  <c r="H65" i="47"/>
  <c r="I65" i="47" s="1"/>
  <c r="B66" i="47" s="1"/>
  <c r="C66" i="47" s="1"/>
  <c r="D66" i="54"/>
  <c r="G66" i="54"/>
  <c r="B21" i="64"/>
  <c r="B22" i="64" s="1"/>
  <c r="D20" i="64"/>
  <c r="D19" i="64"/>
  <c r="E19" i="64" s="1"/>
  <c r="D19" i="60"/>
  <c r="E19" i="60"/>
  <c r="B21" i="61"/>
  <c r="B22" i="61" s="1"/>
  <c r="D20" i="61"/>
  <c r="D21" i="61" s="1"/>
  <c r="D20" i="63"/>
  <c r="D21" i="63" s="1"/>
  <c r="E21" i="63" s="1"/>
  <c r="B21" i="63"/>
  <c r="B22" i="63" s="1"/>
  <c r="D20" i="59"/>
  <c r="D21" i="59" s="1"/>
  <c r="E21" i="59" s="1"/>
  <c r="B21" i="59"/>
  <c r="B22" i="59" s="1"/>
  <c r="B21" i="57"/>
  <c r="B22" i="57" s="1"/>
  <c r="D20" i="57"/>
  <c r="D21" i="57" s="1"/>
  <c r="E21" i="57" s="1"/>
  <c r="B21" i="60"/>
  <c r="B22" i="60" s="1"/>
  <c r="D20" i="60"/>
  <c r="B21" i="62"/>
  <c r="B22" i="62" s="1"/>
  <c r="D20" i="62"/>
  <c r="D21" i="62" s="1"/>
  <c r="E21" i="62" s="1"/>
  <c r="D25" i="58"/>
  <c r="E25" i="58"/>
  <c r="D26" i="58"/>
  <c r="B27" i="58"/>
  <c r="B28" i="58" s="1"/>
  <c r="D23" i="56"/>
  <c r="E23" i="56" s="1"/>
  <c r="G23" i="56" s="1"/>
  <c r="B25" i="56"/>
  <c r="B26" i="56" s="1"/>
  <c r="D24" i="56"/>
  <c r="H66" i="55"/>
  <c r="I66" i="55" s="1"/>
  <c r="B67" i="55" s="1"/>
  <c r="D67" i="55" s="1"/>
  <c r="C66" i="48"/>
  <c r="D66" i="48"/>
  <c r="H66" i="48" s="1"/>
  <c r="I66" i="48" s="1"/>
  <c r="B67" i="48" s="1"/>
  <c r="G67" i="48" s="1"/>
  <c r="H66" i="54"/>
  <c r="I66" i="54" s="1"/>
  <c r="B67" i="54" s="1"/>
  <c r="C67" i="54" s="1"/>
  <c r="C37" i="55"/>
  <c r="H66" i="53"/>
  <c r="G109" i="55"/>
  <c r="D109" i="55"/>
  <c r="C109" i="55"/>
  <c r="I109" i="55"/>
  <c r="B110" i="55" s="1"/>
  <c r="H109" i="55"/>
  <c r="H109" i="54"/>
  <c r="G109" i="54"/>
  <c r="D109" i="54"/>
  <c r="C109" i="54"/>
  <c r="I109" i="54"/>
  <c r="B110" i="54" s="1"/>
  <c r="D67" i="51"/>
  <c r="H67" i="51" s="1"/>
  <c r="I67" i="51" s="1"/>
  <c r="B68" i="51" s="1"/>
  <c r="C67" i="51"/>
  <c r="C38" i="54"/>
  <c r="I66" i="53"/>
  <c r="B67" i="53" s="1"/>
  <c r="G109" i="53"/>
  <c r="D109" i="53"/>
  <c r="C109" i="53"/>
  <c r="I109" i="53"/>
  <c r="B110" i="53" s="1"/>
  <c r="H109" i="53"/>
  <c r="C37" i="53"/>
  <c r="I109" i="52"/>
  <c r="B110" i="52" s="1"/>
  <c r="D109" i="52"/>
  <c r="H109" i="52"/>
  <c r="G109" i="52"/>
  <c r="C109" i="52"/>
  <c r="I65" i="52"/>
  <c r="B66" i="52" s="1"/>
  <c r="H66" i="49"/>
  <c r="I66" i="49" s="1"/>
  <c r="B67" i="49" s="1"/>
  <c r="C67" i="49" s="1"/>
  <c r="C37" i="52"/>
  <c r="C37" i="51"/>
  <c r="C67" i="50"/>
  <c r="D67" i="50"/>
  <c r="H67" i="50" s="1"/>
  <c r="I67" i="50" s="1"/>
  <c r="B68" i="50" s="1"/>
  <c r="H109" i="51"/>
  <c r="I109" i="51"/>
  <c r="B110" i="51" s="1"/>
  <c r="G109" i="51"/>
  <c r="D109" i="51"/>
  <c r="C109" i="51"/>
  <c r="G108" i="50"/>
  <c r="D108" i="50"/>
  <c r="C108" i="50"/>
  <c r="I108" i="50"/>
  <c r="B109" i="50" s="1"/>
  <c r="H108" i="50"/>
  <c r="C37" i="50"/>
  <c r="I108" i="49"/>
  <c r="B109" i="49" s="1"/>
  <c r="H108" i="49"/>
  <c r="G108" i="49"/>
  <c r="D108" i="49"/>
  <c r="C108" i="49"/>
  <c r="C40" i="49"/>
  <c r="I108" i="48"/>
  <c r="B109" i="48" s="1"/>
  <c r="H108" i="48"/>
  <c r="G108" i="48"/>
  <c r="D108" i="48"/>
  <c r="C108" i="48"/>
  <c r="C37" i="48"/>
  <c r="C108" i="47"/>
  <c r="I108" i="47"/>
  <c r="B109" i="47" s="1"/>
  <c r="H108" i="47"/>
  <c r="G108" i="47"/>
  <c r="D108" i="47"/>
  <c r="C37" i="47"/>
  <c r="C66" i="35"/>
  <c r="D66" i="35"/>
  <c r="H66" i="35" s="1"/>
  <c r="I66" i="35" s="1"/>
  <c r="B67" i="35" s="1"/>
  <c r="C67" i="35" s="1"/>
  <c r="D24" i="36"/>
  <c r="B25" i="36"/>
  <c r="B26" i="36" s="1"/>
  <c r="D23" i="36"/>
  <c r="E23" i="36" s="1"/>
  <c r="C38" i="35"/>
  <c r="AI125" i="33"/>
  <c r="AJ125" i="33" s="1"/>
  <c r="AC59" i="33"/>
  <c r="AK1181" i="33"/>
  <c r="AH907" i="33"/>
  <c r="AH906" i="33"/>
  <c r="AH113" i="33"/>
  <c r="AI113" i="33"/>
  <c r="AJ113" i="33" s="1"/>
  <c r="Q59" i="33"/>
  <c r="AF401" i="33"/>
  <c r="AD402" i="33"/>
  <c r="AL1222" i="33"/>
  <c r="AJ1223" i="33"/>
  <c r="AH115" i="33"/>
  <c r="AI115" i="33"/>
  <c r="AJ115" i="33" s="1"/>
  <c r="S59" i="33"/>
  <c r="AE1043" i="33"/>
  <c r="AF1043" i="33" s="1"/>
  <c r="AG51" i="33" s="1"/>
  <c r="AL1174" i="33"/>
  <c r="AM1174" i="33"/>
  <c r="AK1085" i="33"/>
  <c r="AN1081" i="33"/>
  <c r="AN1080" i="33"/>
  <c r="AQ1176" i="33"/>
  <c r="AQ1177" i="33" s="1"/>
  <c r="AS1175" i="33"/>
  <c r="AH125" i="33"/>
  <c r="AG125" i="33"/>
  <c r="AC1133" i="33"/>
  <c r="AK399" i="33"/>
  <c r="AJ399" i="33"/>
  <c r="AC1182" i="33"/>
  <c r="AC1183" i="33" s="1"/>
  <c r="AE1181" i="33"/>
  <c r="AD508" i="33"/>
  <c r="AF507" i="33"/>
  <c r="AC1045" i="33"/>
  <c r="AC1046" i="33" s="1"/>
  <c r="AE1044" i="33"/>
  <c r="AL1175" i="33"/>
  <c r="AJ1176" i="33"/>
  <c r="AJ1177" i="33" s="1"/>
  <c r="AG1180" i="33"/>
  <c r="AG1181" i="33"/>
  <c r="AG907" i="33"/>
  <c r="AG906" i="33"/>
  <c r="AD905" i="33"/>
  <c r="AJ900" i="33"/>
  <c r="AF1131" i="33"/>
  <c r="AG43" i="33" s="1"/>
  <c r="AD1132" i="33"/>
  <c r="AN1179" i="33"/>
  <c r="AN1178" i="33"/>
  <c r="AH178" i="33"/>
  <c r="AE1180" i="33"/>
  <c r="AF1180" i="33" s="1"/>
  <c r="AE46" i="33" s="1"/>
  <c r="AF900" i="33"/>
  <c r="AI900" i="33" s="1"/>
  <c r="AS1222" i="33"/>
  <c r="AT1222" i="33" s="1"/>
  <c r="AQ1223" i="33"/>
  <c r="AD1288" i="33"/>
  <c r="AD1081" i="33"/>
  <c r="AF1080" i="33"/>
  <c r="AE126" i="33"/>
  <c r="AF126" i="33" s="1"/>
  <c r="AD22" i="33"/>
  <c r="AD1458" i="33"/>
  <c r="X133" i="33"/>
  <c r="AJ57" i="33" s="1"/>
  <c r="W134" i="33"/>
  <c r="AE902" i="33"/>
  <c r="AC903" i="33"/>
  <c r="AC904" i="33" s="1"/>
  <c r="AI27" i="33"/>
  <c r="AI25" i="33"/>
  <c r="AC174" i="33"/>
  <c r="AC175" i="33" s="1"/>
  <c r="AE173" i="33"/>
  <c r="AD1185" i="33"/>
  <c r="AJ898" i="33"/>
  <c r="AJ896" i="33"/>
  <c r="AC401" i="33"/>
  <c r="AC402" i="33" s="1"/>
  <c r="AC403" i="33" s="1"/>
  <c r="AC404" i="33" s="1"/>
  <c r="AR1181" i="33"/>
  <c r="AE172" i="33"/>
  <c r="AF172" i="33" s="1"/>
  <c r="AC509" i="33"/>
  <c r="AC510" i="33" s="1"/>
  <c r="AC1271" i="33"/>
  <c r="AE1270" i="33"/>
  <c r="AD291" i="33"/>
  <c r="AF290" i="33"/>
  <c r="AE12" i="33" s="1"/>
  <c r="AE15" i="33" s="1"/>
  <c r="Y1126" i="33"/>
  <c r="Y1125" i="33"/>
  <c r="AF1343" i="33"/>
  <c r="AD1344" i="33"/>
  <c r="AE1013" i="33"/>
  <c r="AF1013" i="33" s="1"/>
  <c r="AG50" i="33" s="1"/>
  <c r="AL1080" i="33"/>
  <c r="AM1080" i="33"/>
  <c r="AD31" i="33" s="1"/>
  <c r="AF864" i="33"/>
  <c r="AD865" i="33"/>
  <c r="AG1127" i="33"/>
  <c r="AG1128" i="33"/>
  <c r="AU1181" i="33"/>
  <c r="AU1180" i="33"/>
  <c r="AG1284" i="33"/>
  <c r="AG1283" i="33"/>
  <c r="AC864" i="33"/>
  <c r="AC865" i="33" s="1"/>
  <c r="AC866" i="33" s="1"/>
  <c r="AC867" i="33" s="1"/>
  <c r="AC1345" i="33"/>
  <c r="AC1346" i="33" s="1"/>
  <c r="AC668" i="33"/>
  <c r="AC669" i="33" s="1"/>
  <c r="AC670" i="33" s="1"/>
  <c r="AC671" i="33" s="1"/>
  <c r="AC672" i="33" s="1"/>
  <c r="AC673" i="33" s="1"/>
  <c r="AC674" i="33" s="1"/>
  <c r="AC675" i="33" s="1"/>
  <c r="AC676" i="33" s="1"/>
  <c r="AC677" i="33" s="1"/>
  <c r="AC678" i="33" s="1"/>
  <c r="AC679" i="33" s="1"/>
  <c r="AC680" i="33" s="1"/>
  <c r="AC681" i="33" s="1"/>
  <c r="AC682" i="33" s="1"/>
  <c r="AC683" i="33" s="1"/>
  <c r="AC131" i="33"/>
  <c r="AF130" i="33"/>
  <c r="AG130" i="33" s="1"/>
  <c r="AD667" i="33"/>
  <c r="AF665" i="33"/>
  <c r="AD240" i="33"/>
  <c r="AF239" i="33"/>
  <c r="AK13" i="33" s="1"/>
  <c r="AK15" i="33" s="1"/>
  <c r="AG1342" i="33"/>
  <c r="AG1341" i="33"/>
  <c r="AF1230" i="33"/>
  <c r="AD1232" i="33"/>
  <c r="AC1015" i="33"/>
  <c r="AC1016" i="33" s="1"/>
  <c r="AE1014" i="33"/>
  <c r="AL1081" i="33"/>
  <c r="AJ1082" i="33"/>
  <c r="AJ1083" i="33" s="1"/>
  <c r="V1130" i="33"/>
  <c r="X1129" i="33"/>
  <c r="AF44" i="33" s="1"/>
  <c r="AC25" i="33"/>
  <c r="AC27" i="33"/>
  <c r="AG1085" i="33"/>
  <c r="AG1084" i="33"/>
  <c r="AE1454" i="33"/>
  <c r="AF1454" i="33" s="1"/>
  <c r="AC1455" i="33"/>
  <c r="AC1456" i="33" s="1"/>
  <c r="AM1222" i="33"/>
  <c r="AJ22" i="33"/>
  <c r="U1129" i="33"/>
  <c r="U1130" i="33" s="1"/>
  <c r="U1131" i="33" s="1"/>
  <c r="U1132" i="33" s="1"/>
  <c r="AE331" i="33"/>
  <c r="AF331" i="33" s="1"/>
  <c r="AC332" i="33"/>
  <c r="AS1174" i="33"/>
  <c r="AT1174" i="33" s="1"/>
  <c r="M98" i="2" l="1"/>
  <c r="G66" i="47"/>
  <c r="D66" i="47"/>
  <c r="D21" i="64"/>
  <c r="E21" i="64"/>
  <c r="B23" i="64"/>
  <c r="B24" i="64" s="1"/>
  <c r="D22" i="64"/>
  <c r="D21" i="60"/>
  <c r="E21" i="60" s="1"/>
  <c r="G21" i="57"/>
  <c r="D22" i="57"/>
  <c r="D23" i="57" s="1"/>
  <c r="E23" i="57" s="1"/>
  <c r="B23" i="57"/>
  <c r="B24" i="57" s="1"/>
  <c r="D22" i="59"/>
  <c r="D23" i="59" s="1"/>
  <c r="E23" i="59" s="1"/>
  <c r="B23" i="59"/>
  <c r="B24" i="59" s="1"/>
  <c r="B23" i="63"/>
  <c r="B24" i="63" s="1"/>
  <c r="D22" i="63"/>
  <c r="D23" i="63" s="1"/>
  <c r="E23" i="63" s="1"/>
  <c r="D22" i="62"/>
  <c r="D23" i="62" s="1"/>
  <c r="E23" i="62" s="1"/>
  <c r="B23" i="62"/>
  <c r="B24" i="62" s="1"/>
  <c r="B23" i="60"/>
  <c r="B24" i="60" s="1"/>
  <c r="D22" i="60"/>
  <c r="B23" i="61"/>
  <c r="B24" i="61" s="1"/>
  <c r="D22" i="61"/>
  <c r="D23" i="61" s="1"/>
  <c r="E23" i="61" s="1"/>
  <c r="E25" i="61"/>
  <c r="D28" i="58"/>
  <c r="B29" i="58"/>
  <c r="B30" i="58" s="1"/>
  <c r="D27" i="58"/>
  <c r="E27" i="58" s="1"/>
  <c r="C67" i="55"/>
  <c r="G67" i="55"/>
  <c r="D25" i="56"/>
  <c r="E25" i="56" s="1"/>
  <c r="D26" i="56"/>
  <c r="B27" i="56"/>
  <c r="B28" i="56" s="1"/>
  <c r="H67" i="55"/>
  <c r="I67" i="55" s="1"/>
  <c r="B68" i="55" s="1"/>
  <c r="D67" i="54"/>
  <c r="G67" i="54"/>
  <c r="D67" i="48"/>
  <c r="H67" i="48" s="1"/>
  <c r="I67" i="48" s="1"/>
  <c r="B68" i="48" s="1"/>
  <c r="C67" i="48"/>
  <c r="C38" i="55"/>
  <c r="I110" i="55"/>
  <c r="B111" i="55" s="1"/>
  <c r="H110" i="55"/>
  <c r="G110" i="55"/>
  <c r="D110" i="55"/>
  <c r="C110" i="55"/>
  <c r="C39" i="54"/>
  <c r="I110" i="54"/>
  <c r="B111" i="54" s="1"/>
  <c r="H110" i="54"/>
  <c r="G110" i="54"/>
  <c r="D110" i="54"/>
  <c r="C110" i="54"/>
  <c r="I110" i="53"/>
  <c r="B111" i="53" s="1"/>
  <c r="H110" i="53"/>
  <c r="G110" i="53"/>
  <c r="D110" i="53"/>
  <c r="C110" i="53"/>
  <c r="C38" i="53"/>
  <c r="G67" i="53"/>
  <c r="D67" i="53"/>
  <c r="C67" i="53"/>
  <c r="G67" i="49"/>
  <c r="D67" i="49"/>
  <c r="G66" i="52"/>
  <c r="D66" i="52"/>
  <c r="H66" i="52" s="1"/>
  <c r="I66" i="52" s="1"/>
  <c r="B67" i="52" s="1"/>
  <c r="C66" i="52"/>
  <c r="C38" i="52"/>
  <c r="H110" i="52"/>
  <c r="C110" i="52"/>
  <c r="D110" i="52"/>
  <c r="I110" i="52"/>
  <c r="B111" i="52" s="1"/>
  <c r="G110" i="52"/>
  <c r="C38" i="51"/>
  <c r="I110" i="51"/>
  <c r="B111" i="51" s="1"/>
  <c r="H110" i="51"/>
  <c r="G110" i="51"/>
  <c r="D110" i="51"/>
  <c r="C110" i="51"/>
  <c r="C68" i="51"/>
  <c r="D68" i="51"/>
  <c r="G68" i="51"/>
  <c r="C38" i="50"/>
  <c r="D68" i="50"/>
  <c r="C68" i="50"/>
  <c r="G68" i="50"/>
  <c r="I109" i="50"/>
  <c r="B110" i="50" s="1"/>
  <c r="H109" i="50"/>
  <c r="G109" i="50"/>
  <c r="D109" i="50"/>
  <c r="C109" i="50"/>
  <c r="I109" i="49"/>
  <c r="B110" i="49" s="1"/>
  <c r="H109" i="49"/>
  <c r="G109" i="49"/>
  <c r="C109" i="49"/>
  <c r="D109" i="49"/>
  <c r="C41" i="49"/>
  <c r="C38" i="48"/>
  <c r="C109" i="48"/>
  <c r="D109" i="48"/>
  <c r="I109" i="48"/>
  <c r="B110" i="48" s="1"/>
  <c r="H109" i="48"/>
  <c r="G109" i="48"/>
  <c r="G109" i="47"/>
  <c r="D109" i="47"/>
  <c r="C109" i="47"/>
  <c r="H109" i="47"/>
  <c r="I109" i="47"/>
  <c r="B110" i="47" s="1"/>
  <c r="C38" i="47"/>
  <c r="D67" i="35"/>
  <c r="G67" i="35"/>
  <c r="D26" i="36"/>
  <c r="B27" i="36"/>
  <c r="B28" i="36" s="1"/>
  <c r="D25" i="36"/>
  <c r="E25" i="36" s="1"/>
  <c r="G25" i="36" s="1"/>
  <c r="C39" i="35"/>
  <c r="AH331" i="33"/>
  <c r="AJ331" i="33"/>
  <c r="AD242" i="33"/>
  <c r="AF241" i="33"/>
  <c r="AL13" i="33" s="1"/>
  <c r="AL15" i="33" s="1"/>
  <c r="AD1187" i="33"/>
  <c r="AD1083" i="33"/>
  <c r="AF1082" i="33"/>
  <c r="AC333" i="33"/>
  <c r="AE332" i="33"/>
  <c r="AE1015" i="33"/>
  <c r="AF1015" i="33"/>
  <c r="AH50" i="33" s="1"/>
  <c r="AG1285" i="33"/>
  <c r="AG1286" i="33"/>
  <c r="AC241" i="33"/>
  <c r="AC242" i="33" s="1"/>
  <c r="AD907" i="33"/>
  <c r="AE1045" i="33"/>
  <c r="AF1045" i="33" s="1"/>
  <c r="AH51" i="33" s="1"/>
  <c r="AK1087" i="33"/>
  <c r="AL1082" i="33"/>
  <c r="AM1082" i="33" s="1"/>
  <c r="AE31" i="33" s="1"/>
  <c r="AE53" i="33" s="1"/>
  <c r="AE55" i="33" s="1"/>
  <c r="AE59" i="33" s="1"/>
  <c r="AG1087" i="33"/>
  <c r="AG1086" i="33"/>
  <c r="AC1017" i="33"/>
  <c r="AC1018" i="33" s="1"/>
  <c r="AE1016" i="33"/>
  <c r="AF667" i="33"/>
  <c r="AF684" i="33" s="1"/>
  <c r="AD684" i="33"/>
  <c r="Y1128" i="33"/>
  <c r="Y1127" i="33"/>
  <c r="AE174" i="33"/>
  <c r="AF174" i="33" s="1"/>
  <c r="AD1460" i="33"/>
  <c r="AD1290" i="33"/>
  <c r="AC1047" i="33"/>
  <c r="AC1048" i="33" s="1"/>
  <c r="AE1046" i="33"/>
  <c r="U1133" i="33"/>
  <c r="AU1182" i="33"/>
  <c r="AU1183" i="33"/>
  <c r="AE127" i="33"/>
  <c r="AF127" i="33" s="1"/>
  <c r="AE22" i="33"/>
  <c r="AC176" i="33"/>
  <c r="AC177" i="33" s="1"/>
  <c r="AE175" i="33"/>
  <c r="AS1223" i="33"/>
  <c r="AQ1224" i="33"/>
  <c r="AH180" i="33"/>
  <c r="AJ1224" i="33"/>
  <c r="AL1223" i="33"/>
  <c r="AH908" i="33"/>
  <c r="AH909" i="33"/>
  <c r="AN1082" i="33"/>
  <c r="AN1083" i="33"/>
  <c r="AJ27" i="33"/>
  <c r="AJ25" i="33"/>
  <c r="AD48" i="33"/>
  <c r="AD53" i="33" s="1"/>
  <c r="AD55" i="33" s="1"/>
  <c r="AF1232" i="33"/>
  <c r="AF131" i="33"/>
  <c r="AC132" i="33"/>
  <c r="AG1129" i="33"/>
  <c r="AG1130" i="33"/>
  <c r="AD293" i="33"/>
  <c r="AF292" i="33"/>
  <c r="AF12" i="33" s="1"/>
  <c r="AF15" i="33" s="1"/>
  <c r="AR1183" i="33"/>
  <c r="AD25" i="33"/>
  <c r="AD27" i="33"/>
  <c r="AG908" i="33"/>
  <c r="AG909" i="33"/>
  <c r="AF509" i="33"/>
  <c r="AD510" i="33"/>
  <c r="AC292" i="33"/>
  <c r="AC293" i="33" s="1"/>
  <c r="AC294" i="33" s="1"/>
  <c r="AC511" i="33"/>
  <c r="AC512" i="33" s="1"/>
  <c r="W135" i="33"/>
  <c r="X134" i="33"/>
  <c r="AK57" i="33" s="1"/>
  <c r="AL1176" i="33"/>
  <c r="AM1176" i="33" s="1"/>
  <c r="AF1271" i="33"/>
  <c r="AE47" i="33" s="1"/>
  <c r="AC1082" i="33"/>
  <c r="AC1083" i="33" s="1"/>
  <c r="AC1084" i="33" s="1"/>
  <c r="AC1085" i="33" s="1"/>
  <c r="AN1180" i="33"/>
  <c r="AN1181" i="33"/>
  <c r="AG1182" i="33"/>
  <c r="AG1183" i="33"/>
  <c r="AE1182" i="33"/>
  <c r="AF1182" i="33"/>
  <c r="AF46" i="33" s="1"/>
  <c r="AS1176" i="33"/>
  <c r="AT1176" i="33"/>
  <c r="AF403" i="33"/>
  <c r="AD404" i="33"/>
  <c r="AK1183" i="33"/>
  <c r="V1132" i="33"/>
  <c r="X1131" i="33"/>
  <c r="AG44" i="33" s="1"/>
  <c r="AG1344" i="33"/>
  <c r="AG1343" i="33"/>
  <c r="AC1347" i="33"/>
  <c r="AC1348" i="33" s="1"/>
  <c r="AF1345" i="33"/>
  <c r="AH34" i="33" s="1"/>
  <c r="AD1346" i="33"/>
  <c r="AE1271" i="33"/>
  <c r="AC1272" i="33"/>
  <c r="AC905" i="33"/>
  <c r="AC906" i="33" s="1"/>
  <c r="AE904" i="33"/>
  <c r="AE905" i="33" s="1"/>
  <c r="AG126" i="33"/>
  <c r="AH126" i="33"/>
  <c r="AF1133" i="33"/>
  <c r="AH43" i="33" s="1"/>
  <c r="AD1147" i="33"/>
  <c r="AF1147" i="33" s="1"/>
  <c r="AE1183" i="33"/>
  <c r="AC1184" i="33"/>
  <c r="AC1185" i="33" s="1"/>
  <c r="AS1177" i="33"/>
  <c r="AQ1178" i="33"/>
  <c r="AQ1179" i="33" s="1"/>
  <c r="AJ401" i="33"/>
  <c r="AK401" i="33"/>
  <c r="AC1457" i="33"/>
  <c r="AC1458" i="33" s="1"/>
  <c r="AE1456" i="33"/>
  <c r="AF1456" i="33" s="1"/>
  <c r="AL1083" i="33"/>
  <c r="AJ1084" i="33"/>
  <c r="AJ1085" i="33" s="1"/>
  <c r="AE132" i="33"/>
  <c r="AK22" i="33"/>
  <c r="AF866" i="33"/>
  <c r="AD867" i="33"/>
  <c r="AC868" i="33" s="1"/>
  <c r="AC869" i="33" s="1"/>
  <c r="AG34" i="33"/>
  <c r="AE903" i="33"/>
  <c r="AF904" i="33" s="1"/>
  <c r="AI904" i="33" s="1"/>
  <c r="AF902" i="33"/>
  <c r="AI902" i="33" s="1"/>
  <c r="AJ904" i="33" s="1"/>
  <c r="AJ1178" i="33"/>
  <c r="AJ1179" i="33" s="1"/>
  <c r="AL1177" i="33"/>
  <c r="H66" i="47" l="1"/>
  <c r="I66" i="47" s="1"/>
  <c r="B67" i="47" s="1"/>
  <c r="G67" i="47" s="1"/>
  <c r="D23" i="64"/>
  <c r="E23" i="64" s="1"/>
  <c r="D24" i="64"/>
  <c r="B25" i="64"/>
  <c r="B26" i="64" s="1"/>
  <c r="D23" i="60"/>
  <c r="E23" i="60" s="1"/>
  <c r="D24" i="63"/>
  <c r="D25" i="63" s="1"/>
  <c r="E25" i="63" s="1"/>
  <c r="B25" i="63"/>
  <c r="B26" i="63" s="1"/>
  <c r="B25" i="59"/>
  <c r="B26" i="59" s="1"/>
  <c r="D24" i="59"/>
  <c r="D25" i="59" s="1"/>
  <c r="E25" i="59" s="1"/>
  <c r="D24" i="61"/>
  <c r="D25" i="61" s="1"/>
  <c r="B25" i="61"/>
  <c r="B26" i="61" s="1"/>
  <c r="B25" i="62"/>
  <c r="B26" i="62" s="1"/>
  <c r="D24" i="62"/>
  <c r="D25" i="62" s="1"/>
  <c r="E25" i="62" s="1"/>
  <c r="B25" i="57"/>
  <c r="B26" i="57" s="1"/>
  <c r="D24" i="57"/>
  <c r="D25" i="57" s="1"/>
  <c r="E25" i="57" s="1"/>
  <c r="B25" i="60"/>
  <c r="B26" i="60" s="1"/>
  <c r="D24" i="60"/>
  <c r="E27" i="62"/>
  <c r="E27" i="61"/>
  <c r="D30" i="58"/>
  <c r="B31" i="58"/>
  <c r="B32" i="58" s="1"/>
  <c r="D29" i="58"/>
  <c r="E29" i="58" s="1"/>
  <c r="D28" i="56"/>
  <c r="B29" i="56"/>
  <c r="B30" i="56" s="1"/>
  <c r="D27" i="56"/>
  <c r="E27" i="56" s="1"/>
  <c r="H67" i="54"/>
  <c r="I67" i="54" s="1"/>
  <c r="B68" i="54" s="1"/>
  <c r="D68" i="54" s="1"/>
  <c r="G68" i="55"/>
  <c r="D68" i="55"/>
  <c r="H68" i="55" s="1"/>
  <c r="C68" i="55"/>
  <c r="I111" i="55"/>
  <c r="B112" i="55" s="1"/>
  <c r="H111" i="55"/>
  <c r="G111" i="55"/>
  <c r="D111" i="55"/>
  <c r="C111" i="55"/>
  <c r="C39" i="55"/>
  <c r="I111" i="54"/>
  <c r="B112" i="54" s="1"/>
  <c r="D111" i="54"/>
  <c r="H111" i="54"/>
  <c r="G111" i="54"/>
  <c r="C111" i="54"/>
  <c r="C40" i="54"/>
  <c r="H67" i="53"/>
  <c r="I67" i="53" s="1"/>
  <c r="B68" i="53" s="1"/>
  <c r="D68" i="53" s="1"/>
  <c r="C39" i="53"/>
  <c r="H67" i="49"/>
  <c r="I67" i="49" s="1"/>
  <c r="B68" i="49" s="1"/>
  <c r="D68" i="49" s="1"/>
  <c r="D111" i="53"/>
  <c r="I111" i="53"/>
  <c r="B112" i="53" s="1"/>
  <c r="H111" i="53"/>
  <c r="G111" i="53"/>
  <c r="C111" i="53"/>
  <c r="C67" i="52"/>
  <c r="G67" i="52"/>
  <c r="D67" i="52"/>
  <c r="C39" i="52"/>
  <c r="H68" i="50"/>
  <c r="I68" i="50" s="1"/>
  <c r="B69" i="50" s="1"/>
  <c r="C69" i="50" s="1"/>
  <c r="C111" i="52"/>
  <c r="I111" i="52"/>
  <c r="B112" i="52" s="1"/>
  <c r="H111" i="52"/>
  <c r="G111" i="52"/>
  <c r="D111" i="52"/>
  <c r="H68" i="51"/>
  <c r="I68" i="51" s="1"/>
  <c r="B69" i="51" s="1"/>
  <c r="D111" i="51"/>
  <c r="I111" i="51"/>
  <c r="B112" i="51" s="1"/>
  <c r="H111" i="51"/>
  <c r="G111" i="51"/>
  <c r="C111" i="51"/>
  <c r="C39" i="51"/>
  <c r="I110" i="50"/>
  <c r="B111" i="50" s="1"/>
  <c r="H110" i="50"/>
  <c r="G110" i="50"/>
  <c r="D110" i="50"/>
  <c r="C110" i="50"/>
  <c r="C39" i="50"/>
  <c r="C110" i="49"/>
  <c r="I110" i="49"/>
  <c r="B111" i="49" s="1"/>
  <c r="G110" i="49"/>
  <c r="D110" i="49"/>
  <c r="H110" i="49"/>
  <c r="C42" i="49"/>
  <c r="G68" i="48"/>
  <c r="D68" i="48"/>
  <c r="C68" i="48"/>
  <c r="C39" i="48"/>
  <c r="G110" i="48"/>
  <c r="D110" i="48"/>
  <c r="H110" i="48"/>
  <c r="C110" i="48"/>
  <c r="I110" i="48"/>
  <c r="B111" i="48" s="1"/>
  <c r="I110" i="47"/>
  <c r="B111" i="47" s="1"/>
  <c r="H110" i="47"/>
  <c r="G110" i="47"/>
  <c r="C110" i="47"/>
  <c r="D110" i="47"/>
  <c r="C39" i="47"/>
  <c r="H67" i="35"/>
  <c r="I67" i="35" s="1"/>
  <c r="B68" i="35" s="1"/>
  <c r="D68" i="35" s="1"/>
  <c r="D28" i="36"/>
  <c r="B29" i="36"/>
  <c r="B30" i="36" s="1"/>
  <c r="D27" i="36"/>
  <c r="E27" i="36" s="1"/>
  <c r="C40" i="35"/>
  <c r="AI126" i="33"/>
  <c r="AJ126" i="33" s="1"/>
  <c r="AD59" i="33"/>
  <c r="AI130" i="33" s="1"/>
  <c r="AJ130" i="33" s="1"/>
  <c r="AL1178" i="33"/>
  <c r="AM1178" i="33"/>
  <c r="AJ902" i="33"/>
  <c r="AF405" i="33"/>
  <c r="AD406" i="33"/>
  <c r="AN1182" i="33"/>
  <c r="AN1183" i="33"/>
  <c r="X135" i="33"/>
  <c r="AL57" i="33" s="1"/>
  <c r="W136" i="33"/>
  <c r="AG131" i="33"/>
  <c r="AJ131" i="33"/>
  <c r="AC178" i="33"/>
  <c r="AC179" i="33" s="1"/>
  <c r="AE177" i="33"/>
  <c r="AC1049" i="33"/>
  <c r="AE1048" i="33"/>
  <c r="Y1130" i="33"/>
  <c r="Y1129" i="33"/>
  <c r="AL1179" i="33"/>
  <c r="AJ1180" i="33"/>
  <c r="AJ1181" i="33" s="1"/>
  <c r="AK25" i="33"/>
  <c r="AK27" i="33"/>
  <c r="AK403" i="33"/>
  <c r="AJ403" i="33"/>
  <c r="AD1292" i="33"/>
  <c r="AD1085" i="33"/>
  <c r="AF1084" i="33"/>
  <c r="AQ1180" i="33"/>
  <c r="AQ1181" i="33" s="1"/>
  <c r="AS1179" i="33"/>
  <c r="AR1185" i="33"/>
  <c r="AL1224" i="33"/>
  <c r="AM1224" i="33" s="1"/>
  <c r="AJ1225" i="33"/>
  <c r="AE25" i="33"/>
  <c r="AE27" i="33"/>
  <c r="AK1089" i="33"/>
  <c r="AG1287" i="33"/>
  <c r="AG1288" i="33"/>
  <c r="AD1189" i="33"/>
  <c r="AS1178" i="33"/>
  <c r="AT1178" i="33" s="1"/>
  <c r="AG1346" i="33"/>
  <c r="AG1345" i="33"/>
  <c r="AC405" i="33"/>
  <c r="AC406" i="33" s="1"/>
  <c r="AC407" i="33" s="1"/>
  <c r="AC408" i="33" s="1"/>
  <c r="AD512" i="33"/>
  <c r="AF511" i="33"/>
  <c r="AF22" i="33"/>
  <c r="AE128" i="33"/>
  <c r="AF128" i="33" s="1"/>
  <c r="AH127" i="33"/>
  <c r="AG127" i="33"/>
  <c r="AJ127" i="33"/>
  <c r="AF1017" i="33"/>
  <c r="AI50" i="33" s="1"/>
  <c r="AE1017" i="33"/>
  <c r="AJ1086" i="33"/>
  <c r="AJ1087" i="33" s="1"/>
  <c r="AL1085" i="33"/>
  <c r="AE906" i="33"/>
  <c r="AC907" i="33"/>
  <c r="AC908" i="33" s="1"/>
  <c r="AC1186" i="33"/>
  <c r="AC1187" i="33" s="1"/>
  <c r="AE1185" i="33"/>
  <c r="AF294" i="33"/>
  <c r="AD295" i="33"/>
  <c r="AH182" i="33"/>
  <c r="AU1184" i="33"/>
  <c r="AU1185" i="33"/>
  <c r="AD1462" i="33"/>
  <c r="AC1019" i="33"/>
  <c r="AE1018" i="33"/>
  <c r="AL22" i="33"/>
  <c r="AL1084" i="33"/>
  <c r="AM1084" i="33"/>
  <c r="AF31" i="33" s="1"/>
  <c r="AE1184" i="33"/>
  <c r="AF1184" i="33" s="1"/>
  <c r="AG46" i="33" s="1"/>
  <c r="AC1273" i="33"/>
  <c r="AE1272" i="33"/>
  <c r="X1133" i="33"/>
  <c r="AH44" i="33" s="1"/>
  <c r="V1147" i="33"/>
  <c r="X1147" i="33" s="1"/>
  <c r="AG910" i="33"/>
  <c r="AG911" i="33"/>
  <c r="AG1131" i="33"/>
  <c r="AG1132" i="33"/>
  <c r="AG1133" i="33" s="1"/>
  <c r="AN1084" i="33"/>
  <c r="AN1085" i="33"/>
  <c r="AQ1225" i="33"/>
  <c r="AS1224" i="33"/>
  <c r="AT1224" i="33" s="1"/>
  <c r="AD909" i="33"/>
  <c r="AF243" i="33"/>
  <c r="AM13" i="33" s="1"/>
  <c r="AM15" i="33" s="1"/>
  <c r="AD244" i="33"/>
  <c r="AD869" i="33"/>
  <c r="AF868" i="33"/>
  <c r="AK1185" i="33"/>
  <c r="AG1184" i="33"/>
  <c r="AG1185" i="33"/>
  <c r="AG1089" i="33"/>
  <c r="AG1088" i="33"/>
  <c r="AE1458" i="33"/>
  <c r="AF1458" i="33" s="1"/>
  <c r="AC1459" i="33"/>
  <c r="AC1460" i="33" s="1"/>
  <c r="AF1347" i="33"/>
  <c r="AI34" i="33" s="1"/>
  <c r="AD1348" i="33"/>
  <c r="AC133" i="33"/>
  <c r="AF132" i="33"/>
  <c r="AH910" i="33"/>
  <c r="AH911" i="33"/>
  <c r="AE176" i="33"/>
  <c r="AF176" i="33" s="1"/>
  <c r="AE1047" i="33"/>
  <c r="AF1047" i="33"/>
  <c r="AI51" i="33" s="1"/>
  <c r="AC243" i="33"/>
  <c r="AC244" i="33" s="1"/>
  <c r="AC245" i="33" s="1"/>
  <c r="AC246" i="33" s="1"/>
  <c r="AC334" i="33"/>
  <c r="AE333" i="33"/>
  <c r="AF333" i="33" s="1"/>
  <c r="C67" i="47" l="1"/>
  <c r="D67" i="47"/>
  <c r="H67" i="47" s="1"/>
  <c r="I67" i="47" s="1"/>
  <c r="B68" i="47" s="1"/>
  <c r="D68" i="47" s="1"/>
  <c r="B27" i="64"/>
  <c r="B28" i="64" s="1"/>
  <c r="D26" i="64"/>
  <c r="D25" i="64"/>
  <c r="E25" i="64" s="1"/>
  <c r="D25" i="60"/>
  <c r="E25" i="60" s="1"/>
  <c r="D26" i="62"/>
  <c r="D27" i="62" s="1"/>
  <c r="B27" i="62"/>
  <c r="B28" i="62" s="1"/>
  <c r="D26" i="61"/>
  <c r="D27" i="61" s="1"/>
  <c r="B27" i="61"/>
  <c r="B28" i="61" s="1"/>
  <c r="B27" i="60"/>
  <c r="B28" i="60" s="1"/>
  <c r="D26" i="60"/>
  <c r="D27" i="60" s="1"/>
  <c r="E27" i="60" s="1"/>
  <c r="B27" i="59"/>
  <c r="B28" i="59" s="1"/>
  <c r="D26" i="59"/>
  <c r="D27" i="59" s="1"/>
  <c r="E27" i="59" s="1"/>
  <c r="B27" i="63"/>
  <c r="B28" i="63" s="1"/>
  <c r="D26" i="63"/>
  <c r="D26" i="57"/>
  <c r="D27" i="57" s="1"/>
  <c r="E27" i="57" s="1"/>
  <c r="B27" i="57"/>
  <c r="B28" i="57" s="1"/>
  <c r="E29" i="62"/>
  <c r="E29" i="61"/>
  <c r="D32" i="58"/>
  <c r="B33" i="58"/>
  <c r="B34" i="58" s="1"/>
  <c r="D31" i="58"/>
  <c r="E31" i="58"/>
  <c r="D30" i="56"/>
  <c r="B31" i="56"/>
  <c r="B32" i="56" s="1"/>
  <c r="D29" i="56"/>
  <c r="E29" i="56" s="1"/>
  <c r="G68" i="54"/>
  <c r="H68" i="54" s="1"/>
  <c r="I68" i="54" s="1"/>
  <c r="B69" i="54" s="1"/>
  <c r="D69" i="54" s="1"/>
  <c r="C68" i="54"/>
  <c r="H67" i="52"/>
  <c r="I67" i="52" s="1"/>
  <c r="B68" i="52" s="1"/>
  <c r="D69" i="50"/>
  <c r="G68" i="49"/>
  <c r="H68" i="49" s="1"/>
  <c r="I68" i="49" s="1"/>
  <c r="B69" i="49" s="1"/>
  <c r="I68" i="55"/>
  <c r="B69" i="55" s="1"/>
  <c r="C40" i="55"/>
  <c r="C112" i="55"/>
  <c r="I112" i="55"/>
  <c r="B113" i="55" s="1"/>
  <c r="H112" i="55"/>
  <c r="G112" i="55"/>
  <c r="D112" i="55"/>
  <c r="C41" i="54"/>
  <c r="C68" i="53"/>
  <c r="C68" i="49"/>
  <c r="G68" i="53"/>
  <c r="H68" i="53" s="1"/>
  <c r="I68" i="53" s="1"/>
  <c r="B69" i="53" s="1"/>
  <c r="D112" i="54"/>
  <c r="C112" i="54"/>
  <c r="H112" i="54"/>
  <c r="G112" i="54"/>
  <c r="I112" i="54"/>
  <c r="B113" i="54" s="1"/>
  <c r="G69" i="50"/>
  <c r="C40" i="53"/>
  <c r="C112" i="53"/>
  <c r="I112" i="53"/>
  <c r="B113" i="53" s="1"/>
  <c r="G112" i="53"/>
  <c r="H112" i="53"/>
  <c r="D112" i="53"/>
  <c r="C40" i="52"/>
  <c r="G112" i="52"/>
  <c r="C112" i="52"/>
  <c r="I112" i="52"/>
  <c r="B113" i="52" s="1"/>
  <c r="H112" i="52"/>
  <c r="D112" i="52"/>
  <c r="D112" i="51"/>
  <c r="C112" i="51"/>
  <c r="H112" i="51"/>
  <c r="G112" i="51"/>
  <c r="I112" i="51"/>
  <c r="B113" i="51" s="1"/>
  <c r="G69" i="51"/>
  <c r="D69" i="51"/>
  <c r="C69" i="51"/>
  <c r="C40" i="51"/>
  <c r="C40" i="50"/>
  <c r="C111" i="50"/>
  <c r="I111" i="50"/>
  <c r="B112" i="50" s="1"/>
  <c r="H111" i="50"/>
  <c r="G111" i="50"/>
  <c r="D111" i="50"/>
  <c r="C43" i="49"/>
  <c r="G111" i="49"/>
  <c r="D111" i="49"/>
  <c r="C111" i="49"/>
  <c r="I111" i="49"/>
  <c r="B112" i="49" s="1"/>
  <c r="H111" i="49"/>
  <c r="H68" i="48"/>
  <c r="I68" i="48" s="1"/>
  <c r="B69" i="48" s="1"/>
  <c r="I111" i="48"/>
  <c r="B112" i="48" s="1"/>
  <c r="H111" i="48"/>
  <c r="G111" i="48"/>
  <c r="D111" i="48"/>
  <c r="C111" i="48"/>
  <c r="C40" i="48"/>
  <c r="C40" i="47"/>
  <c r="G111" i="47"/>
  <c r="H111" i="47"/>
  <c r="I111" i="47"/>
  <c r="B112" i="47" s="1"/>
  <c r="D111" i="47"/>
  <c r="C111" i="47"/>
  <c r="G68" i="35"/>
  <c r="H68" i="35" s="1"/>
  <c r="I68" i="35" s="1"/>
  <c r="B69" i="35" s="1"/>
  <c r="C68" i="35"/>
  <c r="D30" i="36"/>
  <c r="B31" i="36"/>
  <c r="B32" i="36" s="1"/>
  <c r="D29" i="36"/>
  <c r="E29" i="36" s="1"/>
  <c r="C41" i="35"/>
  <c r="AJ333" i="33"/>
  <c r="AH333" i="33"/>
  <c r="AN1086" i="33"/>
  <c r="AN1087" i="33"/>
  <c r="AE1019" i="33"/>
  <c r="AE1020" i="33" s="1"/>
  <c r="AF1019" i="33"/>
  <c r="AJ1226" i="33"/>
  <c r="AL1225" i="33"/>
  <c r="AD1087" i="33"/>
  <c r="AF1086" i="33"/>
  <c r="AE178" i="33"/>
  <c r="AF178" i="33" s="1"/>
  <c r="AD408" i="33"/>
  <c r="AF407" i="33"/>
  <c r="AE334" i="33"/>
  <c r="AC335" i="33"/>
  <c r="AG132" i="33"/>
  <c r="AJ132" i="33"/>
  <c r="AD871" i="33"/>
  <c r="AF870" i="33"/>
  <c r="AE1273" i="33"/>
  <c r="AF1273" i="33" s="1"/>
  <c r="AF47" i="33" s="1"/>
  <c r="AF53" i="33" s="1"/>
  <c r="AF55" i="33" s="1"/>
  <c r="AF59" i="33" s="1"/>
  <c r="AC1274" i="33"/>
  <c r="AG12" i="33"/>
  <c r="AG15" i="33" s="1"/>
  <c r="AF295" i="33"/>
  <c r="AD514" i="33"/>
  <c r="AF513" i="33"/>
  <c r="AD1191" i="33"/>
  <c r="AC180" i="33"/>
  <c r="AC181" i="33" s="1"/>
  <c r="AE179" i="33"/>
  <c r="AK405" i="33"/>
  <c r="AJ405" i="33"/>
  <c r="AC134" i="33"/>
  <c r="AF133" i="33"/>
  <c r="AG1091" i="33"/>
  <c r="AG1090" i="33"/>
  <c r="AD246" i="33"/>
  <c r="AF245" i="33"/>
  <c r="AN13" i="33" s="1"/>
  <c r="AN15" i="33" s="1"/>
  <c r="AD1464" i="33"/>
  <c r="AE1186" i="33"/>
  <c r="AF1186" i="33"/>
  <c r="AH46" i="33" s="1"/>
  <c r="AC409" i="33"/>
  <c r="AC410" i="33" s="1"/>
  <c r="AG1290" i="33"/>
  <c r="AG1289" i="33"/>
  <c r="AR1187" i="33"/>
  <c r="AD1294" i="33"/>
  <c r="AL1181" i="33"/>
  <c r="AJ1182" i="33"/>
  <c r="AJ1183" i="33" s="1"/>
  <c r="AM22" i="33"/>
  <c r="AC1188" i="33"/>
  <c r="AC1189" i="33" s="1"/>
  <c r="AE1187" i="33"/>
  <c r="AL1180" i="33"/>
  <c r="AM1180" i="33" s="1"/>
  <c r="AF1349" i="33"/>
  <c r="AJ34" i="33" s="1"/>
  <c r="AD1350" i="33"/>
  <c r="AG1187" i="33"/>
  <c r="AG1186" i="33"/>
  <c r="AG913" i="33"/>
  <c r="AG912" i="33"/>
  <c r="AU1187" i="33"/>
  <c r="AU1186" i="33"/>
  <c r="AC909" i="33"/>
  <c r="AC910" i="33" s="1"/>
  <c r="AE908" i="33"/>
  <c r="AE909" i="33" s="1"/>
  <c r="AG1348" i="33"/>
  <c r="AG1347" i="33"/>
  <c r="AK1091" i="33"/>
  <c r="AC1086" i="33"/>
  <c r="AC1087" i="33" s="1"/>
  <c r="AC513" i="33"/>
  <c r="AC514" i="33" s="1"/>
  <c r="X136" i="33"/>
  <c r="AM57" i="33" s="1"/>
  <c r="W137" i="33"/>
  <c r="AD911" i="33"/>
  <c r="AE907" i="33"/>
  <c r="AF906" i="33"/>
  <c r="AI906" i="33" s="1"/>
  <c r="AJ906" i="33" s="1"/>
  <c r="AG128" i="33"/>
  <c r="AJ128" i="33"/>
  <c r="AS1180" i="33"/>
  <c r="AT1180" i="33" s="1"/>
  <c r="Y1132" i="33"/>
  <c r="Y1133" i="33" s="1"/>
  <c r="Y1131" i="33"/>
  <c r="AC1461" i="33"/>
  <c r="AC1462" i="33" s="1"/>
  <c r="AE1460" i="33"/>
  <c r="AF1460" i="33" s="1"/>
  <c r="AL25" i="33"/>
  <c r="AL27" i="33"/>
  <c r="AL1086" i="33"/>
  <c r="AM1086" i="33"/>
  <c r="AG31" i="33" s="1"/>
  <c r="AF25" i="33"/>
  <c r="AF27" i="33"/>
  <c r="AS1181" i="33"/>
  <c r="AQ1182" i="33"/>
  <c r="AQ1183" i="33" s="1"/>
  <c r="AE1049" i="33"/>
  <c r="AE1050" i="33" s="1"/>
  <c r="AF1049" i="33"/>
  <c r="AN1185" i="33"/>
  <c r="AN1184" i="33"/>
  <c r="AH913" i="33"/>
  <c r="AH912" i="33"/>
  <c r="AK1187" i="33"/>
  <c r="AS1225" i="33"/>
  <c r="AQ1226" i="33"/>
  <c r="AH184" i="33"/>
  <c r="AL1087" i="33"/>
  <c r="AJ1088" i="33"/>
  <c r="AJ1089" i="33" s="1"/>
  <c r="AC1349" i="33"/>
  <c r="AC1350" i="33" s="1"/>
  <c r="AC1351" i="33" s="1"/>
  <c r="AC1352" i="33" s="1"/>
  <c r="AC870" i="33"/>
  <c r="AC871" i="33" s="1"/>
  <c r="AC872" i="33" s="1"/>
  <c r="AC873" i="33" s="1"/>
  <c r="C68" i="47" l="1"/>
  <c r="G68" i="47"/>
  <c r="H68" i="47" s="1"/>
  <c r="I68" i="47" s="1"/>
  <c r="B69" i="47" s="1"/>
  <c r="D27" i="64"/>
  <c r="E27" i="64" s="1"/>
  <c r="D28" i="64"/>
  <c r="D29" i="64" s="1"/>
  <c r="E29" i="64" s="1"/>
  <c r="B29" i="64"/>
  <c r="B30" i="64" s="1"/>
  <c r="D27" i="63"/>
  <c r="E27" i="63"/>
  <c r="D28" i="60"/>
  <c r="D29" i="60" s="1"/>
  <c r="E29" i="60" s="1"/>
  <c r="B29" i="60"/>
  <c r="B30" i="60" s="1"/>
  <c r="D28" i="59"/>
  <c r="B29" i="59"/>
  <c r="B30" i="59" s="1"/>
  <c r="D28" i="57"/>
  <c r="D29" i="57" s="1"/>
  <c r="E29" i="57" s="1"/>
  <c r="B29" i="57"/>
  <c r="B30" i="57" s="1"/>
  <c r="D28" i="61"/>
  <c r="D29" i="61" s="1"/>
  <c r="B29" i="61"/>
  <c r="B30" i="61" s="1"/>
  <c r="D28" i="62"/>
  <c r="D29" i="62" s="1"/>
  <c r="B29" i="62"/>
  <c r="B30" i="62" s="1"/>
  <c r="B29" i="63"/>
  <c r="B30" i="63" s="1"/>
  <c r="D28" i="63"/>
  <c r="D29" i="63" s="1"/>
  <c r="E29" i="63" s="1"/>
  <c r="E31" i="63"/>
  <c r="E31" i="62"/>
  <c r="E31" i="61"/>
  <c r="D34" i="58"/>
  <c r="B35" i="58"/>
  <c r="B36" i="58" s="1"/>
  <c r="D33" i="58"/>
  <c r="E33" i="58" s="1"/>
  <c r="D32" i="56"/>
  <c r="B33" i="56"/>
  <c r="B34" i="56" s="1"/>
  <c r="D31" i="56"/>
  <c r="E31" i="56" s="1"/>
  <c r="G69" i="54"/>
  <c r="H69" i="54" s="1"/>
  <c r="I69" i="54" s="1"/>
  <c r="B70" i="54" s="1"/>
  <c r="H69" i="51"/>
  <c r="I69" i="51" s="1"/>
  <c r="B70" i="51" s="1"/>
  <c r="G70" i="51" s="1"/>
  <c r="H69" i="50"/>
  <c r="I69" i="50" s="1"/>
  <c r="B70" i="50" s="1"/>
  <c r="D70" i="50" s="1"/>
  <c r="C69" i="54"/>
  <c r="C41" i="55"/>
  <c r="G113" i="55"/>
  <c r="D113" i="55"/>
  <c r="C113" i="55"/>
  <c r="I113" i="55"/>
  <c r="B114" i="55" s="1"/>
  <c r="H113" i="55"/>
  <c r="C69" i="55"/>
  <c r="D69" i="55"/>
  <c r="G69" i="55"/>
  <c r="H113" i="54"/>
  <c r="G113" i="54"/>
  <c r="D113" i="54"/>
  <c r="C113" i="54"/>
  <c r="I113" i="54"/>
  <c r="B114" i="54" s="1"/>
  <c r="C42" i="54"/>
  <c r="C41" i="53"/>
  <c r="I113" i="53"/>
  <c r="B114" i="53" s="1"/>
  <c r="G113" i="53"/>
  <c r="H113" i="53"/>
  <c r="D113" i="53"/>
  <c r="C113" i="53"/>
  <c r="D69" i="53"/>
  <c r="C69" i="53"/>
  <c r="G69" i="53"/>
  <c r="I113" i="52"/>
  <c r="B114" i="52" s="1"/>
  <c r="D113" i="52"/>
  <c r="H113" i="52"/>
  <c r="G113" i="52"/>
  <c r="C113" i="52"/>
  <c r="C41" i="52"/>
  <c r="D68" i="52"/>
  <c r="C68" i="52"/>
  <c r="G68" i="52"/>
  <c r="H113" i="51"/>
  <c r="G113" i="51"/>
  <c r="I113" i="51"/>
  <c r="B114" i="51" s="1"/>
  <c r="D113" i="51"/>
  <c r="C113" i="51"/>
  <c r="C41" i="51"/>
  <c r="C41" i="50"/>
  <c r="G112" i="50"/>
  <c r="D112" i="50"/>
  <c r="C112" i="50"/>
  <c r="I112" i="50"/>
  <c r="B113" i="50" s="1"/>
  <c r="H112" i="50"/>
  <c r="C44" i="49"/>
  <c r="G69" i="49"/>
  <c r="D69" i="49"/>
  <c r="C69" i="49"/>
  <c r="I112" i="49"/>
  <c r="B113" i="49" s="1"/>
  <c r="H112" i="49"/>
  <c r="G112" i="49"/>
  <c r="D112" i="49"/>
  <c r="C112" i="49"/>
  <c r="I112" i="48"/>
  <c r="B113" i="48" s="1"/>
  <c r="H112" i="48"/>
  <c r="G112" i="48"/>
  <c r="D112" i="48"/>
  <c r="C112" i="48"/>
  <c r="C41" i="48"/>
  <c r="G69" i="48"/>
  <c r="D69" i="48"/>
  <c r="C69" i="48"/>
  <c r="C41" i="47"/>
  <c r="I112" i="47"/>
  <c r="B113" i="47" s="1"/>
  <c r="C112" i="47"/>
  <c r="G112" i="47"/>
  <c r="D112" i="47"/>
  <c r="H112" i="47"/>
  <c r="D32" i="36"/>
  <c r="B33" i="36"/>
  <c r="B34" i="36" s="1"/>
  <c r="D31" i="36"/>
  <c r="E31" i="36" s="1"/>
  <c r="C42" i="35"/>
  <c r="D69" i="35"/>
  <c r="C69" i="35"/>
  <c r="G69" i="35"/>
  <c r="AS1182" i="33"/>
  <c r="AT1182" i="33"/>
  <c r="AL1088" i="33"/>
  <c r="AM1088" i="33"/>
  <c r="AH31" i="33" s="1"/>
  <c r="AH914" i="33"/>
  <c r="AH915" i="33"/>
  <c r="AD913" i="33"/>
  <c r="AG915" i="33"/>
  <c r="AG914" i="33"/>
  <c r="AC1190" i="33"/>
  <c r="AC1191" i="33" s="1"/>
  <c r="AE1189" i="33"/>
  <c r="AR1189" i="33"/>
  <c r="AN22" i="33"/>
  <c r="AG22" i="33"/>
  <c r="AE129" i="33"/>
  <c r="AF129" i="33" s="1"/>
  <c r="AL1226" i="33"/>
  <c r="AJ1227" i="33"/>
  <c r="AG1350" i="33"/>
  <c r="AG1349" i="33"/>
  <c r="AM25" i="33"/>
  <c r="AM27" i="33"/>
  <c r="AD248" i="33"/>
  <c r="AF247" i="33"/>
  <c r="AO13" i="33" s="1"/>
  <c r="AO15" i="33" s="1"/>
  <c r="AE180" i="33"/>
  <c r="AF180" i="33" s="1"/>
  <c r="AC1275" i="33"/>
  <c r="AE1274" i="33"/>
  <c r="AK407" i="33"/>
  <c r="AJ407" i="33"/>
  <c r="AJ50" i="33"/>
  <c r="AF1020" i="33"/>
  <c r="AH186" i="33"/>
  <c r="AN1186" i="33"/>
  <c r="AN1187" i="33"/>
  <c r="X137" i="33"/>
  <c r="AN57" i="33" s="1"/>
  <c r="W138" i="33"/>
  <c r="AG1189" i="33"/>
  <c r="AG1188" i="33"/>
  <c r="AG1291" i="33"/>
  <c r="AG1292" i="33"/>
  <c r="AC182" i="33"/>
  <c r="AC183" i="33" s="1"/>
  <c r="AE181" i="33"/>
  <c r="AD410" i="33"/>
  <c r="AF409" i="33"/>
  <c r="AQ1227" i="33"/>
  <c r="AS1226" i="33"/>
  <c r="AJ51" i="33"/>
  <c r="AF1050" i="33"/>
  <c r="AE910" i="33"/>
  <c r="AC911" i="33"/>
  <c r="AC912" i="33" s="1"/>
  <c r="AF1351" i="33"/>
  <c r="AK34" i="33" s="1"/>
  <c r="AD1352" i="33"/>
  <c r="AJ1184" i="33"/>
  <c r="AJ1185" i="33" s="1"/>
  <c r="AL1183" i="33"/>
  <c r="AC411" i="33"/>
  <c r="AG1093" i="33"/>
  <c r="AG1092" i="33"/>
  <c r="AD1193" i="33"/>
  <c r="AT1226" i="33"/>
  <c r="AC515" i="33"/>
  <c r="AC516" i="33" s="1"/>
  <c r="AL1182" i="33"/>
  <c r="AM1182" i="33"/>
  <c r="AG133" i="33"/>
  <c r="AJ133" i="33"/>
  <c r="AD873" i="33"/>
  <c r="AF872" i="33"/>
  <c r="AN1089" i="33"/>
  <c r="AN1088" i="33"/>
  <c r="AC874" i="33"/>
  <c r="AK1189" i="33"/>
  <c r="AS1183" i="33"/>
  <c r="AQ1184" i="33"/>
  <c r="AQ1185" i="33" s="1"/>
  <c r="AC1088" i="33"/>
  <c r="AC1089" i="33" s="1"/>
  <c r="AC1090" i="33" s="1"/>
  <c r="AC1091" i="33" s="1"/>
  <c r="AU1188" i="33"/>
  <c r="AU1189" i="33"/>
  <c r="AD1304" i="33"/>
  <c r="AC135" i="33"/>
  <c r="AF134" i="33"/>
  <c r="AD1466" i="33"/>
  <c r="AC247" i="33"/>
  <c r="AC248" i="33" s="1"/>
  <c r="AC249" i="33" s="1"/>
  <c r="AC250" i="33" s="1"/>
  <c r="AF515" i="33"/>
  <c r="AD516" i="33"/>
  <c r="AF1088" i="33"/>
  <c r="AD1089" i="33"/>
  <c r="AE1462" i="33"/>
  <c r="AF1462" i="33" s="1"/>
  <c r="AC1463" i="33"/>
  <c r="AC1464" i="33" s="1"/>
  <c r="AL1089" i="33"/>
  <c r="AJ1090" i="33"/>
  <c r="AJ1091" i="33" s="1"/>
  <c r="AF908" i="33"/>
  <c r="AK1093" i="33"/>
  <c r="AE1188" i="33"/>
  <c r="AF1188" i="33"/>
  <c r="AI46" i="33" s="1"/>
  <c r="AE335" i="33"/>
  <c r="AF335" i="33" s="1"/>
  <c r="AC336" i="33"/>
  <c r="AM1226" i="33"/>
  <c r="D30" i="64" l="1"/>
  <c r="B31" i="64"/>
  <c r="B32" i="64" s="1"/>
  <c r="G70" i="50"/>
  <c r="H70" i="50" s="1"/>
  <c r="I70" i="50" s="1"/>
  <c r="B71" i="50" s="1"/>
  <c r="D29" i="59"/>
  <c r="E29" i="59"/>
  <c r="B31" i="61"/>
  <c r="B32" i="61" s="1"/>
  <c r="D30" i="61"/>
  <c r="D31" i="61" s="1"/>
  <c r="B31" i="57"/>
  <c r="B32" i="57" s="1"/>
  <c r="D30" i="57"/>
  <c r="D31" i="57" s="1"/>
  <c r="E31" i="57" s="1"/>
  <c r="B31" i="59"/>
  <c r="B32" i="59" s="1"/>
  <c r="D30" i="59"/>
  <c r="D30" i="63"/>
  <c r="D31" i="63" s="1"/>
  <c r="B31" i="63"/>
  <c r="B32" i="63" s="1"/>
  <c r="D30" i="62"/>
  <c r="D31" i="62" s="1"/>
  <c r="B31" i="62"/>
  <c r="B32" i="62" s="1"/>
  <c r="D30" i="60"/>
  <c r="D31" i="60" s="1"/>
  <c r="E31" i="60" s="1"/>
  <c r="B31" i="60"/>
  <c r="B32" i="60" s="1"/>
  <c r="E33" i="63"/>
  <c r="E33" i="62"/>
  <c r="E33" i="61"/>
  <c r="D36" i="58"/>
  <c r="B37" i="58"/>
  <c r="B38" i="58" s="1"/>
  <c r="D35" i="58"/>
  <c r="E35" i="58" s="1"/>
  <c r="C70" i="50"/>
  <c r="D34" i="56"/>
  <c r="B35" i="56"/>
  <c r="B36" i="56" s="1"/>
  <c r="D33" i="56"/>
  <c r="E33" i="56" s="1"/>
  <c r="H69" i="55"/>
  <c r="I69" i="55" s="1"/>
  <c r="B70" i="55" s="1"/>
  <c r="D70" i="55" s="1"/>
  <c r="H69" i="53"/>
  <c r="I69" i="53" s="1"/>
  <c r="B70" i="53" s="1"/>
  <c r="C70" i="53" s="1"/>
  <c r="C70" i="51"/>
  <c r="D70" i="51"/>
  <c r="H70" i="51" s="1"/>
  <c r="I70" i="51" s="1"/>
  <c r="B71" i="51" s="1"/>
  <c r="H69" i="49"/>
  <c r="I69" i="49" s="1"/>
  <c r="B70" i="49" s="1"/>
  <c r="G70" i="49" s="1"/>
  <c r="C42" i="55"/>
  <c r="I114" i="55"/>
  <c r="B115" i="55" s="1"/>
  <c r="H114" i="55"/>
  <c r="G114" i="55"/>
  <c r="D114" i="55"/>
  <c r="C114" i="55"/>
  <c r="H68" i="52"/>
  <c r="I68" i="52" s="1"/>
  <c r="B69" i="52" s="1"/>
  <c r="C43" i="54"/>
  <c r="I114" i="54"/>
  <c r="B115" i="54" s="1"/>
  <c r="H114" i="54"/>
  <c r="G114" i="54"/>
  <c r="D114" i="54"/>
  <c r="C114" i="54"/>
  <c r="G70" i="54"/>
  <c r="D70" i="54"/>
  <c r="C70" i="54"/>
  <c r="I114" i="53"/>
  <c r="B115" i="53" s="1"/>
  <c r="G114" i="53"/>
  <c r="C114" i="53"/>
  <c r="D114" i="53"/>
  <c r="H114" i="53"/>
  <c r="C42" i="53"/>
  <c r="C42" i="52"/>
  <c r="H114" i="52"/>
  <c r="I114" i="52"/>
  <c r="B115" i="52" s="1"/>
  <c r="G114" i="52"/>
  <c r="D114" i="52"/>
  <c r="C114" i="52"/>
  <c r="C42" i="51"/>
  <c r="I114" i="51"/>
  <c r="B115" i="51" s="1"/>
  <c r="H114" i="51"/>
  <c r="G114" i="51"/>
  <c r="D114" i="51"/>
  <c r="C114" i="51"/>
  <c r="I113" i="50"/>
  <c r="B114" i="50" s="1"/>
  <c r="H113" i="50"/>
  <c r="G113" i="50"/>
  <c r="D113" i="50"/>
  <c r="C113" i="50"/>
  <c r="C42" i="50"/>
  <c r="H69" i="48"/>
  <c r="I69" i="48" s="1"/>
  <c r="B70" i="48" s="1"/>
  <c r="C70" i="48" s="1"/>
  <c r="C45" i="49"/>
  <c r="I113" i="49"/>
  <c r="B114" i="49" s="1"/>
  <c r="H113" i="49"/>
  <c r="G113" i="49"/>
  <c r="C113" i="49"/>
  <c r="D113" i="49"/>
  <c r="C42" i="48"/>
  <c r="C113" i="48"/>
  <c r="I113" i="48"/>
  <c r="B114" i="48" s="1"/>
  <c r="D113" i="48"/>
  <c r="H113" i="48"/>
  <c r="G113" i="48"/>
  <c r="G113" i="47"/>
  <c r="I113" i="47"/>
  <c r="B114" i="47" s="1"/>
  <c r="D113" i="47"/>
  <c r="H113" i="47"/>
  <c r="C113" i="47"/>
  <c r="D69" i="47"/>
  <c r="C69" i="47"/>
  <c r="G69" i="47"/>
  <c r="C42" i="47"/>
  <c r="H69" i="35"/>
  <c r="I69" i="35" s="1"/>
  <c r="B70" i="35" s="1"/>
  <c r="C70" i="35" s="1"/>
  <c r="D34" i="36"/>
  <c r="B35" i="36"/>
  <c r="B36" i="36" s="1"/>
  <c r="D33" i="36"/>
  <c r="E33" i="36" s="1"/>
  <c r="C43" i="35"/>
  <c r="AJ335" i="33"/>
  <c r="AH335" i="33"/>
  <c r="AC412" i="33"/>
  <c r="AE411" i="33"/>
  <c r="AG1294" i="33"/>
  <c r="AG1295" i="33" s="1"/>
  <c r="AG1293" i="33"/>
  <c r="AE1275" i="33"/>
  <c r="AC1276" i="33"/>
  <c r="AG1352" i="33"/>
  <c r="AG1351" i="33"/>
  <c r="AK1095" i="33"/>
  <c r="AF517" i="33"/>
  <c r="AD518" i="33"/>
  <c r="AL1184" i="33"/>
  <c r="AM1184" i="33" s="1"/>
  <c r="AH188" i="33"/>
  <c r="AJ1228" i="33"/>
  <c r="AL1227" i="33"/>
  <c r="AH917" i="33"/>
  <c r="AH916" i="33"/>
  <c r="AU1191" i="33"/>
  <c r="AU1190" i="33"/>
  <c r="AC517" i="33"/>
  <c r="AC518" i="33" s="1"/>
  <c r="AL1185" i="33"/>
  <c r="AJ1186" i="33"/>
  <c r="AJ1187" i="33" s="1"/>
  <c r="AR1191" i="33"/>
  <c r="AN1090" i="33"/>
  <c r="AN1091" i="33"/>
  <c r="AF1353" i="33"/>
  <c r="AL34" i="33" s="1"/>
  <c r="AD1354" i="33"/>
  <c r="AQ1228" i="33"/>
  <c r="AS1227" i="33"/>
  <c r="AG1190" i="33"/>
  <c r="AG1191" i="33"/>
  <c r="AO22" i="33"/>
  <c r="AE1190" i="33"/>
  <c r="AF1190" i="33" s="1"/>
  <c r="AJ46" i="33" s="1"/>
  <c r="AL1090" i="33"/>
  <c r="AM1090" i="33" s="1"/>
  <c r="AI31" i="33" s="1"/>
  <c r="AD1468" i="33"/>
  <c r="AC1092" i="33"/>
  <c r="AC1093" i="33" s="1"/>
  <c r="AK409" i="33"/>
  <c r="AJ409" i="33"/>
  <c r="X138" i="33"/>
  <c r="AO57" i="33" s="1"/>
  <c r="W139" i="33"/>
  <c r="AD250" i="33"/>
  <c r="AC251" i="33" s="1"/>
  <c r="AF249" i="33"/>
  <c r="AP13" i="33" s="1"/>
  <c r="AP15" i="33" s="1"/>
  <c r="AG129" i="33"/>
  <c r="AJ129" i="33"/>
  <c r="AC1192" i="33"/>
  <c r="AC1193" i="33" s="1"/>
  <c r="AE1191" i="33"/>
  <c r="AC1465" i="33"/>
  <c r="AC1466" i="33" s="1"/>
  <c r="AE1464" i="33"/>
  <c r="AF1464" i="33" s="1"/>
  <c r="AQ1186" i="33"/>
  <c r="AQ1187" i="33" s="1"/>
  <c r="AS1185" i="33"/>
  <c r="AF874" i="33"/>
  <c r="AF875" i="33" s="1"/>
  <c r="AD875" i="33"/>
  <c r="AD1195" i="33"/>
  <c r="AE912" i="33"/>
  <c r="AE913" i="33" s="1"/>
  <c r="AC913" i="33"/>
  <c r="AC914" i="33" s="1"/>
  <c r="AD412" i="33"/>
  <c r="AF411" i="33"/>
  <c r="AG25" i="33"/>
  <c r="AG27" i="33"/>
  <c r="AC337" i="33"/>
  <c r="AE336" i="33"/>
  <c r="AG134" i="33"/>
  <c r="AJ134" i="33"/>
  <c r="AS1184" i="33"/>
  <c r="AT1184" i="33"/>
  <c r="AE911" i="33"/>
  <c r="AF912" i="33" s="1"/>
  <c r="AF910" i="33"/>
  <c r="AE182" i="33"/>
  <c r="AF182" i="33" s="1"/>
  <c r="AN1189" i="33"/>
  <c r="AN1188" i="33"/>
  <c r="AG917" i="33"/>
  <c r="AG916" i="33"/>
  <c r="AL1091" i="33"/>
  <c r="AJ1092" i="33"/>
  <c r="AJ1093" i="33" s="1"/>
  <c r="AD1091" i="33"/>
  <c r="AF1090" i="33"/>
  <c r="AC136" i="33"/>
  <c r="AF135" i="33"/>
  <c r="AK1191" i="33"/>
  <c r="AG1095" i="33"/>
  <c r="AG1096" i="33" s="1"/>
  <c r="AG1094" i="33"/>
  <c r="AC184" i="33"/>
  <c r="AC185" i="33" s="1"/>
  <c r="AE183" i="33"/>
  <c r="AF1275" i="33"/>
  <c r="AG47" i="33" s="1"/>
  <c r="AG53" i="33" s="1"/>
  <c r="AG55" i="33" s="1"/>
  <c r="AG59" i="33" s="1"/>
  <c r="AN25" i="33"/>
  <c r="AN27" i="33"/>
  <c r="AD915" i="33"/>
  <c r="AC1353" i="33"/>
  <c r="AC1354" i="33" s="1"/>
  <c r="AC1355" i="33" s="1"/>
  <c r="AC1356" i="33" s="1"/>
  <c r="D32" i="64" l="1"/>
  <c r="D33" i="64" s="1"/>
  <c r="E33" i="64" s="1"/>
  <c r="B33" i="64"/>
  <c r="B34" i="64" s="1"/>
  <c r="D31" i="64"/>
  <c r="E31" i="64" s="1"/>
  <c r="D31" i="59"/>
  <c r="E31" i="59"/>
  <c r="B33" i="63"/>
  <c r="B34" i="63" s="1"/>
  <c r="D32" i="63"/>
  <c r="D33" i="63" s="1"/>
  <c r="D32" i="59"/>
  <c r="B33" i="59"/>
  <c r="B34" i="59" s="1"/>
  <c r="D32" i="60"/>
  <c r="B33" i="60"/>
  <c r="B34" i="60" s="1"/>
  <c r="D32" i="57"/>
  <c r="D33" i="57" s="1"/>
  <c r="E33" i="57" s="1"/>
  <c r="B33" i="57"/>
  <c r="B34" i="57" s="1"/>
  <c r="D32" i="62"/>
  <c r="D33" i="62" s="1"/>
  <c r="B33" i="62"/>
  <c r="B34" i="62" s="1"/>
  <c r="D32" i="61"/>
  <c r="D33" i="61" s="1"/>
  <c r="B33" i="61"/>
  <c r="B34" i="61" s="1"/>
  <c r="E35" i="63"/>
  <c r="E35" i="61"/>
  <c r="D38" i="58"/>
  <c r="B39" i="58"/>
  <c r="B40" i="58" s="1"/>
  <c r="D37" i="58"/>
  <c r="E37" i="58" s="1"/>
  <c r="D70" i="53"/>
  <c r="G70" i="55"/>
  <c r="H70" i="55" s="1"/>
  <c r="D36" i="56"/>
  <c r="B37" i="56"/>
  <c r="B38" i="56" s="1"/>
  <c r="D35" i="56"/>
  <c r="E35" i="56"/>
  <c r="G70" i="53"/>
  <c r="C70" i="55"/>
  <c r="H70" i="53"/>
  <c r="C70" i="49"/>
  <c r="D70" i="49"/>
  <c r="H70" i="49" s="1"/>
  <c r="I70" i="49" s="1"/>
  <c r="B71" i="49" s="1"/>
  <c r="I115" i="55"/>
  <c r="B116" i="55" s="1"/>
  <c r="H115" i="55"/>
  <c r="G115" i="55"/>
  <c r="D115" i="55"/>
  <c r="C115" i="55"/>
  <c r="H70" i="54"/>
  <c r="I70" i="54" s="1"/>
  <c r="B71" i="54" s="1"/>
  <c r="G71" i="54" s="1"/>
  <c r="C43" i="55"/>
  <c r="I115" i="54"/>
  <c r="B116" i="54" s="1"/>
  <c r="D115" i="54"/>
  <c r="G115" i="54"/>
  <c r="C115" i="54"/>
  <c r="H115" i="54"/>
  <c r="C44" i="54"/>
  <c r="C43" i="53"/>
  <c r="C115" i="53"/>
  <c r="I115" i="53"/>
  <c r="B116" i="53" s="1"/>
  <c r="G115" i="53"/>
  <c r="D115" i="53"/>
  <c r="H115" i="53"/>
  <c r="I70" i="53"/>
  <c r="B71" i="53" s="1"/>
  <c r="C43" i="52"/>
  <c r="G69" i="52"/>
  <c r="D69" i="52"/>
  <c r="C69" i="52"/>
  <c r="C115" i="52"/>
  <c r="G115" i="52"/>
  <c r="D115" i="52"/>
  <c r="I115" i="52"/>
  <c r="B116" i="52" s="1"/>
  <c r="H115" i="52"/>
  <c r="C115" i="51"/>
  <c r="I115" i="51"/>
  <c r="B116" i="51" s="1"/>
  <c r="H115" i="51"/>
  <c r="G115" i="51"/>
  <c r="D115" i="51"/>
  <c r="C43" i="51"/>
  <c r="G71" i="51"/>
  <c r="C71" i="51"/>
  <c r="D71" i="51"/>
  <c r="C43" i="50"/>
  <c r="I114" i="50"/>
  <c r="B115" i="50" s="1"/>
  <c r="H114" i="50"/>
  <c r="G114" i="50"/>
  <c r="D114" i="50"/>
  <c r="C114" i="50"/>
  <c r="G71" i="50"/>
  <c r="D71" i="50"/>
  <c r="C71" i="50"/>
  <c r="G70" i="48"/>
  <c r="D70" i="48"/>
  <c r="C114" i="49"/>
  <c r="I114" i="49"/>
  <c r="B115" i="49" s="1"/>
  <c r="G114" i="49"/>
  <c r="H114" i="49"/>
  <c r="D114" i="49"/>
  <c r="C46" i="49"/>
  <c r="H69" i="47"/>
  <c r="I69" i="47" s="1"/>
  <c r="B70" i="47" s="1"/>
  <c r="G70" i="47" s="1"/>
  <c r="C43" i="48"/>
  <c r="G114" i="48"/>
  <c r="D114" i="48"/>
  <c r="C114" i="48"/>
  <c r="H114" i="48"/>
  <c r="I114" i="48"/>
  <c r="B115" i="48" s="1"/>
  <c r="C43" i="47"/>
  <c r="C114" i="47"/>
  <c r="I114" i="47"/>
  <c r="B115" i="47" s="1"/>
  <c r="D114" i="47"/>
  <c r="H114" i="47"/>
  <c r="G114" i="47"/>
  <c r="D70" i="35"/>
  <c r="G70" i="35"/>
  <c r="D36" i="36"/>
  <c r="B37" i="36"/>
  <c r="B38" i="36" s="1"/>
  <c r="D35" i="36"/>
  <c r="E35" i="36" s="1"/>
  <c r="C44" i="35"/>
  <c r="AL1092" i="33"/>
  <c r="AM1092" i="33"/>
  <c r="AJ31" i="33" s="1"/>
  <c r="AO25" i="33"/>
  <c r="AO27" i="33"/>
  <c r="AN1092" i="33"/>
  <c r="AN1093" i="33"/>
  <c r="AC1277" i="33"/>
  <c r="AE1276" i="33"/>
  <c r="AU1193" i="33"/>
  <c r="AU1192" i="33"/>
  <c r="AK1193" i="33"/>
  <c r="AG918" i="33"/>
  <c r="AG919" i="33"/>
  <c r="AK411" i="33"/>
  <c r="AJ411" i="33"/>
  <c r="AS1186" i="33"/>
  <c r="AT1186" i="33" s="1"/>
  <c r="AP22" i="33"/>
  <c r="AD1470" i="33"/>
  <c r="AG1193" i="33"/>
  <c r="AG1192" i="33"/>
  <c r="AD520" i="33"/>
  <c r="AF521" i="33" s="1"/>
  <c r="AF519" i="33"/>
  <c r="AF524" i="33" s="1"/>
  <c r="AD524" i="33"/>
  <c r="AD929" i="33"/>
  <c r="AG135" i="33"/>
  <c r="AJ135" i="33"/>
  <c r="AD414" i="33"/>
  <c r="AS1187" i="33"/>
  <c r="AQ1188" i="33"/>
  <c r="AQ1189" i="33" s="1"/>
  <c r="AF251" i="33"/>
  <c r="AQ13" i="33" s="1"/>
  <c r="AQ15" i="33" s="1"/>
  <c r="AD253" i="33"/>
  <c r="AF253" i="33" s="1"/>
  <c r="AR1193" i="33"/>
  <c r="AH919" i="33"/>
  <c r="AH918" i="33"/>
  <c r="AC137" i="33"/>
  <c r="AF136" i="33"/>
  <c r="AN1191" i="33"/>
  <c r="AN1190" i="33"/>
  <c r="AC915" i="33"/>
  <c r="AC916" i="33" s="1"/>
  <c r="AE916" i="33" s="1"/>
  <c r="AE914" i="33"/>
  <c r="W140" i="33"/>
  <c r="X139" i="33"/>
  <c r="AP57" i="33" s="1"/>
  <c r="AE412" i="33"/>
  <c r="AF413" i="33" s="1"/>
  <c r="AE414" i="33"/>
  <c r="AE415" i="33" s="1"/>
  <c r="AF415" i="33" s="1"/>
  <c r="AE184" i="33"/>
  <c r="AF184" i="33" s="1"/>
  <c r="AC1467" i="33"/>
  <c r="AC1468" i="33" s="1"/>
  <c r="AE1466" i="33"/>
  <c r="AF1466" i="33" s="1"/>
  <c r="AQ1229" i="33"/>
  <c r="AS1228" i="33"/>
  <c r="AT1228" i="33" s="1"/>
  <c r="AJ1188" i="33"/>
  <c r="AJ1189" i="33" s="1"/>
  <c r="AL1187" i="33"/>
  <c r="AJ1229" i="33"/>
  <c r="AL1228" i="33"/>
  <c r="AM1228" i="33" s="1"/>
  <c r="AK1098" i="33"/>
  <c r="AC413" i="33"/>
  <c r="AE413" i="33" s="1"/>
  <c r="AC186" i="33"/>
  <c r="AC187" i="33" s="1"/>
  <c r="AE185" i="33"/>
  <c r="AD1093" i="33"/>
  <c r="AC1094" i="33" s="1"/>
  <c r="AC1095" i="33" s="1"/>
  <c r="AF1092" i="33"/>
  <c r="AE337" i="33"/>
  <c r="AF337" i="33" s="1"/>
  <c r="AC338" i="33"/>
  <c r="AD1204" i="33"/>
  <c r="AE1192" i="33"/>
  <c r="AF1192" i="33" s="1"/>
  <c r="AK46" i="33" s="1"/>
  <c r="AF1355" i="33"/>
  <c r="AM34" i="33" s="1"/>
  <c r="AD1356" i="33"/>
  <c r="AL1186" i="33"/>
  <c r="AM1186" i="33" s="1"/>
  <c r="AC1357" i="33"/>
  <c r="AC1358" i="33" s="1"/>
  <c r="AJ1094" i="33"/>
  <c r="AJ1095" i="33" s="1"/>
  <c r="AL1093" i="33"/>
  <c r="AE1193" i="33"/>
  <c r="AC1194" i="33"/>
  <c r="AC1195" i="33" s="1"/>
  <c r="AC519" i="33"/>
  <c r="AC520" i="33" s="1"/>
  <c r="AG1354" i="33"/>
  <c r="AG1353" i="33"/>
  <c r="D34" i="64" l="1"/>
  <c r="B35" i="64"/>
  <c r="B36" i="64" s="1"/>
  <c r="D33" i="60"/>
  <c r="E33" i="60"/>
  <c r="D33" i="59"/>
  <c r="E33" i="59" s="1"/>
  <c r="B35" i="57"/>
  <c r="B36" i="57" s="1"/>
  <c r="D34" i="57"/>
  <c r="D35" i="57" s="1"/>
  <c r="E35" i="57" s="1"/>
  <c r="B35" i="60"/>
  <c r="B36" i="60" s="1"/>
  <c r="D34" i="60"/>
  <c r="D34" i="61"/>
  <c r="D35" i="61" s="1"/>
  <c r="B35" i="61"/>
  <c r="B36" i="61" s="1"/>
  <c r="D34" i="59"/>
  <c r="B35" i="59"/>
  <c r="B36" i="59" s="1"/>
  <c r="D34" i="62"/>
  <c r="D35" i="62" s="1"/>
  <c r="E35" i="62" s="1"/>
  <c r="B35" i="62"/>
  <c r="B36" i="62" s="1"/>
  <c r="B35" i="63"/>
  <c r="B36" i="63" s="1"/>
  <c r="D34" i="63"/>
  <c r="D35" i="63" s="1"/>
  <c r="E37" i="63"/>
  <c r="E37" i="62"/>
  <c r="E37" i="61"/>
  <c r="D40" i="58"/>
  <c r="B41" i="58"/>
  <c r="B42" i="58" s="1"/>
  <c r="D39" i="58"/>
  <c r="E39" i="58" s="1"/>
  <c r="D38" i="56"/>
  <c r="B39" i="56"/>
  <c r="B40" i="56" s="1"/>
  <c r="D37" i="56"/>
  <c r="E37" i="56"/>
  <c r="H71" i="51"/>
  <c r="I71" i="51" s="1"/>
  <c r="B72" i="51" s="1"/>
  <c r="C72" i="51" s="1"/>
  <c r="C71" i="54"/>
  <c r="D71" i="54"/>
  <c r="H71" i="54" s="1"/>
  <c r="I71" i="54" s="1"/>
  <c r="B72" i="54" s="1"/>
  <c r="C116" i="55"/>
  <c r="I116" i="55"/>
  <c r="B117" i="55" s="1"/>
  <c r="H116" i="55"/>
  <c r="G116" i="55"/>
  <c r="D116" i="55"/>
  <c r="C44" i="55"/>
  <c r="I70" i="55"/>
  <c r="B71" i="55" s="1"/>
  <c r="C45" i="54"/>
  <c r="D116" i="54"/>
  <c r="C116" i="54"/>
  <c r="H116" i="54"/>
  <c r="I116" i="54"/>
  <c r="B117" i="54" s="1"/>
  <c r="G116" i="54"/>
  <c r="G71" i="53"/>
  <c r="D71" i="53"/>
  <c r="C71" i="53"/>
  <c r="H69" i="52"/>
  <c r="I69" i="52" s="1"/>
  <c r="B70" i="52" s="1"/>
  <c r="G70" i="52" s="1"/>
  <c r="C44" i="53"/>
  <c r="H71" i="50"/>
  <c r="I71" i="50" s="1"/>
  <c r="B72" i="50" s="1"/>
  <c r="G72" i="50" s="1"/>
  <c r="G116" i="53"/>
  <c r="D116" i="53"/>
  <c r="C116" i="53"/>
  <c r="I116" i="53"/>
  <c r="B117" i="53" s="1"/>
  <c r="H116" i="53"/>
  <c r="G116" i="52"/>
  <c r="C116" i="52"/>
  <c r="I116" i="52"/>
  <c r="B117" i="52" s="1"/>
  <c r="H116" i="52"/>
  <c r="D116" i="52"/>
  <c r="C44" i="52"/>
  <c r="D70" i="47"/>
  <c r="H70" i="47" s="1"/>
  <c r="I70" i="47" s="1"/>
  <c r="B71" i="47" s="1"/>
  <c r="C44" i="51"/>
  <c r="D116" i="51"/>
  <c r="H116" i="51"/>
  <c r="C116" i="51"/>
  <c r="I116" i="51"/>
  <c r="B117" i="51" s="1"/>
  <c r="G116" i="51"/>
  <c r="C115" i="50"/>
  <c r="I115" i="50"/>
  <c r="B116" i="50" s="1"/>
  <c r="H115" i="50"/>
  <c r="G115" i="50"/>
  <c r="D115" i="50"/>
  <c r="C44" i="50"/>
  <c r="H70" i="48"/>
  <c r="I70" i="48" s="1"/>
  <c r="B71" i="48" s="1"/>
  <c r="G71" i="48" s="1"/>
  <c r="G115" i="49"/>
  <c r="D115" i="49"/>
  <c r="C115" i="49"/>
  <c r="I115" i="49"/>
  <c r="B116" i="49" s="1"/>
  <c r="H115" i="49"/>
  <c r="C70" i="47"/>
  <c r="C47" i="49"/>
  <c r="C71" i="49"/>
  <c r="G71" i="49"/>
  <c r="D71" i="49"/>
  <c r="C44" i="48"/>
  <c r="I115" i="48"/>
  <c r="B116" i="48" s="1"/>
  <c r="H115" i="48"/>
  <c r="G115" i="48"/>
  <c r="D115" i="48"/>
  <c r="C115" i="48"/>
  <c r="C44" i="47"/>
  <c r="G115" i="47"/>
  <c r="I115" i="47"/>
  <c r="B116" i="47" s="1"/>
  <c r="H115" i="47"/>
  <c r="C115" i="47"/>
  <c r="D115" i="47"/>
  <c r="H70" i="35"/>
  <c r="I70" i="35" s="1"/>
  <c r="B71" i="35" s="1"/>
  <c r="D71" i="35" s="1"/>
  <c r="D38" i="36"/>
  <c r="B39" i="36"/>
  <c r="B40" i="36" s="1"/>
  <c r="D37" i="36"/>
  <c r="E37" i="36" s="1"/>
  <c r="C45" i="35"/>
  <c r="AH337" i="33"/>
  <c r="AJ337" i="33"/>
  <c r="AJ413" i="33"/>
  <c r="AK413" i="33"/>
  <c r="AE1194" i="33"/>
  <c r="AF1194" i="33" s="1"/>
  <c r="AL46" i="33" s="1"/>
  <c r="AE186" i="33"/>
  <c r="AF186" i="33" s="1"/>
  <c r="AJ1190" i="33"/>
  <c r="AJ1191" i="33" s="1"/>
  <c r="AL1189" i="33"/>
  <c r="AR1195" i="33"/>
  <c r="AD1472" i="33"/>
  <c r="AG921" i="33"/>
  <c r="AG920" i="33"/>
  <c r="AN1094" i="33"/>
  <c r="AN1095" i="33"/>
  <c r="AN1096" i="33" s="1"/>
  <c r="AL1094" i="33"/>
  <c r="AM1094" i="33"/>
  <c r="AK31" i="33" s="1"/>
  <c r="AJ1096" i="33"/>
  <c r="AL1095" i="33"/>
  <c r="AQ1230" i="33"/>
  <c r="AS1230" i="33" s="1"/>
  <c r="AS1229" i="33"/>
  <c r="AT1230" i="33" s="1"/>
  <c r="AN1192" i="33"/>
  <c r="AN1193" i="33"/>
  <c r="AQ22" i="33"/>
  <c r="AP27" i="33"/>
  <c r="AP25" i="33"/>
  <c r="AK1195" i="33"/>
  <c r="AC188" i="33"/>
  <c r="AE187" i="33"/>
  <c r="AG136" i="33"/>
  <c r="AJ136" i="33"/>
  <c r="AQ1190" i="33"/>
  <c r="AQ1191" i="33" s="1"/>
  <c r="AS1189" i="33"/>
  <c r="AG1356" i="33"/>
  <c r="AG1355" i="33"/>
  <c r="AC339" i="33"/>
  <c r="AE338" i="33"/>
  <c r="AC138" i="33"/>
  <c r="AF138" i="33" s="1"/>
  <c r="AF137" i="33"/>
  <c r="AS1188" i="33"/>
  <c r="AT1188" i="33"/>
  <c r="AU1194" i="33"/>
  <c r="AU1195" i="33"/>
  <c r="AU1196" i="33" s="1"/>
  <c r="AC521" i="33"/>
  <c r="AC522" i="33" s="1"/>
  <c r="AF1357" i="33"/>
  <c r="AN34" i="33" s="1"/>
  <c r="AD1358" i="33"/>
  <c r="AJ1230" i="33"/>
  <c r="AL1230" i="33" s="1"/>
  <c r="AL1229" i="33"/>
  <c r="AM1230" i="33" s="1"/>
  <c r="X140" i="33"/>
  <c r="AQ57" i="33" s="1"/>
  <c r="W141" i="33"/>
  <c r="AH921" i="33"/>
  <c r="AH920" i="33"/>
  <c r="AF1277" i="33"/>
  <c r="AH47" i="33" s="1"/>
  <c r="AH53" i="33" s="1"/>
  <c r="AH55" i="33" s="1"/>
  <c r="AH59" i="33" s="1"/>
  <c r="AC1469" i="33"/>
  <c r="AC1470" i="33" s="1"/>
  <c r="AE1468" i="33"/>
  <c r="AF1468" i="33" s="1"/>
  <c r="AE1195" i="33"/>
  <c r="AC1196" i="33"/>
  <c r="AD1095" i="33"/>
  <c r="AF1096" i="33" s="1"/>
  <c r="AF1094" i="33"/>
  <c r="AL1188" i="33"/>
  <c r="AM1188" i="33" s="1"/>
  <c r="AE915" i="33"/>
  <c r="AF916" i="33" s="1"/>
  <c r="AF914" i="33"/>
  <c r="AG1194" i="33"/>
  <c r="AG1195" i="33"/>
  <c r="AG1196" i="33" s="1"/>
  <c r="AC1278" i="33"/>
  <c r="AE1277" i="33"/>
  <c r="D36" i="64" l="1"/>
  <c r="B37" i="64"/>
  <c r="B38" i="64" s="1"/>
  <c r="D35" i="64"/>
  <c r="E35" i="64"/>
  <c r="D35" i="60"/>
  <c r="E35" i="60" s="1"/>
  <c r="D35" i="59"/>
  <c r="E35" i="59" s="1"/>
  <c r="D36" i="59"/>
  <c r="B37" i="59"/>
  <c r="B38" i="59" s="1"/>
  <c r="D36" i="61"/>
  <c r="D37" i="61" s="1"/>
  <c r="B37" i="61"/>
  <c r="B38" i="61" s="1"/>
  <c r="D36" i="63"/>
  <c r="D37" i="63" s="1"/>
  <c r="B37" i="63"/>
  <c r="B38" i="63" s="1"/>
  <c r="B37" i="60"/>
  <c r="B38" i="60" s="1"/>
  <c r="D36" i="60"/>
  <c r="D37" i="60" s="1"/>
  <c r="E37" i="60" s="1"/>
  <c r="D36" i="62"/>
  <c r="D37" i="62" s="1"/>
  <c r="B37" i="62"/>
  <c r="B38" i="62" s="1"/>
  <c r="B37" i="57"/>
  <c r="B38" i="57" s="1"/>
  <c r="D36" i="57"/>
  <c r="D37" i="57" s="1"/>
  <c r="E37" i="57" s="1"/>
  <c r="E39" i="63"/>
  <c r="E39" i="61"/>
  <c r="D42" i="58"/>
  <c r="B43" i="58"/>
  <c r="B44" i="58" s="1"/>
  <c r="D41" i="58"/>
  <c r="E41" i="58" s="1"/>
  <c r="D40" i="56"/>
  <c r="B41" i="56"/>
  <c r="B42" i="56" s="1"/>
  <c r="D39" i="56"/>
  <c r="E39" i="56" s="1"/>
  <c r="D72" i="51"/>
  <c r="G72" i="51"/>
  <c r="H71" i="53"/>
  <c r="I71" i="53" s="1"/>
  <c r="B72" i="53" s="1"/>
  <c r="G72" i="53" s="1"/>
  <c r="C72" i="50"/>
  <c r="G117" i="55"/>
  <c r="D117" i="55"/>
  <c r="C117" i="55"/>
  <c r="I117" i="55"/>
  <c r="B118" i="55" s="1"/>
  <c r="H117" i="55"/>
  <c r="C45" i="55"/>
  <c r="G71" i="55"/>
  <c r="D71" i="55"/>
  <c r="C71" i="55"/>
  <c r="D72" i="50"/>
  <c r="H72" i="50" s="1"/>
  <c r="I72" i="50" s="1"/>
  <c r="B73" i="50" s="1"/>
  <c r="C46" i="54"/>
  <c r="C72" i="54"/>
  <c r="D72" i="54"/>
  <c r="G72" i="54"/>
  <c r="H117" i="54"/>
  <c r="G117" i="54"/>
  <c r="D117" i="54"/>
  <c r="C117" i="54"/>
  <c r="I117" i="54"/>
  <c r="B118" i="54" s="1"/>
  <c r="C70" i="52"/>
  <c r="I117" i="53"/>
  <c r="B118" i="53" s="1"/>
  <c r="H117" i="53"/>
  <c r="G117" i="53"/>
  <c r="D117" i="53"/>
  <c r="C117" i="53"/>
  <c r="D70" i="52"/>
  <c r="H70" i="52" s="1"/>
  <c r="I70" i="52" s="1"/>
  <c r="B71" i="52" s="1"/>
  <c r="C45" i="53"/>
  <c r="C45" i="52"/>
  <c r="I117" i="52"/>
  <c r="B118" i="52" s="1"/>
  <c r="H117" i="52"/>
  <c r="G117" i="52"/>
  <c r="D117" i="52"/>
  <c r="C117" i="52"/>
  <c r="H71" i="49"/>
  <c r="I71" i="49" s="1"/>
  <c r="B72" i="49" s="1"/>
  <c r="G72" i="49" s="1"/>
  <c r="C45" i="51"/>
  <c r="H117" i="51"/>
  <c r="G117" i="51"/>
  <c r="D117" i="51"/>
  <c r="C117" i="51"/>
  <c r="I117" i="51"/>
  <c r="B118" i="51" s="1"/>
  <c r="C71" i="48"/>
  <c r="D71" i="48"/>
  <c r="H71" i="48" s="1"/>
  <c r="I71" i="48" s="1"/>
  <c r="B72" i="48" s="1"/>
  <c r="C45" i="50"/>
  <c r="G116" i="50"/>
  <c r="D116" i="50"/>
  <c r="C116" i="50"/>
  <c r="I116" i="50"/>
  <c r="B117" i="50" s="1"/>
  <c r="H116" i="50"/>
  <c r="C48" i="49"/>
  <c r="I116" i="49"/>
  <c r="B117" i="49" s="1"/>
  <c r="H116" i="49"/>
  <c r="G116" i="49"/>
  <c r="D116" i="49"/>
  <c r="C116" i="49"/>
  <c r="I116" i="48"/>
  <c r="B117" i="48" s="1"/>
  <c r="H116" i="48"/>
  <c r="G116" i="48"/>
  <c r="D116" i="48"/>
  <c r="C116" i="48"/>
  <c r="C45" i="48"/>
  <c r="D71" i="47"/>
  <c r="G71" i="47"/>
  <c r="C71" i="47"/>
  <c r="C45" i="47"/>
  <c r="I116" i="47"/>
  <c r="B117" i="47" s="1"/>
  <c r="C116" i="47"/>
  <c r="D116" i="47"/>
  <c r="H116" i="47"/>
  <c r="G116" i="47"/>
  <c r="C71" i="35"/>
  <c r="G71" i="35"/>
  <c r="H71" i="35" s="1"/>
  <c r="I71" i="35" s="1"/>
  <c r="B72" i="35" s="1"/>
  <c r="D40" i="36"/>
  <c r="B41" i="36"/>
  <c r="B42" i="36" s="1"/>
  <c r="D39" i="36"/>
  <c r="E39" i="36" s="1"/>
  <c r="C46" i="35"/>
  <c r="AE1470" i="33"/>
  <c r="AF1470" i="33" s="1"/>
  <c r="AC1471" i="33"/>
  <c r="AC1472" i="33" s="1"/>
  <c r="AF1359" i="33"/>
  <c r="AO34" i="33" s="1"/>
  <c r="AD1360" i="33"/>
  <c r="AG137" i="33"/>
  <c r="AJ137" i="33"/>
  <c r="AD1477" i="33"/>
  <c r="AR1204" i="33"/>
  <c r="AG138" i="33"/>
  <c r="AJ138" i="33"/>
  <c r="AC523" i="33"/>
  <c r="AE523" i="33" s="1"/>
  <c r="AE522" i="33"/>
  <c r="AF523" i="33" s="1"/>
  <c r="AC1359" i="33"/>
  <c r="AC1360" i="33" s="1"/>
  <c r="AC1361" i="33" s="1"/>
  <c r="AC1362" i="33" s="1"/>
  <c r="AQ27" i="33"/>
  <c r="AQ25" i="33"/>
  <c r="AH923" i="33"/>
  <c r="AH922" i="33"/>
  <c r="AE339" i="33"/>
  <c r="AF339" i="33" s="1"/>
  <c r="AC340" i="33"/>
  <c r="AE188" i="33"/>
  <c r="AE189" i="33" s="1"/>
  <c r="AN1195" i="33"/>
  <c r="AN1196" i="33" s="1"/>
  <c r="AN1194" i="33"/>
  <c r="AE929" i="33"/>
  <c r="AC1279" i="33"/>
  <c r="AE1278" i="33"/>
  <c r="W142" i="33"/>
  <c r="X141" i="33"/>
  <c r="AL1190" i="33"/>
  <c r="AM1190" i="33"/>
  <c r="AG1358" i="33"/>
  <c r="AG1357" i="33"/>
  <c r="AL1191" i="33"/>
  <c r="AJ1192" i="33"/>
  <c r="AJ1193" i="33" s="1"/>
  <c r="AC1096" i="33"/>
  <c r="AE1196" i="33"/>
  <c r="AF1196" i="33" s="1"/>
  <c r="AM46" i="33" s="1"/>
  <c r="AS1190" i="33"/>
  <c r="AT1190" i="33" s="1"/>
  <c r="AK1204" i="33"/>
  <c r="AG922" i="33"/>
  <c r="AG923" i="33"/>
  <c r="AF929" i="33"/>
  <c r="AF930" i="33" s="1"/>
  <c r="AQ1192" i="33"/>
  <c r="AQ1193" i="33" s="1"/>
  <c r="AS1191" i="33"/>
  <c r="AL1096" i="33"/>
  <c r="AM1096" i="33"/>
  <c r="AL31" i="33" s="1"/>
  <c r="H72" i="51" l="1"/>
  <c r="I72" i="51" s="1"/>
  <c r="B73" i="51" s="1"/>
  <c r="G73" i="51" s="1"/>
  <c r="D38" i="64"/>
  <c r="B39" i="64"/>
  <c r="B40" i="64" s="1"/>
  <c r="D37" i="64"/>
  <c r="E37" i="64" s="1"/>
  <c r="D37" i="59"/>
  <c r="E37" i="59" s="1"/>
  <c r="B39" i="60"/>
  <c r="B40" i="60" s="1"/>
  <c r="D38" i="60"/>
  <c r="B39" i="63"/>
  <c r="B40" i="63" s="1"/>
  <c r="D38" i="63"/>
  <c r="D39" i="63" s="1"/>
  <c r="D38" i="61"/>
  <c r="D39" i="61" s="1"/>
  <c r="B39" i="61"/>
  <c r="B40" i="61" s="1"/>
  <c r="D38" i="57"/>
  <c r="D39" i="57" s="1"/>
  <c r="E39" i="57" s="1"/>
  <c r="B39" i="57"/>
  <c r="B40" i="57" s="1"/>
  <c r="D38" i="62"/>
  <c r="D39" i="62" s="1"/>
  <c r="E39" i="62" s="1"/>
  <c r="B39" i="62"/>
  <c r="B40" i="62" s="1"/>
  <c r="B39" i="59"/>
  <c r="B40" i="59" s="1"/>
  <c r="D38" i="59"/>
  <c r="E41" i="63"/>
  <c r="E41" i="62"/>
  <c r="D44" i="58"/>
  <c r="B45" i="58"/>
  <c r="B46" i="58" s="1"/>
  <c r="D43" i="58"/>
  <c r="E43" i="58" s="1"/>
  <c r="D42" i="56"/>
  <c r="B43" i="56"/>
  <c r="B44" i="56" s="1"/>
  <c r="D41" i="56"/>
  <c r="E41" i="56"/>
  <c r="C72" i="49"/>
  <c r="C72" i="53"/>
  <c r="D72" i="53"/>
  <c r="H72" i="53" s="1"/>
  <c r="I72" i="53" s="1"/>
  <c r="B73" i="53" s="1"/>
  <c r="H72" i="54"/>
  <c r="I72" i="54" s="1"/>
  <c r="B73" i="54" s="1"/>
  <c r="G73" i="54" s="1"/>
  <c r="H71" i="55"/>
  <c r="I71" i="55" s="1"/>
  <c r="B72" i="55" s="1"/>
  <c r="G72" i="55" s="1"/>
  <c r="D72" i="49"/>
  <c r="H72" i="49" s="1"/>
  <c r="I72" i="49" s="1"/>
  <c r="B73" i="49" s="1"/>
  <c r="I118" i="55"/>
  <c r="B119" i="55" s="1"/>
  <c r="H118" i="55"/>
  <c r="G118" i="55"/>
  <c r="D118" i="55"/>
  <c r="C118" i="55"/>
  <c r="C46" i="55"/>
  <c r="C47" i="54"/>
  <c r="I118" i="54"/>
  <c r="B119" i="54" s="1"/>
  <c r="H118" i="54"/>
  <c r="G118" i="54"/>
  <c r="D118" i="54"/>
  <c r="C118" i="54"/>
  <c r="C46" i="53"/>
  <c r="I118" i="53"/>
  <c r="B119" i="53" s="1"/>
  <c r="H118" i="53"/>
  <c r="G118" i="53"/>
  <c r="C118" i="53"/>
  <c r="D118" i="53"/>
  <c r="I118" i="52"/>
  <c r="B119" i="52" s="1"/>
  <c r="H118" i="52"/>
  <c r="G118" i="52"/>
  <c r="D118" i="52"/>
  <c r="C118" i="52"/>
  <c r="C71" i="52"/>
  <c r="G71" i="52"/>
  <c r="D71" i="52"/>
  <c r="C46" i="52"/>
  <c r="I118" i="51"/>
  <c r="B119" i="51" s="1"/>
  <c r="H118" i="51"/>
  <c r="G118" i="51"/>
  <c r="D118" i="51"/>
  <c r="C118" i="51"/>
  <c r="C46" i="51"/>
  <c r="C72" i="48"/>
  <c r="G72" i="48"/>
  <c r="C46" i="50"/>
  <c r="G73" i="50"/>
  <c r="D73" i="50"/>
  <c r="C73" i="50"/>
  <c r="I117" i="50"/>
  <c r="B118" i="50" s="1"/>
  <c r="H117" i="50"/>
  <c r="G117" i="50"/>
  <c r="D117" i="50"/>
  <c r="C117" i="50"/>
  <c r="D72" i="48"/>
  <c r="I117" i="49"/>
  <c r="B118" i="49" s="1"/>
  <c r="H117" i="49"/>
  <c r="G117" i="49"/>
  <c r="C117" i="49"/>
  <c r="D117" i="49"/>
  <c r="C49" i="49"/>
  <c r="C117" i="48"/>
  <c r="I117" i="48"/>
  <c r="B118" i="48" s="1"/>
  <c r="H117" i="48"/>
  <c r="G117" i="48"/>
  <c r="D117" i="48"/>
  <c r="H71" i="47"/>
  <c r="I71" i="47" s="1"/>
  <c r="B72" i="47" s="1"/>
  <c r="C46" i="48"/>
  <c r="G117" i="47"/>
  <c r="I117" i="47"/>
  <c r="B118" i="47" s="1"/>
  <c r="H117" i="47"/>
  <c r="D117" i="47"/>
  <c r="C117" i="47"/>
  <c r="C46" i="47"/>
  <c r="D72" i="35"/>
  <c r="G72" i="35"/>
  <c r="C72" i="35"/>
  <c r="D42" i="36"/>
  <c r="B43" i="36"/>
  <c r="B44" i="36" s="1"/>
  <c r="D41" i="36"/>
  <c r="E41" i="36" s="1"/>
  <c r="C47" i="35"/>
  <c r="AJ339" i="33"/>
  <c r="AH339" i="33"/>
  <c r="AG925" i="33"/>
  <c r="AG924" i="33"/>
  <c r="W143" i="33"/>
  <c r="X142" i="33"/>
  <c r="AE340" i="33"/>
  <c r="AC341" i="33"/>
  <c r="AJ1194" i="33"/>
  <c r="AJ1195" i="33" s="1"/>
  <c r="AL1193" i="33"/>
  <c r="AC1280" i="33"/>
  <c r="AE1279" i="33"/>
  <c r="AL1192" i="33"/>
  <c r="AM1192" i="33" s="1"/>
  <c r="AF1279" i="33"/>
  <c r="AI47" i="33" s="1"/>
  <c r="AI53" i="33" s="1"/>
  <c r="AI55" i="33" s="1"/>
  <c r="AI59" i="33" s="1"/>
  <c r="AS1192" i="33"/>
  <c r="AT1192" i="33" s="1"/>
  <c r="AG1360" i="33"/>
  <c r="AG1359" i="33"/>
  <c r="AH925" i="33"/>
  <c r="AH924" i="33"/>
  <c r="AF1361" i="33"/>
  <c r="AP34" i="33" s="1"/>
  <c r="AD1362" i="33"/>
  <c r="AS1193" i="33"/>
  <c r="AQ1194" i="33"/>
  <c r="AQ1195" i="33" s="1"/>
  <c r="AC1473" i="33"/>
  <c r="AC1474" i="33" s="1"/>
  <c r="AE1472" i="33"/>
  <c r="AF1472" i="33" s="1"/>
  <c r="AF188" i="33"/>
  <c r="AF189" i="33" s="1"/>
  <c r="AC1363" i="33"/>
  <c r="C73" i="51" l="1"/>
  <c r="D73" i="51"/>
  <c r="H73" i="51" s="1"/>
  <c r="I73" i="51" s="1"/>
  <c r="B74" i="51" s="1"/>
  <c r="G74" i="51" s="1"/>
  <c r="D40" i="64"/>
  <c r="D41" i="64" s="1"/>
  <c r="E41" i="64" s="1"/>
  <c r="B41" i="64"/>
  <c r="B42" i="64" s="1"/>
  <c r="D39" i="64"/>
  <c r="E39" i="64" s="1"/>
  <c r="D39" i="60"/>
  <c r="E39" i="60"/>
  <c r="D39" i="59"/>
  <c r="E39" i="59" s="1"/>
  <c r="D40" i="57"/>
  <c r="B41" i="57"/>
  <c r="B42" i="57" s="1"/>
  <c r="D40" i="61"/>
  <c r="D41" i="61" s="1"/>
  <c r="E41" i="61" s="1"/>
  <c r="B41" i="61"/>
  <c r="B42" i="61" s="1"/>
  <c r="D40" i="59"/>
  <c r="B41" i="59"/>
  <c r="B42" i="59" s="1"/>
  <c r="D40" i="63"/>
  <c r="D41" i="63" s="1"/>
  <c r="B41" i="63"/>
  <c r="B42" i="63" s="1"/>
  <c r="D40" i="62"/>
  <c r="D41" i="62" s="1"/>
  <c r="B41" i="62"/>
  <c r="B42" i="62" s="1"/>
  <c r="D40" i="60"/>
  <c r="B41" i="60"/>
  <c r="B42" i="60" s="1"/>
  <c r="E43" i="63"/>
  <c r="E43" i="62"/>
  <c r="E43" i="61"/>
  <c r="D46" i="58"/>
  <c r="B47" i="58"/>
  <c r="B48" i="58" s="1"/>
  <c r="D45" i="58"/>
  <c r="E45" i="58" s="1"/>
  <c r="D44" i="56"/>
  <c r="B45" i="56"/>
  <c r="B46" i="56" s="1"/>
  <c r="D43" i="56"/>
  <c r="E43" i="56" s="1"/>
  <c r="C73" i="54"/>
  <c r="D73" i="54"/>
  <c r="H73" i="54" s="1"/>
  <c r="I73" i="54" s="1"/>
  <c r="B74" i="54" s="1"/>
  <c r="C72" i="55"/>
  <c r="D72" i="55"/>
  <c r="H72" i="55" s="1"/>
  <c r="I72" i="55" s="1"/>
  <c r="B73" i="55" s="1"/>
  <c r="H73" i="50"/>
  <c r="I73" i="50" s="1"/>
  <c r="B74" i="50" s="1"/>
  <c r="C47" i="55"/>
  <c r="I119" i="55"/>
  <c r="B120" i="55" s="1"/>
  <c r="H119" i="55"/>
  <c r="G119" i="55"/>
  <c r="D119" i="55"/>
  <c r="C119" i="55"/>
  <c r="H71" i="52"/>
  <c r="I71" i="52" s="1"/>
  <c r="B72" i="52" s="1"/>
  <c r="D72" i="52" s="1"/>
  <c r="C48" i="54"/>
  <c r="I119" i="54"/>
  <c r="B120" i="54" s="1"/>
  <c r="D119" i="54"/>
  <c r="C119" i="54"/>
  <c r="H119" i="54"/>
  <c r="G119" i="54"/>
  <c r="C119" i="53"/>
  <c r="I119" i="53"/>
  <c r="B120" i="53" s="1"/>
  <c r="G119" i="53"/>
  <c r="D119" i="53"/>
  <c r="H119" i="53"/>
  <c r="C47" i="53"/>
  <c r="H72" i="48"/>
  <c r="I72" i="48" s="1"/>
  <c r="B73" i="48" s="1"/>
  <c r="C73" i="48" s="1"/>
  <c r="D73" i="53"/>
  <c r="C73" i="53"/>
  <c r="G73" i="53"/>
  <c r="H73" i="53" s="1"/>
  <c r="I73" i="53" s="1"/>
  <c r="B74" i="53" s="1"/>
  <c r="C47" i="52"/>
  <c r="C119" i="52"/>
  <c r="I119" i="52"/>
  <c r="B120" i="52" s="1"/>
  <c r="H119" i="52"/>
  <c r="D119" i="52"/>
  <c r="G119" i="52"/>
  <c r="C119" i="51"/>
  <c r="D119" i="51"/>
  <c r="I119" i="51"/>
  <c r="B120" i="51" s="1"/>
  <c r="H119" i="51"/>
  <c r="G119" i="51"/>
  <c r="C47" i="51"/>
  <c r="I118" i="50"/>
  <c r="B119" i="50" s="1"/>
  <c r="H118" i="50"/>
  <c r="G118" i="50"/>
  <c r="D118" i="50"/>
  <c r="C118" i="50"/>
  <c r="C47" i="50"/>
  <c r="C50" i="49"/>
  <c r="G73" i="49"/>
  <c r="D73" i="49"/>
  <c r="C73" i="49"/>
  <c r="C118" i="49"/>
  <c r="I118" i="49"/>
  <c r="B119" i="49" s="1"/>
  <c r="G118" i="49"/>
  <c r="H118" i="49"/>
  <c r="D118" i="49"/>
  <c r="C47" i="48"/>
  <c r="G118" i="48"/>
  <c r="D118" i="48"/>
  <c r="H118" i="48"/>
  <c r="C118" i="48"/>
  <c r="I118" i="48"/>
  <c r="B119" i="48" s="1"/>
  <c r="C118" i="47"/>
  <c r="I118" i="47"/>
  <c r="B119" i="47" s="1"/>
  <c r="H118" i="47"/>
  <c r="G118" i="47"/>
  <c r="D118" i="47"/>
  <c r="C47" i="47"/>
  <c r="G72" i="47"/>
  <c r="D72" i="47"/>
  <c r="C72" i="47"/>
  <c r="H72" i="35"/>
  <c r="I72" i="35" s="1"/>
  <c r="B73" i="35" s="1"/>
  <c r="D73" i="35" s="1"/>
  <c r="D44" i="36"/>
  <c r="B45" i="36"/>
  <c r="B46" i="36" s="1"/>
  <c r="D43" i="36"/>
  <c r="E43" i="36" s="1"/>
  <c r="C48" i="35"/>
  <c r="X143" i="33"/>
  <c r="W144" i="33"/>
  <c r="AH927" i="33"/>
  <c r="AH928" i="33" s="1"/>
  <c r="AH926" i="33"/>
  <c r="AC1475" i="33"/>
  <c r="AC1476" i="33" s="1"/>
  <c r="AE1476" i="33" s="1"/>
  <c r="AE1474" i="33"/>
  <c r="AF1474" i="33" s="1"/>
  <c r="AE1280" i="33"/>
  <c r="AC1281" i="33"/>
  <c r="AS1194" i="33"/>
  <c r="AT1194" i="33"/>
  <c r="AL1194" i="33"/>
  <c r="AM1194" i="33"/>
  <c r="AQ1196" i="33"/>
  <c r="AS1195" i="33"/>
  <c r="AG1362" i="33"/>
  <c r="AG1363" i="33" s="1"/>
  <c r="AG1361" i="33"/>
  <c r="AG927" i="33"/>
  <c r="AG928" i="33" s="1"/>
  <c r="AG926" i="33"/>
  <c r="AL1195" i="33"/>
  <c r="AJ1196" i="33"/>
  <c r="AF1363" i="33"/>
  <c r="AD1366" i="33"/>
  <c r="AC342" i="33"/>
  <c r="AE341" i="33"/>
  <c r="AF341" i="33" s="1"/>
  <c r="C74" i="51" l="1"/>
  <c r="D74" i="51"/>
  <c r="H74" i="51" s="1"/>
  <c r="I74" i="51" s="1"/>
  <c r="B75" i="51" s="1"/>
  <c r="G75" i="51" s="1"/>
  <c r="D42" i="64"/>
  <c r="B43" i="64"/>
  <c r="B44" i="64" s="1"/>
  <c r="D41" i="60"/>
  <c r="E41" i="60"/>
  <c r="D41" i="59"/>
  <c r="E41" i="59" s="1"/>
  <c r="D41" i="57"/>
  <c r="E41" i="57" s="1"/>
  <c r="D42" i="59"/>
  <c r="B43" i="59"/>
  <c r="B44" i="59" s="1"/>
  <c r="B43" i="60"/>
  <c r="B44" i="60" s="1"/>
  <c r="D42" i="60"/>
  <c r="D42" i="61"/>
  <c r="D43" i="61" s="1"/>
  <c r="B43" i="61"/>
  <c r="B44" i="61" s="1"/>
  <c r="B43" i="63"/>
  <c r="B44" i="63" s="1"/>
  <c r="D42" i="63"/>
  <c r="D43" i="63" s="1"/>
  <c r="D42" i="62"/>
  <c r="D43" i="62" s="1"/>
  <c r="B43" i="62"/>
  <c r="B44" i="62" s="1"/>
  <c r="B43" i="57"/>
  <c r="B44" i="57" s="1"/>
  <c r="D42" i="57"/>
  <c r="D43" i="57" s="1"/>
  <c r="E43" i="57" s="1"/>
  <c r="E45" i="63"/>
  <c r="E45" i="62"/>
  <c r="E45" i="61"/>
  <c r="D48" i="58"/>
  <c r="B49" i="58"/>
  <c r="B50" i="58" s="1"/>
  <c r="D47" i="58"/>
  <c r="E47" i="58" s="1"/>
  <c r="D46" i="56"/>
  <c r="B47" i="56"/>
  <c r="B48" i="56" s="1"/>
  <c r="D45" i="56"/>
  <c r="E45" i="56" s="1"/>
  <c r="D73" i="48"/>
  <c r="G73" i="48"/>
  <c r="G72" i="52"/>
  <c r="H72" i="52" s="1"/>
  <c r="C72" i="52"/>
  <c r="C120" i="55"/>
  <c r="I120" i="55"/>
  <c r="B121" i="55" s="1"/>
  <c r="H120" i="55"/>
  <c r="G120" i="55"/>
  <c r="D120" i="55"/>
  <c r="C48" i="55"/>
  <c r="C73" i="55"/>
  <c r="D73" i="55"/>
  <c r="G73" i="55"/>
  <c r="D120" i="54"/>
  <c r="C120" i="54"/>
  <c r="H120" i="54"/>
  <c r="I120" i="54"/>
  <c r="B121" i="54" s="1"/>
  <c r="G120" i="54"/>
  <c r="C49" i="54"/>
  <c r="G74" i="54"/>
  <c r="D74" i="54"/>
  <c r="H74" i="54" s="1"/>
  <c r="I74" i="54" s="1"/>
  <c r="B75" i="54" s="1"/>
  <c r="C74" i="54"/>
  <c r="G74" i="53"/>
  <c r="D74" i="53"/>
  <c r="H74" i="53" s="1"/>
  <c r="C74" i="53"/>
  <c r="C48" i="53"/>
  <c r="G120" i="53"/>
  <c r="D120" i="53"/>
  <c r="C120" i="53"/>
  <c r="I120" i="53"/>
  <c r="B121" i="53" s="1"/>
  <c r="H120" i="53"/>
  <c r="C48" i="52"/>
  <c r="G120" i="52"/>
  <c r="D120" i="52"/>
  <c r="C120" i="52"/>
  <c r="I120" i="52"/>
  <c r="B121" i="52" s="1"/>
  <c r="H120" i="52"/>
  <c r="C48" i="51"/>
  <c r="D120" i="51"/>
  <c r="C120" i="51"/>
  <c r="G120" i="51"/>
  <c r="I120" i="51"/>
  <c r="B121" i="51" s="1"/>
  <c r="H120" i="51"/>
  <c r="H73" i="49"/>
  <c r="I73" i="49" s="1"/>
  <c r="B74" i="49" s="1"/>
  <c r="G74" i="49" s="1"/>
  <c r="C48" i="50"/>
  <c r="G74" i="50"/>
  <c r="D74" i="50"/>
  <c r="C74" i="50"/>
  <c r="C119" i="50"/>
  <c r="I119" i="50"/>
  <c r="B120" i="50" s="1"/>
  <c r="H119" i="50"/>
  <c r="G119" i="50"/>
  <c r="D119" i="50"/>
  <c r="H72" i="47"/>
  <c r="I72" i="47" s="1"/>
  <c r="B73" i="47" s="1"/>
  <c r="C73" i="47" s="1"/>
  <c r="G119" i="49"/>
  <c r="D119" i="49"/>
  <c r="C119" i="49"/>
  <c r="I119" i="49"/>
  <c r="B120" i="49" s="1"/>
  <c r="H119" i="49"/>
  <c r="C51" i="49"/>
  <c r="C48" i="48"/>
  <c r="I119" i="48"/>
  <c r="B120" i="48" s="1"/>
  <c r="H119" i="48"/>
  <c r="G119" i="48"/>
  <c r="D119" i="48"/>
  <c r="C119" i="48"/>
  <c r="G119" i="47"/>
  <c r="H119" i="47"/>
  <c r="D119" i="47"/>
  <c r="C119" i="47"/>
  <c r="I119" i="47"/>
  <c r="B120" i="47" s="1"/>
  <c r="C48" i="47"/>
  <c r="G73" i="35"/>
  <c r="H73" i="35" s="1"/>
  <c r="I73" i="35" s="1"/>
  <c r="B74" i="35" s="1"/>
  <c r="C73" i="35"/>
  <c r="D46" i="36"/>
  <c r="B47" i="36"/>
  <c r="B48" i="36" s="1"/>
  <c r="D45" i="36"/>
  <c r="E45" i="36" s="1"/>
  <c r="C49" i="35"/>
  <c r="AJ341" i="33"/>
  <c r="AH341" i="33"/>
  <c r="AS1196" i="33"/>
  <c r="AT1196" i="33" s="1"/>
  <c r="AF1476" i="33"/>
  <c r="AF1477" i="33" s="1"/>
  <c r="AF1478" i="33" s="1"/>
  <c r="AE1477" i="33"/>
  <c r="AL1196" i="33"/>
  <c r="AM1196" i="33"/>
  <c r="AQ34" i="33"/>
  <c r="AF1366" i="33"/>
  <c r="W145" i="33"/>
  <c r="X145" i="33" s="1"/>
  <c r="X144" i="33"/>
  <c r="AC1282" i="33"/>
  <c r="AE1281" i="33"/>
  <c r="AF1281" i="33" s="1"/>
  <c r="AJ47" i="33" s="1"/>
  <c r="AJ53" i="33" s="1"/>
  <c r="AJ55" i="33" s="1"/>
  <c r="AJ59" i="33" s="1"/>
  <c r="AE342" i="33"/>
  <c r="AC343" i="33"/>
  <c r="H73" i="48" l="1"/>
  <c r="I73" i="48" s="1"/>
  <c r="B74" i="48" s="1"/>
  <c r="G74" i="48" s="1"/>
  <c r="D44" i="64"/>
  <c r="D45" i="64" s="1"/>
  <c r="E45" i="64" s="1"/>
  <c r="B45" i="64"/>
  <c r="B46" i="64" s="1"/>
  <c r="D43" i="64"/>
  <c r="E43" i="64"/>
  <c r="D43" i="60"/>
  <c r="E43" i="60"/>
  <c r="D43" i="59"/>
  <c r="E43" i="59" s="1"/>
  <c r="D44" i="63"/>
  <c r="D45" i="63" s="1"/>
  <c r="B45" i="63"/>
  <c r="B46" i="63" s="1"/>
  <c r="D44" i="61"/>
  <c r="D45" i="61" s="1"/>
  <c r="B45" i="61"/>
  <c r="B46" i="61" s="1"/>
  <c r="B45" i="57"/>
  <c r="B46" i="57" s="1"/>
  <c r="D44" i="57"/>
  <c r="D45" i="57" s="1"/>
  <c r="E45" i="57" s="1"/>
  <c r="D44" i="60"/>
  <c r="B45" i="60"/>
  <c r="B46" i="60" s="1"/>
  <c r="D44" i="62"/>
  <c r="D45" i="62" s="1"/>
  <c r="B45" i="62"/>
  <c r="B46" i="62" s="1"/>
  <c r="D44" i="59"/>
  <c r="D45" i="59" s="1"/>
  <c r="E45" i="59" s="1"/>
  <c r="B45" i="59"/>
  <c r="B46" i="59" s="1"/>
  <c r="E47" i="63"/>
  <c r="E47" i="62"/>
  <c r="E47" i="61"/>
  <c r="D50" i="58"/>
  <c r="B51" i="58"/>
  <c r="B52" i="58" s="1"/>
  <c r="D49" i="58"/>
  <c r="E49" i="58" s="1"/>
  <c r="D48" i="56"/>
  <c r="B49" i="56"/>
  <c r="B50" i="56" s="1"/>
  <c r="D47" i="56"/>
  <c r="E47" i="56" s="1"/>
  <c r="H73" i="55"/>
  <c r="I73" i="55" s="1"/>
  <c r="B74" i="55" s="1"/>
  <c r="C75" i="51"/>
  <c r="G121" i="55"/>
  <c r="D121" i="55"/>
  <c r="C121" i="55"/>
  <c r="I121" i="55"/>
  <c r="B122" i="55" s="1"/>
  <c r="H121" i="55"/>
  <c r="D73" i="47"/>
  <c r="C49" i="55"/>
  <c r="C75" i="54"/>
  <c r="G75" i="54"/>
  <c r="D75" i="54"/>
  <c r="H121" i="54"/>
  <c r="G121" i="54"/>
  <c r="D121" i="54"/>
  <c r="C121" i="54"/>
  <c r="I121" i="54"/>
  <c r="B122" i="54" s="1"/>
  <c r="C50" i="54"/>
  <c r="I74" i="53"/>
  <c r="B75" i="53" s="1"/>
  <c r="D75" i="51"/>
  <c r="H75" i="51" s="1"/>
  <c r="I75" i="51" s="1"/>
  <c r="B76" i="51" s="1"/>
  <c r="I121" i="53"/>
  <c r="B122" i="53" s="1"/>
  <c r="H121" i="53"/>
  <c r="G121" i="53"/>
  <c r="D121" i="53"/>
  <c r="C121" i="53"/>
  <c r="C49" i="53"/>
  <c r="I121" i="52"/>
  <c r="B122" i="52" s="1"/>
  <c r="H121" i="52"/>
  <c r="G121" i="52"/>
  <c r="D121" i="52"/>
  <c r="C121" i="52"/>
  <c r="C49" i="52"/>
  <c r="I72" i="52"/>
  <c r="B73" i="52" s="1"/>
  <c r="C49" i="51"/>
  <c r="H121" i="51"/>
  <c r="G121" i="51"/>
  <c r="I121" i="51"/>
  <c r="B122" i="51" s="1"/>
  <c r="D121" i="51"/>
  <c r="C121" i="51"/>
  <c r="D74" i="49"/>
  <c r="H74" i="49" s="1"/>
  <c r="I74" i="49" s="1"/>
  <c r="B75" i="49" s="1"/>
  <c r="C74" i="49"/>
  <c r="H74" i="50"/>
  <c r="G73" i="47"/>
  <c r="G120" i="50"/>
  <c r="D120" i="50"/>
  <c r="C120" i="50"/>
  <c r="I120" i="50"/>
  <c r="B121" i="50" s="1"/>
  <c r="H120" i="50"/>
  <c r="C49" i="50"/>
  <c r="I120" i="49"/>
  <c r="B121" i="49" s="1"/>
  <c r="H120" i="49"/>
  <c r="G120" i="49"/>
  <c r="D120" i="49"/>
  <c r="C120" i="49"/>
  <c r="C52" i="49"/>
  <c r="I120" i="48"/>
  <c r="B121" i="48" s="1"/>
  <c r="H120" i="48"/>
  <c r="G120" i="48"/>
  <c r="D120" i="48"/>
  <c r="C120" i="48"/>
  <c r="C49" i="48"/>
  <c r="I120" i="47"/>
  <c r="B121" i="47" s="1"/>
  <c r="C120" i="47"/>
  <c r="G120" i="47"/>
  <c r="H120" i="47"/>
  <c r="D120" i="47"/>
  <c r="C49" i="47"/>
  <c r="D48" i="36"/>
  <c r="B49" i="36"/>
  <c r="B50" i="36" s="1"/>
  <c r="D47" i="36"/>
  <c r="E47" i="36" s="1"/>
  <c r="C50" i="35"/>
  <c r="G74" i="35"/>
  <c r="D74" i="35"/>
  <c r="C74" i="35"/>
  <c r="AC344" i="33"/>
  <c r="AE343" i="33"/>
  <c r="AF343" i="33" s="1"/>
  <c r="AC1283" i="33"/>
  <c r="AE1282" i="33"/>
  <c r="C74" i="48" l="1"/>
  <c r="D74" i="48"/>
  <c r="H74" i="48" s="1"/>
  <c r="I74" i="48" s="1"/>
  <c r="B75" i="48" s="1"/>
  <c r="C75" i="48" s="1"/>
  <c r="B47" i="64"/>
  <c r="B48" i="64" s="1"/>
  <c r="D46" i="64"/>
  <c r="D45" i="60"/>
  <c r="E45" i="60" s="1"/>
  <c r="D46" i="60"/>
  <c r="B47" i="60"/>
  <c r="B48" i="60" s="1"/>
  <c r="B47" i="57"/>
  <c r="B48" i="57" s="1"/>
  <c r="D46" i="57"/>
  <c r="B47" i="59"/>
  <c r="B48" i="59" s="1"/>
  <c r="D46" i="59"/>
  <c r="B47" i="61"/>
  <c r="B48" i="61" s="1"/>
  <c r="D46" i="61"/>
  <c r="D47" i="61" s="1"/>
  <c r="D46" i="62"/>
  <c r="D47" i="62" s="1"/>
  <c r="B47" i="62"/>
  <c r="B48" i="62" s="1"/>
  <c r="D46" i="63"/>
  <c r="D47" i="63" s="1"/>
  <c r="B47" i="63"/>
  <c r="B48" i="63" s="1"/>
  <c r="E49" i="64"/>
  <c r="E49" i="63"/>
  <c r="E49" i="62"/>
  <c r="E49" i="61"/>
  <c r="E49" i="60"/>
  <c r="D52" i="58"/>
  <c r="B53" i="58"/>
  <c r="B54" i="58" s="1"/>
  <c r="D51" i="58"/>
  <c r="E51" i="58" s="1"/>
  <c r="D50" i="56"/>
  <c r="B51" i="56"/>
  <c r="B52" i="56" s="1"/>
  <c r="D49" i="56"/>
  <c r="E49" i="56" s="1"/>
  <c r="H73" i="47"/>
  <c r="I73" i="47" s="1"/>
  <c r="B74" i="47" s="1"/>
  <c r="G74" i="47" s="1"/>
  <c r="C50" i="55"/>
  <c r="H75" i="54"/>
  <c r="I75" i="54" s="1"/>
  <c r="B76" i="54" s="1"/>
  <c r="I122" i="55"/>
  <c r="B123" i="55" s="1"/>
  <c r="H122" i="55"/>
  <c r="G122" i="55"/>
  <c r="D122" i="55"/>
  <c r="C122" i="55"/>
  <c r="G74" i="55"/>
  <c r="D74" i="55"/>
  <c r="C74" i="55"/>
  <c r="C51" i="54"/>
  <c r="I122" i="54"/>
  <c r="B123" i="54" s="1"/>
  <c r="H122" i="54"/>
  <c r="G122" i="54"/>
  <c r="D122" i="54"/>
  <c r="C122" i="54"/>
  <c r="I122" i="53"/>
  <c r="B123" i="53" s="1"/>
  <c r="H122" i="53"/>
  <c r="G122" i="53"/>
  <c r="C122" i="53"/>
  <c r="D122" i="53"/>
  <c r="C50" i="53"/>
  <c r="G75" i="53"/>
  <c r="D75" i="53"/>
  <c r="C75" i="53"/>
  <c r="G73" i="52"/>
  <c r="D73" i="52"/>
  <c r="C73" i="52"/>
  <c r="C50" i="52"/>
  <c r="I122" i="52"/>
  <c r="B123" i="52" s="1"/>
  <c r="H122" i="52"/>
  <c r="G122" i="52"/>
  <c r="D122" i="52"/>
  <c r="C122" i="52"/>
  <c r="C50" i="51"/>
  <c r="I122" i="51"/>
  <c r="B123" i="51" s="1"/>
  <c r="H122" i="51"/>
  <c r="G122" i="51"/>
  <c r="D122" i="51"/>
  <c r="C122" i="51"/>
  <c r="C76" i="51"/>
  <c r="D76" i="51"/>
  <c r="G76" i="51"/>
  <c r="I121" i="50"/>
  <c r="B122" i="50" s="1"/>
  <c r="H121" i="50"/>
  <c r="G121" i="50"/>
  <c r="D121" i="50"/>
  <c r="C121" i="50"/>
  <c r="C50" i="50"/>
  <c r="I74" i="50"/>
  <c r="B75" i="50" s="1"/>
  <c r="I121" i="49"/>
  <c r="B122" i="49" s="1"/>
  <c r="H121" i="49"/>
  <c r="G121" i="49"/>
  <c r="C121" i="49"/>
  <c r="D121" i="49"/>
  <c r="C53" i="49"/>
  <c r="D75" i="49"/>
  <c r="C75" i="49"/>
  <c r="G75" i="49"/>
  <c r="C50" i="48"/>
  <c r="C121" i="48"/>
  <c r="I121" i="48"/>
  <c r="B122" i="48" s="1"/>
  <c r="D121" i="48"/>
  <c r="H121" i="48"/>
  <c r="G121" i="48"/>
  <c r="G121" i="47"/>
  <c r="D121" i="47"/>
  <c r="C121" i="47"/>
  <c r="I121" i="47"/>
  <c r="B122" i="47" s="1"/>
  <c r="H121" i="47"/>
  <c r="C50" i="47"/>
  <c r="H74" i="35"/>
  <c r="I74" i="35" s="1"/>
  <c r="B75" i="35" s="1"/>
  <c r="D75" i="35" s="1"/>
  <c r="D50" i="36"/>
  <c r="B51" i="36"/>
  <c r="B52" i="36" s="1"/>
  <c r="D49" i="36"/>
  <c r="E49" i="36" s="1"/>
  <c r="C51" i="35"/>
  <c r="AH343" i="33"/>
  <c r="AJ343" i="33"/>
  <c r="AC1284" i="33"/>
  <c r="AE1283" i="33"/>
  <c r="AF1283" i="33" s="1"/>
  <c r="AK47" i="33" s="1"/>
  <c r="AK53" i="33" s="1"/>
  <c r="AK55" i="33" s="1"/>
  <c r="AK59" i="33" s="1"/>
  <c r="AC345" i="33"/>
  <c r="AE344" i="33"/>
  <c r="D75" i="48" l="1"/>
  <c r="G75" i="48"/>
  <c r="D47" i="64"/>
  <c r="E47" i="64" s="1"/>
  <c r="D48" i="64"/>
  <c r="D49" i="64" s="1"/>
  <c r="B49" i="64"/>
  <c r="B50" i="64" s="1"/>
  <c r="D47" i="60"/>
  <c r="E47" i="60"/>
  <c r="D47" i="59"/>
  <c r="E47" i="59" s="1"/>
  <c r="D47" i="57"/>
  <c r="E47" i="57"/>
  <c r="D48" i="61"/>
  <c r="D49" i="61" s="1"/>
  <c r="B49" i="61"/>
  <c r="B50" i="61" s="1"/>
  <c r="D48" i="59"/>
  <c r="B49" i="59"/>
  <c r="B50" i="59" s="1"/>
  <c r="D48" i="63"/>
  <c r="D49" i="63" s="1"/>
  <c r="B49" i="63"/>
  <c r="B50" i="63" s="1"/>
  <c r="D48" i="57"/>
  <c r="B49" i="57"/>
  <c r="B50" i="57" s="1"/>
  <c r="D48" i="62"/>
  <c r="D49" i="62" s="1"/>
  <c r="B49" i="62"/>
  <c r="B50" i="62" s="1"/>
  <c r="D48" i="60"/>
  <c r="D49" i="60" s="1"/>
  <c r="B49" i="60"/>
  <c r="B50" i="60" s="1"/>
  <c r="E51" i="64"/>
  <c r="E51" i="63"/>
  <c r="E51" i="62"/>
  <c r="E51" i="61"/>
  <c r="E51" i="60"/>
  <c r="D54" i="58"/>
  <c r="B55" i="58"/>
  <c r="B56" i="58" s="1"/>
  <c r="D53" i="58"/>
  <c r="E53" i="58" s="1"/>
  <c r="D52" i="56"/>
  <c r="B53" i="56"/>
  <c r="B54" i="56" s="1"/>
  <c r="D51" i="56"/>
  <c r="E51" i="56"/>
  <c r="C74" i="47"/>
  <c r="D74" i="47"/>
  <c r="H74" i="47" s="1"/>
  <c r="I74" i="47" s="1"/>
  <c r="B75" i="47" s="1"/>
  <c r="C75" i="47" s="1"/>
  <c r="H74" i="55"/>
  <c r="I74" i="55" s="1"/>
  <c r="B75" i="55" s="1"/>
  <c r="I123" i="55"/>
  <c r="B124" i="55" s="1"/>
  <c r="H123" i="55"/>
  <c r="G123" i="55"/>
  <c r="D123" i="55"/>
  <c r="C123" i="55"/>
  <c r="C51" i="55"/>
  <c r="C52" i="54"/>
  <c r="I123" i="54"/>
  <c r="B124" i="54" s="1"/>
  <c r="D123" i="54"/>
  <c r="C123" i="54"/>
  <c r="H123" i="54"/>
  <c r="G123" i="54"/>
  <c r="C76" i="54"/>
  <c r="G76" i="54"/>
  <c r="D76" i="54"/>
  <c r="H75" i="53"/>
  <c r="I75" i="53" s="1"/>
  <c r="B76" i="53" s="1"/>
  <c r="C51" i="53"/>
  <c r="H73" i="52"/>
  <c r="I73" i="52" s="1"/>
  <c r="B74" i="52" s="1"/>
  <c r="C123" i="53"/>
  <c r="I123" i="53"/>
  <c r="B124" i="53" s="1"/>
  <c r="G123" i="53"/>
  <c r="D123" i="53"/>
  <c r="H123" i="53"/>
  <c r="H76" i="51"/>
  <c r="I76" i="51" s="1"/>
  <c r="B77" i="51" s="1"/>
  <c r="C77" i="51" s="1"/>
  <c r="C123" i="52"/>
  <c r="I123" i="52"/>
  <c r="B124" i="52" s="1"/>
  <c r="H123" i="52"/>
  <c r="G123" i="52"/>
  <c r="D123" i="52"/>
  <c r="C51" i="52"/>
  <c r="D123" i="51"/>
  <c r="I123" i="51"/>
  <c r="B124" i="51" s="1"/>
  <c r="H123" i="51"/>
  <c r="G123" i="51"/>
  <c r="C123" i="51"/>
  <c r="C51" i="51"/>
  <c r="H75" i="48"/>
  <c r="I75" i="48" s="1"/>
  <c r="B76" i="48" s="1"/>
  <c r="G76" i="48" s="1"/>
  <c r="H75" i="49"/>
  <c r="I75" i="49" s="1"/>
  <c r="B76" i="49" s="1"/>
  <c r="G75" i="50"/>
  <c r="D75" i="50"/>
  <c r="C75" i="50"/>
  <c r="C51" i="50"/>
  <c r="I122" i="50"/>
  <c r="B123" i="50" s="1"/>
  <c r="H122" i="50"/>
  <c r="G122" i="50"/>
  <c r="D122" i="50"/>
  <c r="C122" i="50"/>
  <c r="C54" i="49"/>
  <c r="C122" i="49"/>
  <c r="I122" i="49"/>
  <c r="B123" i="49" s="1"/>
  <c r="G122" i="49"/>
  <c r="H122" i="49"/>
  <c r="D122" i="49"/>
  <c r="C51" i="48"/>
  <c r="G122" i="48"/>
  <c r="H122" i="48"/>
  <c r="D122" i="48"/>
  <c r="C122" i="48"/>
  <c r="I122" i="48"/>
  <c r="B123" i="48" s="1"/>
  <c r="C51" i="47"/>
  <c r="C122" i="47"/>
  <c r="I122" i="47"/>
  <c r="B123" i="47" s="1"/>
  <c r="H122" i="47"/>
  <c r="D122" i="47"/>
  <c r="G122" i="47"/>
  <c r="C75" i="35"/>
  <c r="G75" i="35"/>
  <c r="H75" i="35" s="1"/>
  <c r="I75" i="35" s="1"/>
  <c r="B76" i="35" s="1"/>
  <c r="D52" i="36"/>
  <c r="B53" i="36"/>
  <c r="B54" i="36" s="1"/>
  <c r="D51" i="36"/>
  <c r="E51" i="36" s="1"/>
  <c r="C52" i="35"/>
  <c r="AE345" i="33"/>
  <c r="AF345" i="33" s="1"/>
  <c r="AC346" i="33"/>
  <c r="AC1285" i="33"/>
  <c r="AE1284" i="33"/>
  <c r="B51" i="64" l="1"/>
  <c r="B52" i="64" s="1"/>
  <c r="D50" i="64"/>
  <c r="D51" i="64" s="1"/>
  <c r="D49" i="59"/>
  <c r="E49" i="59"/>
  <c r="D49" i="57"/>
  <c r="E49" i="57"/>
  <c r="D50" i="63"/>
  <c r="D51" i="63" s="1"/>
  <c r="B51" i="63"/>
  <c r="B52" i="63" s="1"/>
  <c r="B51" i="60"/>
  <c r="B52" i="60" s="1"/>
  <c r="D50" i="60"/>
  <c r="D51" i="60" s="1"/>
  <c r="D50" i="59"/>
  <c r="B51" i="59"/>
  <c r="B52" i="59" s="1"/>
  <c r="B51" i="57"/>
  <c r="B52" i="57" s="1"/>
  <c r="D50" i="57"/>
  <c r="D50" i="62"/>
  <c r="D51" i="62" s="1"/>
  <c r="B51" i="62"/>
  <c r="B52" i="62" s="1"/>
  <c r="D50" i="61"/>
  <c r="D51" i="61" s="1"/>
  <c r="B51" i="61"/>
  <c r="B52" i="61" s="1"/>
  <c r="E53" i="64"/>
  <c r="E53" i="63"/>
  <c r="E53" i="62"/>
  <c r="E53" i="61"/>
  <c r="E53" i="60"/>
  <c r="D56" i="58"/>
  <c r="B57" i="58"/>
  <c r="B58" i="58" s="1"/>
  <c r="D55" i="58"/>
  <c r="E55" i="58" s="1"/>
  <c r="D54" i="56"/>
  <c r="B55" i="56"/>
  <c r="B56" i="56" s="1"/>
  <c r="D53" i="56"/>
  <c r="E53" i="56"/>
  <c r="C76" i="48"/>
  <c r="D77" i="51"/>
  <c r="H76" i="54"/>
  <c r="I76" i="54" s="1"/>
  <c r="B77" i="54" s="1"/>
  <c r="G77" i="54" s="1"/>
  <c r="C124" i="55"/>
  <c r="I124" i="55"/>
  <c r="B125" i="55" s="1"/>
  <c r="H124" i="55"/>
  <c r="G124" i="55"/>
  <c r="D124" i="55"/>
  <c r="C52" i="55"/>
  <c r="G75" i="55"/>
  <c r="D75" i="55"/>
  <c r="C75" i="55"/>
  <c r="D124" i="54"/>
  <c r="C124" i="54"/>
  <c r="H124" i="54"/>
  <c r="I124" i="54"/>
  <c r="B125" i="54" s="1"/>
  <c r="G124" i="54"/>
  <c r="G77" i="51"/>
  <c r="C53" i="54"/>
  <c r="G124" i="53"/>
  <c r="D124" i="53"/>
  <c r="C124" i="53"/>
  <c r="I124" i="53"/>
  <c r="B125" i="53" s="1"/>
  <c r="H124" i="53"/>
  <c r="D76" i="48"/>
  <c r="H76" i="48" s="1"/>
  <c r="I76" i="48" s="1"/>
  <c r="B77" i="48" s="1"/>
  <c r="C52" i="53"/>
  <c r="G76" i="53"/>
  <c r="D76" i="53"/>
  <c r="C76" i="53"/>
  <c r="C52" i="52"/>
  <c r="G124" i="52"/>
  <c r="D124" i="52"/>
  <c r="C124" i="52"/>
  <c r="H124" i="52"/>
  <c r="I124" i="52"/>
  <c r="B125" i="52" s="1"/>
  <c r="G74" i="52"/>
  <c r="D74" i="52"/>
  <c r="C74" i="52"/>
  <c r="C52" i="51"/>
  <c r="H75" i="50"/>
  <c r="I75" i="50" s="1"/>
  <c r="B76" i="50" s="1"/>
  <c r="I124" i="51"/>
  <c r="B125" i="51" s="1"/>
  <c r="H124" i="51"/>
  <c r="G124" i="51"/>
  <c r="D124" i="51"/>
  <c r="C124" i="51"/>
  <c r="D75" i="47"/>
  <c r="G75" i="47"/>
  <c r="C123" i="50"/>
  <c r="I123" i="50"/>
  <c r="B124" i="50" s="1"/>
  <c r="H123" i="50"/>
  <c r="G123" i="50"/>
  <c r="D123" i="50"/>
  <c r="C52" i="50"/>
  <c r="G123" i="49"/>
  <c r="D123" i="49"/>
  <c r="C123" i="49"/>
  <c r="I123" i="49"/>
  <c r="B124" i="49" s="1"/>
  <c r="H123" i="49"/>
  <c r="C55" i="49"/>
  <c r="D76" i="49"/>
  <c r="C76" i="49"/>
  <c r="G76" i="49"/>
  <c r="I123" i="48"/>
  <c r="B124" i="48" s="1"/>
  <c r="H123" i="48"/>
  <c r="G123" i="48"/>
  <c r="D123" i="48"/>
  <c r="C123" i="48"/>
  <c r="C52" i="48"/>
  <c r="G123" i="47"/>
  <c r="C123" i="47"/>
  <c r="D123" i="47"/>
  <c r="I123" i="47"/>
  <c r="B124" i="47" s="1"/>
  <c r="H123" i="47"/>
  <c r="C52" i="47"/>
  <c r="D54" i="36"/>
  <c r="B55" i="36"/>
  <c r="B56" i="36" s="1"/>
  <c r="D53" i="36"/>
  <c r="E53" i="36" s="1"/>
  <c r="C53" i="35"/>
  <c r="G76" i="35"/>
  <c r="D76" i="35"/>
  <c r="C76" i="35"/>
  <c r="AH345" i="33"/>
  <c r="AJ345" i="33"/>
  <c r="AC1286" i="33"/>
  <c r="AE1285" i="33"/>
  <c r="AF1285" i="33" s="1"/>
  <c r="AL47" i="33" s="1"/>
  <c r="AL53" i="33" s="1"/>
  <c r="AL55" i="33" s="1"/>
  <c r="AL59" i="33" s="1"/>
  <c r="AC347" i="33"/>
  <c r="AE346" i="33"/>
  <c r="H77" i="51" l="1"/>
  <c r="I77" i="51" s="1"/>
  <c r="B78" i="51" s="1"/>
  <c r="D78" i="51" s="1"/>
  <c r="H75" i="55"/>
  <c r="I75" i="55" s="1"/>
  <c r="B76" i="55" s="1"/>
  <c r="G76" i="55" s="1"/>
  <c r="B53" i="64"/>
  <c r="B54" i="64" s="1"/>
  <c r="D52" i="64"/>
  <c r="D53" i="64" s="1"/>
  <c r="D51" i="59"/>
  <c r="E51" i="59" s="1"/>
  <c r="D51" i="57"/>
  <c r="E51" i="57" s="1"/>
  <c r="D57" i="58"/>
  <c r="E57" i="58"/>
  <c r="D52" i="57"/>
  <c r="B53" i="57"/>
  <c r="B54" i="57" s="1"/>
  <c r="D52" i="59"/>
  <c r="B53" i="59"/>
  <c r="B54" i="59" s="1"/>
  <c r="D52" i="61"/>
  <c r="D53" i="61" s="1"/>
  <c r="B53" i="61"/>
  <c r="B54" i="61" s="1"/>
  <c r="D52" i="60"/>
  <c r="D53" i="60" s="1"/>
  <c r="B53" i="60"/>
  <c r="B54" i="60" s="1"/>
  <c r="D52" i="62"/>
  <c r="D53" i="62" s="1"/>
  <c r="B53" i="62"/>
  <c r="B54" i="62" s="1"/>
  <c r="D52" i="63"/>
  <c r="D53" i="63" s="1"/>
  <c r="B53" i="63"/>
  <c r="B54" i="63" s="1"/>
  <c r="E55" i="64"/>
  <c r="E55" i="63"/>
  <c r="E70" i="63" s="1"/>
  <c r="E55" i="62"/>
  <c r="E70" i="62" s="1"/>
  <c r="E55" i="61"/>
  <c r="E70" i="61" s="1"/>
  <c r="E55" i="60"/>
  <c r="D58" i="58"/>
  <c r="B59" i="58"/>
  <c r="B60" i="58" s="1"/>
  <c r="D56" i="56"/>
  <c r="D57" i="56" s="1"/>
  <c r="B57" i="56"/>
  <c r="B58" i="56" s="1"/>
  <c r="D55" i="56"/>
  <c r="E55" i="56"/>
  <c r="E70" i="56" s="1"/>
  <c r="C77" i="54"/>
  <c r="D77" i="54"/>
  <c r="H77" i="54" s="1"/>
  <c r="I77" i="54" s="1"/>
  <c r="B78" i="54" s="1"/>
  <c r="C53" i="55"/>
  <c r="H74" i="52"/>
  <c r="I74" i="52" s="1"/>
  <c r="B75" i="52" s="1"/>
  <c r="C75" i="52" s="1"/>
  <c r="H76" i="49"/>
  <c r="I76" i="49" s="1"/>
  <c r="B77" i="49" s="1"/>
  <c r="G77" i="49" s="1"/>
  <c r="G125" i="55"/>
  <c r="D125" i="55"/>
  <c r="C125" i="55"/>
  <c r="I125" i="55"/>
  <c r="B126" i="55" s="1"/>
  <c r="H125" i="55"/>
  <c r="C54" i="54"/>
  <c r="H125" i="54"/>
  <c r="G125" i="54"/>
  <c r="D125" i="54"/>
  <c r="C125" i="54"/>
  <c r="I125" i="54"/>
  <c r="B126" i="54" s="1"/>
  <c r="H76" i="53"/>
  <c r="I76" i="53" s="1"/>
  <c r="B77" i="53" s="1"/>
  <c r="D77" i="53" s="1"/>
  <c r="I125" i="53"/>
  <c r="B126" i="53" s="1"/>
  <c r="H125" i="53"/>
  <c r="G125" i="53"/>
  <c r="D125" i="53"/>
  <c r="C125" i="53"/>
  <c r="C53" i="53"/>
  <c r="C53" i="52"/>
  <c r="I125" i="52"/>
  <c r="B126" i="52" s="1"/>
  <c r="H125" i="52"/>
  <c r="G125" i="52"/>
  <c r="D125" i="52"/>
  <c r="C125" i="52"/>
  <c r="H75" i="47"/>
  <c r="I75" i="47" s="1"/>
  <c r="B76" i="47" s="1"/>
  <c r="C76" i="47" s="1"/>
  <c r="I125" i="51"/>
  <c r="B126" i="51" s="1"/>
  <c r="H125" i="51"/>
  <c r="G125" i="51"/>
  <c r="D125" i="51"/>
  <c r="C125" i="51"/>
  <c r="C53" i="51"/>
  <c r="C53" i="50"/>
  <c r="G124" i="50"/>
  <c r="D124" i="50"/>
  <c r="C124" i="50"/>
  <c r="I124" i="50"/>
  <c r="B125" i="50" s="1"/>
  <c r="H124" i="50"/>
  <c r="D76" i="50"/>
  <c r="C76" i="50"/>
  <c r="G76" i="50"/>
  <c r="C56" i="49"/>
  <c r="I124" i="49"/>
  <c r="B125" i="49" s="1"/>
  <c r="H124" i="49"/>
  <c r="G124" i="49"/>
  <c r="D124" i="49"/>
  <c r="C124" i="49"/>
  <c r="C53" i="48"/>
  <c r="I124" i="48"/>
  <c r="B125" i="48" s="1"/>
  <c r="H124" i="48"/>
  <c r="G124" i="48"/>
  <c r="D124" i="48"/>
  <c r="C124" i="48"/>
  <c r="G77" i="48"/>
  <c r="D77" i="48"/>
  <c r="C77" i="48"/>
  <c r="C53" i="47"/>
  <c r="I124" i="47"/>
  <c r="B125" i="47" s="1"/>
  <c r="C124" i="47"/>
  <c r="H124" i="47"/>
  <c r="G124" i="47"/>
  <c r="D124" i="47"/>
  <c r="H76" i="35"/>
  <c r="I76" i="35" s="1"/>
  <c r="B77" i="35" s="1"/>
  <c r="G77" i="35" s="1"/>
  <c r="D56" i="36"/>
  <c r="B57" i="36"/>
  <c r="B58" i="36" s="1"/>
  <c r="D55" i="36"/>
  <c r="E55" i="36" s="1"/>
  <c r="C54" i="35"/>
  <c r="AE347" i="33"/>
  <c r="AF347" i="33" s="1"/>
  <c r="AC348" i="33"/>
  <c r="AE1286" i="33"/>
  <c r="AC1287" i="33"/>
  <c r="G78" i="51" l="1"/>
  <c r="H78" i="51" s="1"/>
  <c r="I78" i="51" s="1"/>
  <c r="B79" i="51" s="1"/>
  <c r="D79" i="51" s="1"/>
  <c r="C78" i="51"/>
  <c r="C76" i="55"/>
  <c r="D76" i="55"/>
  <c r="H76" i="55" s="1"/>
  <c r="D54" i="64"/>
  <c r="D55" i="64" s="1"/>
  <c r="B55" i="64"/>
  <c r="B56" i="64" s="1"/>
  <c r="D53" i="59"/>
  <c r="E53" i="59"/>
  <c r="D53" i="57"/>
  <c r="E53" i="57"/>
  <c r="D59" i="58"/>
  <c r="E59" i="58"/>
  <c r="B55" i="60"/>
  <c r="B56" i="60" s="1"/>
  <c r="D54" i="60"/>
  <c r="D55" i="60" s="1"/>
  <c r="D54" i="61"/>
  <c r="D55" i="61" s="1"/>
  <c r="B55" i="61"/>
  <c r="B56" i="61" s="1"/>
  <c r="B55" i="63"/>
  <c r="B56" i="63" s="1"/>
  <c r="D54" i="63"/>
  <c r="D55" i="63" s="1"/>
  <c r="B55" i="59"/>
  <c r="B56" i="59" s="1"/>
  <c r="D54" i="59"/>
  <c r="D54" i="62"/>
  <c r="D55" i="62" s="1"/>
  <c r="B55" i="62"/>
  <c r="B56" i="62" s="1"/>
  <c r="B55" i="57"/>
  <c r="B56" i="57" s="1"/>
  <c r="D54" i="57"/>
  <c r="E57" i="64"/>
  <c r="E57" i="60"/>
  <c r="E68" i="63"/>
  <c r="E68" i="62"/>
  <c r="E68" i="61"/>
  <c r="D60" i="58"/>
  <c r="B61" i="58"/>
  <c r="B62" i="58" s="1"/>
  <c r="E68" i="56"/>
  <c r="D58" i="56"/>
  <c r="D59" i="56" s="1"/>
  <c r="B59" i="56"/>
  <c r="B60" i="56" s="1"/>
  <c r="C77" i="49"/>
  <c r="D77" i="49"/>
  <c r="H77" i="49" s="1"/>
  <c r="I77" i="49" s="1"/>
  <c r="B78" i="49" s="1"/>
  <c r="D75" i="52"/>
  <c r="H75" i="52" s="1"/>
  <c r="I75" i="52" s="1"/>
  <c r="B76" i="52" s="1"/>
  <c r="G75" i="52"/>
  <c r="D76" i="47"/>
  <c r="G76" i="47"/>
  <c r="I76" i="55"/>
  <c r="B77" i="55" s="1"/>
  <c r="C77" i="53"/>
  <c r="I126" i="55"/>
  <c r="B127" i="55" s="1"/>
  <c r="H126" i="55"/>
  <c r="G126" i="55"/>
  <c r="D126" i="55"/>
  <c r="C126" i="55"/>
  <c r="G77" i="53"/>
  <c r="H77" i="53" s="1"/>
  <c r="I77" i="53" s="1"/>
  <c r="B78" i="53" s="1"/>
  <c r="C54" i="55"/>
  <c r="I126" i="54"/>
  <c r="B127" i="54" s="1"/>
  <c r="H126" i="54"/>
  <c r="G126" i="54"/>
  <c r="C126" i="54"/>
  <c r="D126" i="54"/>
  <c r="G78" i="54"/>
  <c r="D78" i="54"/>
  <c r="C78" i="54"/>
  <c r="C55" i="54"/>
  <c r="I126" i="53"/>
  <c r="B127" i="53" s="1"/>
  <c r="H126" i="53"/>
  <c r="G126" i="53"/>
  <c r="C126" i="53"/>
  <c r="D126" i="53"/>
  <c r="C54" i="53"/>
  <c r="I126" i="52"/>
  <c r="B127" i="52" s="1"/>
  <c r="H126" i="52"/>
  <c r="G126" i="52"/>
  <c r="D126" i="52"/>
  <c r="C126" i="52"/>
  <c r="H76" i="50"/>
  <c r="I76" i="50" s="1"/>
  <c r="B77" i="50" s="1"/>
  <c r="G77" i="50" s="1"/>
  <c r="C54" i="52"/>
  <c r="C54" i="51"/>
  <c r="D126" i="51"/>
  <c r="C126" i="51"/>
  <c r="I126" i="51"/>
  <c r="B127" i="51" s="1"/>
  <c r="G126" i="51"/>
  <c r="H126" i="51"/>
  <c r="C54" i="50"/>
  <c r="I125" i="50"/>
  <c r="B126" i="50" s="1"/>
  <c r="H125" i="50"/>
  <c r="G125" i="50"/>
  <c r="D125" i="50"/>
  <c r="C125" i="50"/>
  <c r="I125" i="49"/>
  <c r="B126" i="49" s="1"/>
  <c r="H125" i="49"/>
  <c r="G125" i="49"/>
  <c r="C125" i="49"/>
  <c r="D125" i="49"/>
  <c r="H77" i="48"/>
  <c r="I77" i="48" s="1"/>
  <c r="B78" i="48" s="1"/>
  <c r="D78" i="48" s="1"/>
  <c r="C125" i="48"/>
  <c r="D125" i="48"/>
  <c r="I125" i="48"/>
  <c r="B126" i="48" s="1"/>
  <c r="H125" i="48"/>
  <c r="G125" i="48"/>
  <c r="C54" i="48"/>
  <c r="G125" i="47"/>
  <c r="I125" i="47"/>
  <c r="B126" i="47" s="1"/>
  <c r="H125" i="47"/>
  <c r="D125" i="47"/>
  <c r="C125" i="47"/>
  <c r="C54" i="47"/>
  <c r="D77" i="35"/>
  <c r="H77" i="35" s="1"/>
  <c r="I77" i="35" s="1"/>
  <c r="B78" i="35" s="1"/>
  <c r="C77" i="35"/>
  <c r="D58" i="36"/>
  <c r="B59" i="36"/>
  <c r="B60" i="36" s="1"/>
  <c r="D57" i="36"/>
  <c r="E57" i="36" s="1"/>
  <c r="C55" i="35"/>
  <c r="AJ347" i="33"/>
  <c r="AH347" i="33"/>
  <c r="AC349" i="33"/>
  <c r="AE348" i="33"/>
  <c r="AE1287" i="33"/>
  <c r="AF1287" i="33" s="1"/>
  <c r="AM47" i="33" s="1"/>
  <c r="AM53" i="33" s="1"/>
  <c r="AM55" i="33" s="1"/>
  <c r="AM59" i="33" s="1"/>
  <c r="AC1288" i="33"/>
  <c r="D56" i="64" l="1"/>
  <c r="D57" i="64" s="1"/>
  <c r="B57" i="64"/>
  <c r="B58" i="64" s="1"/>
  <c r="D55" i="59"/>
  <c r="E55" i="59"/>
  <c r="D55" i="57"/>
  <c r="E55" i="57"/>
  <c r="D61" i="58"/>
  <c r="E61" i="58"/>
  <c r="H76" i="47"/>
  <c r="I76" i="47" s="1"/>
  <c r="B77" i="47" s="1"/>
  <c r="G77" i="47" s="1"/>
  <c r="D56" i="59"/>
  <c r="B57" i="59"/>
  <c r="B58" i="59" s="1"/>
  <c r="D56" i="63"/>
  <c r="D57" i="63" s="1"/>
  <c r="B57" i="63"/>
  <c r="B58" i="63" s="1"/>
  <c r="D56" i="61"/>
  <c r="D57" i="61" s="1"/>
  <c r="B57" i="61"/>
  <c r="B58" i="61" s="1"/>
  <c r="B57" i="57"/>
  <c r="B58" i="57" s="1"/>
  <c r="D56" i="57"/>
  <c r="D56" i="62"/>
  <c r="D57" i="62" s="1"/>
  <c r="B57" i="62"/>
  <c r="B58" i="62" s="1"/>
  <c r="D56" i="60"/>
  <c r="D57" i="60" s="1"/>
  <c r="B57" i="60"/>
  <c r="B58" i="60" s="1"/>
  <c r="E59" i="64"/>
  <c r="E59" i="60"/>
  <c r="D62" i="58"/>
  <c r="B63" i="58"/>
  <c r="B64" i="58" s="1"/>
  <c r="D60" i="56"/>
  <c r="D61" i="56" s="1"/>
  <c r="B61" i="56"/>
  <c r="B62" i="56" s="1"/>
  <c r="H78" i="54"/>
  <c r="C55" i="55"/>
  <c r="I127" i="55"/>
  <c r="B128" i="55" s="1"/>
  <c r="H127" i="55"/>
  <c r="G127" i="55"/>
  <c r="D127" i="55"/>
  <c r="C127" i="55"/>
  <c r="C77" i="55"/>
  <c r="G77" i="55"/>
  <c r="D77" i="55"/>
  <c r="I78" i="54"/>
  <c r="B79" i="54" s="1"/>
  <c r="C56" i="54"/>
  <c r="C77" i="50"/>
  <c r="C79" i="51"/>
  <c r="I127" i="54"/>
  <c r="B128" i="54" s="1"/>
  <c r="D127" i="54"/>
  <c r="H127" i="54"/>
  <c r="G127" i="54"/>
  <c r="C127" i="54"/>
  <c r="C127" i="53"/>
  <c r="I127" i="53"/>
  <c r="B128" i="53" s="1"/>
  <c r="G127" i="53"/>
  <c r="D127" i="53"/>
  <c r="H127" i="53"/>
  <c r="D77" i="50"/>
  <c r="H77" i="50" s="1"/>
  <c r="I77" i="50" s="1"/>
  <c r="B78" i="50" s="1"/>
  <c r="G78" i="53"/>
  <c r="D78" i="53"/>
  <c r="C78" i="53"/>
  <c r="C55" i="53"/>
  <c r="G79" i="51"/>
  <c r="H79" i="51" s="1"/>
  <c r="I79" i="51" s="1"/>
  <c r="B80" i="51" s="1"/>
  <c r="D76" i="52"/>
  <c r="C76" i="52"/>
  <c r="G76" i="52"/>
  <c r="C55" i="52"/>
  <c r="C127" i="52"/>
  <c r="I127" i="52"/>
  <c r="B128" i="52" s="1"/>
  <c r="H127" i="52"/>
  <c r="G127" i="52"/>
  <c r="D127" i="52"/>
  <c r="C55" i="51"/>
  <c r="H127" i="51"/>
  <c r="G127" i="51"/>
  <c r="D127" i="51"/>
  <c r="C127" i="51"/>
  <c r="I127" i="51"/>
  <c r="B128" i="51" s="1"/>
  <c r="C78" i="48"/>
  <c r="I126" i="50"/>
  <c r="B127" i="50" s="1"/>
  <c r="H126" i="50"/>
  <c r="G126" i="50"/>
  <c r="D126" i="50"/>
  <c r="C126" i="50"/>
  <c r="G78" i="48"/>
  <c r="H78" i="48" s="1"/>
  <c r="I78" i="48" s="1"/>
  <c r="B79" i="48" s="1"/>
  <c r="C55" i="50"/>
  <c r="G78" i="49"/>
  <c r="D78" i="49"/>
  <c r="C78" i="49"/>
  <c r="C126" i="49"/>
  <c r="I126" i="49"/>
  <c r="B127" i="49" s="1"/>
  <c r="G126" i="49"/>
  <c r="H126" i="49"/>
  <c r="D126" i="49"/>
  <c r="G126" i="48"/>
  <c r="D126" i="48"/>
  <c r="C126" i="48"/>
  <c r="H126" i="48"/>
  <c r="I126" i="48"/>
  <c r="B127" i="48" s="1"/>
  <c r="C55" i="48"/>
  <c r="C55" i="47"/>
  <c r="C126" i="47"/>
  <c r="I126" i="47"/>
  <c r="B127" i="47" s="1"/>
  <c r="H126" i="47"/>
  <c r="G126" i="47"/>
  <c r="D126" i="47"/>
  <c r="D60" i="36"/>
  <c r="B61" i="36"/>
  <c r="B62" i="36" s="1"/>
  <c r="D59" i="36"/>
  <c r="E59" i="36" s="1"/>
  <c r="C56" i="35"/>
  <c r="G78" i="35"/>
  <c r="D78" i="35"/>
  <c r="C78" i="35"/>
  <c r="AC350" i="33"/>
  <c r="AE349" i="33"/>
  <c r="AF349" i="33" s="1"/>
  <c r="AC1289" i="33"/>
  <c r="AE1288" i="33"/>
  <c r="D57" i="57" l="1"/>
  <c r="E57" i="57"/>
  <c r="H77" i="55"/>
  <c r="I77" i="55" s="1"/>
  <c r="B78" i="55" s="1"/>
  <c r="C78" i="55" s="1"/>
  <c r="B59" i="64"/>
  <c r="B60" i="64" s="1"/>
  <c r="D58" i="64"/>
  <c r="D59" i="64" s="1"/>
  <c r="D57" i="59"/>
  <c r="E57" i="59" s="1"/>
  <c r="D63" i="58"/>
  <c r="E63" i="58"/>
  <c r="C77" i="47"/>
  <c r="D77" i="47"/>
  <c r="H77" i="47" s="1"/>
  <c r="I77" i="47" s="1"/>
  <c r="B78" i="47" s="1"/>
  <c r="G78" i="47" s="1"/>
  <c r="D58" i="57"/>
  <c r="B59" i="57"/>
  <c r="B60" i="57" s="1"/>
  <c r="D58" i="61"/>
  <c r="D59" i="61" s="1"/>
  <c r="B59" i="61"/>
  <c r="B60" i="61" s="1"/>
  <c r="D58" i="60"/>
  <c r="D59" i="60" s="1"/>
  <c r="B59" i="60"/>
  <c r="B60" i="60" s="1"/>
  <c r="D58" i="63"/>
  <c r="D59" i="63" s="1"/>
  <c r="B59" i="63"/>
  <c r="B60" i="63" s="1"/>
  <c r="B59" i="62"/>
  <c r="B60" i="62" s="1"/>
  <c r="D58" i="62"/>
  <c r="D59" i="62" s="1"/>
  <c r="B59" i="59"/>
  <c r="B60" i="59" s="1"/>
  <c r="D58" i="59"/>
  <c r="E61" i="64"/>
  <c r="E61" i="60"/>
  <c r="D64" i="58"/>
  <c r="B65" i="58"/>
  <c r="B66" i="58" s="1"/>
  <c r="D62" i="56"/>
  <c r="D63" i="56" s="1"/>
  <c r="B63" i="56"/>
  <c r="B64" i="56" s="1"/>
  <c r="H76" i="52"/>
  <c r="I76" i="52" s="1"/>
  <c r="B77" i="52" s="1"/>
  <c r="H78" i="49"/>
  <c r="I78" i="49" s="1"/>
  <c r="B79" i="49" s="1"/>
  <c r="G79" i="49" s="1"/>
  <c r="C128" i="55"/>
  <c r="I128" i="55"/>
  <c r="B129" i="55" s="1"/>
  <c r="H128" i="55"/>
  <c r="G128" i="55"/>
  <c r="D128" i="55"/>
  <c r="C56" i="55"/>
  <c r="D128" i="54"/>
  <c r="C128" i="54"/>
  <c r="H128" i="54"/>
  <c r="I128" i="54"/>
  <c r="B129" i="54" s="1"/>
  <c r="G128" i="54"/>
  <c r="D79" i="54"/>
  <c r="C79" i="54"/>
  <c r="G79" i="54"/>
  <c r="H78" i="53"/>
  <c r="C56" i="53"/>
  <c r="G128" i="53"/>
  <c r="D128" i="53"/>
  <c r="C128" i="53"/>
  <c r="I128" i="53"/>
  <c r="B129" i="53" s="1"/>
  <c r="H128" i="53"/>
  <c r="G128" i="52"/>
  <c r="D128" i="52"/>
  <c r="C128" i="52"/>
  <c r="I128" i="52"/>
  <c r="B129" i="52" s="1"/>
  <c r="H128" i="52"/>
  <c r="C56" i="52"/>
  <c r="C56" i="51"/>
  <c r="I128" i="51"/>
  <c r="B129" i="51" s="1"/>
  <c r="H128" i="51"/>
  <c r="G128" i="51"/>
  <c r="D128" i="51"/>
  <c r="C128" i="51"/>
  <c r="C80" i="51"/>
  <c r="D80" i="51"/>
  <c r="G80" i="51"/>
  <c r="C79" i="48"/>
  <c r="G79" i="48"/>
  <c r="D79" i="48"/>
  <c r="G78" i="50"/>
  <c r="D78" i="50"/>
  <c r="C78" i="50"/>
  <c r="C127" i="50"/>
  <c r="I127" i="50"/>
  <c r="B128" i="50" s="1"/>
  <c r="H127" i="50"/>
  <c r="G127" i="50"/>
  <c r="D127" i="50"/>
  <c r="C56" i="50"/>
  <c r="G127" i="49"/>
  <c r="D127" i="49"/>
  <c r="C127" i="49"/>
  <c r="I127" i="49"/>
  <c r="B128" i="49" s="1"/>
  <c r="H127" i="49"/>
  <c r="C56" i="48"/>
  <c r="I127" i="48"/>
  <c r="B128" i="48" s="1"/>
  <c r="H127" i="48"/>
  <c r="G127" i="48"/>
  <c r="D127" i="48"/>
  <c r="C127" i="48"/>
  <c r="G127" i="47"/>
  <c r="H127" i="47"/>
  <c r="I127" i="47"/>
  <c r="B128" i="47" s="1"/>
  <c r="D127" i="47"/>
  <c r="C127" i="47"/>
  <c r="C56" i="47"/>
  <c r="H78" i="35"/>
  <c r="I78" i="35" s="1"/>
  <c r="B79" i="35" s="1"/>
  <c r="C79" i="35" s="1"/>
  <c r="D62" i="36"/>
  <c r="B63" i="36"/>
  <c r="B64" i="36" s="1"/>
  <c r="D61" i="36"/>
  <c r="E61" i="36" s="1"/>
  <c r="AJ349" i="33"/>
  <c r="AH349" i="33"/>
  <c r="AC1290" i="33"/>
  <c r="AE1289" i="33"/>
  <c r="AF1289" i="33" s="1"/>
  <c r="AN47" i="33" s="1"/>
  <c r="AN53" i="33" s="1"/>
  <c r="AN55" i="33" s="1"/>
  <c r="AN59" i="33" s="1"/>
  <c r="AE350" i="33"/>
  <c r="AC351" i="33"/>
  <c r="D59" i="57" l="1"/>
  <c r="E59" i="57" s="1"/>
  <c r="D78" i="47"/>
  <c r="H78" i="47" s="1"/>
  <c r="I78" i="47" s="1"/>
  <c r="B79" i="47" s="1"/>
  <c r="C79" i="47" s="1"/>
  <c r="C78" i="47"/>
  <c r="G78" i="55"/>
  <c r="D78" i="55"/>
  <c r="H78" i="55" s="1"/>
  <c r="D60" i="64"/>
  <c r="D61" i="64" s="1"/>
  <c r="B61" i="64"/>
  <c r="B62" i="64" s="1"/>
  <c r="D59" i="59"/>
  <c r="E59" i="59"/>
  <c r="D65" i="58"/>
  <c r="E65" i="58"/>
  <c r="E70" i="58" s="1"/>
  <c r="D60" i="60"/>
  <c r="D61" i="60" s="1"/>
  <c r="B61" i="60"/>
  <c r="B62" i="60" s="1"/>
  <c r="D60" i="61"/>
  <c r="D61" i="61" s="1"/>
  <c r="B61" i="61"/>
  <c r="B62" i="61" s="1"/>
  <c r="D60" i="59"/>
  <c r="B61" i="59"/>
  <c r="B62" i="59" s="1"/>
  <c r="D60" i="57"/>
  <c r="B61" i="57"/>
  <c r="B62" i="57" s="1"/>
  <c r="B61" i="63"/>
  <c r="B62" i="63" s="1"/>
  <c r="D60" i="63"/>
  <c r="D61" i="63" s="1"/>
  <c r="D60" i="62"/>
  <c r="D61" i="62" s="1"/>
  <c r="B61" i="62"/>
  <c r="B62" i="62" s="1"/>
  <c r="E63" i="64"/>
  <c r="E63" i="60"/>
  <c r="E70" i="60" s="1"/>
  <c r="D66" i="58"/>
  <c r="D67" i="58" s="1"/>
  <c r="D68" i="58" s="1"/>
  <c r="B67" i="58"/>
  <c r="D64" i="56"/>
  <c r="D65" i="56" s="1"/>
  <c r="B65" i="56"/>
  <c r="B66" i="56" s="1"/>
  <c r="H79" i="54"/>
  <c r="C79" i="49"/>
  <c r="D79" i="49"/>
  <c r="H79" i="49" s="1"/>
  <c r="I79" i="49" s="1"/>
  <c r="B80" i="49" s="1"/>
  <c r="I78" i="55"/>
  <c r="B79" i="55" s="1"/>
  <c r="G129" i="55"/>
  <c r="D129" i="55"/>
  <c r="C129" i="55"/>
  <c r="I129" i="55"/>
  <c r="B130" i="55" s="1"/>
  <c r="H129" i="55"/>
  <c r="I79" i="54"/>
  <c r="B80" i="54" s="1"/>
  <c r="H129" i="54"/>
  <c r="G129" i="54"/>
  <c r="D129" i="54"/>
  <c r="C129" i="54"/>
  <c r="I129" i="54"/>
  <c r="B130" i="54" s="1"/>
  <c r="H80" i="51"/>
  <c r="I80" i="51" s="1"/>
  <c r="B81" i="51" s="1"/>
  <c r="D81" i="51" s="1"/>
  <c r="I129" i="53"/>
  <c r="B130" i="53" s="1"/>
  <c r="H129" i="53"/>
  <c r="G129" i="53"/>
  <c r="D129" i="53"/>
  <c r="C129" i="53"/>
  <c r="I78" i="53"/>
  <c r="B79" i="53" s="1"/>
  <c r="H79" i="48"/>
  <c r="I79" i="48" s="1"/>
  <c r="B80" i="48" s="1"/>
  <c r="C80" i="48" s="1"/>
  <c r="I129" i="52"/>
  <c r="B130" i="52" s="1"/>
  <c r="H129" i="52"/>
  <c r="G129" i="52"/>
  <c r="D129" i="52"/>
  <c r="C129" i="52"/>
  <c r="G77" i="52"/>
  <c r="D77" i="52"/>
  <c r="C77" i="52"/>
  <c r="I129" i="51"/>
  <c r="B130" i="51" s="1"/>
  <c r="H129" i="51"/>
  <c r="G129" i="51"/>
  <c r="D129" i="51"/>
  <c r="C129" i="51"/>
  <c r="H78" i="50"/>
  <c r="I78" i="50" s="1"/>
  <c r="B79" i="50" s="1"/>
  <c r="G128" i="50"/>
  <c r="D128" i="50"/>
  <c r="C128" i="50"/>
  <c r="I128" i="50"/>
  <c r="B129" i="50" s="1"/>
  <c r="H128" i="50"/>
  <c r="I128" i="49"/>
  <c r="B129" i="49" s="1"/>
  <c r="H128" i="49"/>
  <c r="G128" i="49"/>
  <c r="D128" i="49"/>
  <c r="C128" i="49"/>
  <c r="I128" i="48"/>
  <c r="B129" i="48" s="1"/>
  <c r="H128" i="48"/>
  <c r="G128" i="48"/>
  <c r="D128" i="48"/>
  <c r="C128" i="48"/>
  <c r="I128" i="47"/>
  <c r="B129" i="47" s="1"/>
  <c r="C128" i="47"/>
  <c r="G128" i="47"/>
  <c r="D128" i="47"/>
  <c r="H128" i="47"/>
  <c r="G79" i="35"/>
  <c r="D79" i="35"/>
  <c r="D64" i="36"/>
  <c r="B65" i="36"/>
  <c r="B66" i="36" s="1"/>
  <c r="D63" i="36"/>
  <c r="E63" i="36" s="1"/>
  <c r="AC352" i="33"/>
  <c r="AE351" i="33"/>
  <c r="AF351" i="33" s="1"/>
  <c r="AC1291" i="33"/>
  <c r="AE1290" i="33"/>
  <c r="D61" i="57" l="1"/>
  <c r="E61" i="57" s="1"/>
  <c r="E68" i="58"/>
  <c r="D62" i="64"/>
  <c r="D63" i="64" s="1"/>
  <c r="B63" i="64"/>
  <c r="B64" i="64" s="1"/>
  <c r="D61" i="59"/>
  <c r="E61" i="59" s="1"/>
  <c r="D62" i="59"/>
  <c r="B63" i="59"/>
  <c r="B64" i="59" s="1"/>
  <c r="B63" i="62"/>
  <c r="B64" i="62" s="1"/>
  <c r="D62" i="62"/>
  <c r="D63" i="62" s="1"/>
  <c r="D62" i="61"/>
  <c r="D63" i="61" s="1"/>
  <c r="B63" i="61"/>
  <c r="B64" i="61" s="1"/>
  <c r="D62" i="57"/>
  <c r="B63" i="57"/>
  <c r="B64" i="57" s="1"/>
  <c r="D62" i="60"/>
  <c r="D63" i="60" s="1"/>
  <c r="B63" i="60"/>
  <c r="B64" i="60" s="1"/>
  <c r="D62" i="63"/>
  <c r="D63" i="63" s="1"/>
  <c r="B63" i="63"/>
  <c r="B64" i="63" s="1"/>
  <c r="E65" i="64"/>
  <c r="E68" i="64" s="1"/>
  <c r="E68" i="60"/>
  <c r="D66" i="56"/>
  <c r="D67" i="56" s="1"/>
  <c r="D68" i="56" s="1"/>
  <c r="B67" i="56"/>
  <c r="G81" i="51"/>
  <c r="H81" i="51" s="1"/>
  <c r="I81" i="51" s="1"/>
  <c r="B82" i="51" s="1"/>
  <c r="C81" i="51"/>
  <c r="I130" i="55"/>
  <c r="B131" i="55" s="1"/>
  <c r="H130" i="55"/>
  <c r="G130" i="55"/>
  <c r="D130" i="55"/>
  <c r="C130" i="55"/>
  <c r="D80" i="48"/>
  <c r="H80" i="48" s="1"/>
  <c r="I80" i="48" s="1"/>
  <c r="B81" i="48" s="1"/>
  <c r="D81" i="48" s="1"/>
  <c r="G79" i="55"/>
  <c r="D79" i="55"/>
  <c r="H79" i="55" s="1"/>
  <c r="I79" i="55" s="1"/>
  <c r="B80" i="55" s="1"/>
  <c r="C79" i="55"/>
  <c r="G80" i="48"/>
  <c r="H77" i="52"/>
  <c r="I77" i="52" s="1"/>
  <c r="B78" i="52" s="1"/>
  <c r="I130" i="54"/>
  <c r="B131" i="54" s="1"/>
  <c r="H130" i="54"/>
  <c r="G130" i="54"/>
  <c r="C130" i="54"/>
  <c r="D130" i="54"/>
  <c r="C80" i="54"/>
  <c r="G80" i="54"/>
  <c r="D80" i="54"/>
  <c r="H80" i="54" s="1"/>
  <c r="I80" i="54" s="1"/>
  <c r="B81" i="54" s="1"/>
  <c r="G79" i="53"/>
  <c r="D79" i="53"/>
  <c r="C79" i="53"/>
  <c r="I130" i="53"/>
  <c r="B131" i="53" s="1"/>
  <c r="H130" i="53"/>
  <c r="G130" i="53"/>
  <c r="C130" i="53"/>
  <c r="D130" i="53"/>
  <c r="I130" i="52"/>
  <c r="B131" i="52" s="1"/>
  <c r="H130" i="52"/>
  <c r="G130" i="52"/>
  <c r="D130" i="52"/>
  <c r="C130" i="52"/>
  <c r="D130" i="51"/>
  <c r="C130" i="51"/>
  <c r="I130" i="51"/>
  <c r="B131" i="51" s="1"/>
  <c r="H130" i="51"/>
  <c r="G130" i="51"/>
  <c r="I129" i="50"/>
  <c r="B130" i="50" s="1"/>
  <c r="H129" i="50"/>
  <c r="G129" i="50"/>
  <c r="D129" i="50"/>
  <c r="C129" i="50"/>
  <c r="G79" i="50"/>
  <c r="D79" i="50"/>
  <c r="C79" i="50"/>
  <c r="G79" i="47"/>
  <c r="D79" i="47"/>
  <c r="I129" i="49"/>
  <c r="B130" i="49" s="1"/>
  <c r="H129" i="49"/>
  <c r="G129" i="49"/>
  <c r="C129" i="49"/>
  <c r="D129" i="49"/>
  <c r="C80" i="49"/>
  <c r="G80" i="49"/>
  <c r="D80" i="49"/>
  <c r="C129" i="48"/>
  <c r="D129" i="48"/>
  <c r="I129" i="48"/>
  <c r="B130" i="48" s="1"/>
  <c r="H129" i="48"/>
  <c r="G129" i="48"/>
  <c r="G129" i="47"/>
  <c r="I129" i="47"/>
  <c r="B130" i="47" s="1"/>
  <c r="D129" i="47"/>
  <c r="C129" i="47"/>
  <c r="H129" i="47"/>
  <c r="H79" i="35"/>
  <c r="I79" i="35" s="1"/>
  <c r="B80" i="35" s="1"/>
  <c r="C80" i="35" s="1"/>
  <c r="D66" i="36"/>
  <c r="B67" i="36"/>
  <c r="D65" i="36"/>
  <c r="E65" i="36" s="1"/>
  <c r="E70" i="36" s="1"/>
  <c r="AJ351" i="33"/>
  <c r="AH351" i="33"/>
  <c r="AE1291" i="33"/>
  <c r="AF1291" i="33" s="1"/>
  <c r="AO47" i="33" s="1"/>
  <c r="AO53" i="33" s="1"/>
  <c r="AO55" i="33" s="1"/>
  <c r="AO59" i="33" s="1"/>
  <c r="AC1292" i="33"/>
  <c r="AC353" i="33"/>
  <c r="AE353" i="33" s="1"/>
  <c r="AE352" i="33"/>
  <c r="D63" i="57" l="1"/>
  <c r="E63" i="57" s="1"/>
  <c r="H79" i="47"/>
  <c r="I79" i="47" s="1"/>
  <c r="B80" i="47" s="1"/>
  <c r="G80" i="47" s="1"/>
  <c r="B65" i="64"/>
  <c r="B66" i="64" s="1"/>
  <c r="D64" i="64"/>
  <c r="D65" i="64" s="1"/>
  <c r="D63" i="59"/>
  <c r="E63" i="59"/>
  <c r="D64" i="61"/>
  <c r="D65" i="61" s="1"/>
  <c r="B65" i="61"/>
  <c r="B66" i="61" s="1"/>
  <c r="D64" i="63"/>
  <c r="D65" i="63" s="1"/>
  <c r="B65" i="63"/>
  <c r="B66" i="63" s="1"/>
  <c r="B65" i="62"/>
  <c r="B66" i="62" s="1"/>
  <c r="D64" i="62"/>
  <c r="D65" i="62" s="1"/>
  <c r="D64" i="57"/>
  <c r="B65" i="57"/>
  <c r="B66" i="57" s="1"/>
  <c r="D64" i="60"/>
  <c r="D65" i="60" s="1"/>
  <c r="B65" i="60"/>
  <c r="B66" i="60" s="1"/>
  <c r="B65" i="59"/>
  <c r="B66" i="59" s="1"/>
  <c r="D64" i="59"/>
  <c r="E67" i="64"/>
  <c r="E70" i="64" s="1"/>
  <c r="G81" i="48"/>
  <c r="H81" i="48" s="1"/>
  <c r="I81" i="48" s="1"/>
  <c r="B82" i="48" s="1"/>
  <c r="C81" i="48"/>
  <c r="G80" i="55"/>
  <c r="D80" i="55"/>
  <c r="H80" i="55" s="1"/>
  <c r="C80" i="55"/>
  <c r="I131" i="55"/>
  <c r="B132" i="55" s="1"/>
  <c r="H131" i="55"/>
  <c r="G131" i="55"/>
  <c r="D131" i="55"/>
  <c r="C131" i="55"/>
  <c r="G81" i="54"/>
  <c r="D81" i="54"/>
  <c r="H81" i="54" s="1"/>
  <c r="I81" i="54" s="1"/>
  <c r="B82" i="54" s="1"/>
  <c r="C81" i="54"/>
  <c r="H79" i="53"/>
  <c r="I79" i="53" s="1"/>
  <c r="B80" i="53" s="1"/>
  <c r="D80" i="53" s="1"/>
  <c r="I131" i="54"/>
  <c r="B132" i="54" s="1"/>
  <c r="D131" i="54"/>
  <c r="H131" i="54"/>
  <c r="G131" i="54"/>
  <c r="C131" i="54"/>
  <c r="C131" i="53"/>
  <c r="I131" i="53"/>
  <c r="B132" i="53" s="1"/>
  <c r="G131" i="53"/>
  <c r="D131" i="53"/>
  <c r="H131" i="53"/>
  <c r="C131" i="52"/>
  <c r="I131" i="52"/>
  <c r="B132" i="52" s="1"/>
  <c r="H131" i="52"/>
  <c r="G131" i="52"/>
  <c r="D131" i="52"/>
  <c r="H80" i="49"/>
  <c r="I80" i="49" s="1"/>
  <c r="B81" i="49" s="1"/>
  <c r="D81" i="49" s="1"/>
  <c r="G78" i="52"/>
  <c r="D78" i="52"/>
  <c r="C78" i="52"/>
  <c r="G82" i="51"/>
  <c r="D82" i="51"/>
  <c r="C82" i="51"/>
  <c r="H79" i="50"/>
  <c r="I79" i="50" s="1"/>
  <c r="B80" i="50" s="1"/>
  <c r="D80" i="50" s="1"/>
  <c r="H131" i="51"/>
  <c r="G131" i="51"/>
  <c r="D131" i="51"/>
  <c r="C131" i="51"/>
  <c r="I131" i="51"/>
  <c r="B132" i="51" s="1"/>
  <c r="I130" i="50"/>
  <c r="B131" i="50" s="1"/>
  <c r="H130" i="50"/>
  <c r="G130" i="50"/>
  <c r="D130" i="50"/>
  <c r="C130" i="50"/>
  <c r="C130" i="49"/>
  <c r="I130" i="49"/>
  <c r="B131" i="49" s="1"/>
  <c r="G130" i="49"/>
  <c r="H130" i="49"/>
  <c r="D130" i="49"/>
  <c r="G130" i="48"/>
  <c r="D130" i="48"/>
  <c r="C130" i="48"/>
  <c r="I130" i="48"/>
  <c r="B131" i="48" s="1"/>
  <c r="H130" i="48"/>
  <c r="C130" i="47"/>
  <c r="I130" i="47"/>
  <c r="B131" i="47" s="1"/>
  <c r="D130" i="47"/>
  <c r="G130" i="47"/>
  <c r="H130" i="47"/>
  <c r="G80" i="35"/>
  <c r="D80" i="35"/>
  <c r="E68" i="36"/>
  <c r="AE354" i="33"/>
  <c r="AE355" i="33" s="1"/>
  <c r="AE357" i="33" s="1"/>
  <c r="AF353" i="33"/>
  <c r="AJ353" i="33" s="1"/>
  <c r="D67" i="36"/>
  <c r="D68" i="36" s="1"/>
  <c r="AC1293" i="33"/>
  <c r="AE1292" i="33"/>
  <c r="C80" i="47" l="1"/>
  <c r="D65" i="57"/>
  <c r="E65" i="57"/>
  <c r="E68" i="57" s="1"/>
  <c r="D80" i="47"/>
  <c r="H80" i="47" s="1"/>
  <c r="I80" i="47" s="1"/>
  <c r="B81" i="47" s="1"/>
  <c r="D81" i="47" s="1"/>
  <c r="D66" i="64"/>
  <c r="D67" i="64" s="1"/>
  <c r="D68" i="64" s="1"/>
  <c r="B67" i="64"/>
  <c r="D65" i="59"/>
  <c r="E65" i="59"/>
  <c r="E68" i="59" s="1"/>
  <c r="B67" i="57"/>
  <c r="D66" i="57"/>
  <c r="D67" i="57" s="1"/>
  <c r="D68" i="57" s="1"/>
  <c r="D66" i="62"/>
  <c r="D67" i="62" s="1"/>
  <c r="D68" i="62" s="1"/>
  <c r="B67" i="62"/>
  <c r="D66" i="63"/>
  <c r="D67" i="63" s="1"/>
  <c r="D68" i="63" s="1"/>
  <c r="B67" i="63"/>
  <c r="D66" i="59"/>
  <c r="D67" i="59" s="1"/>
  <c r="D68" i="59" s="1"/>
  <c r="B67" i="59"/>
  <c r="D66" i="60"/>
  <c r="D67" i="60" s="1"/>
  <c r="D68" i="60" s="1"/>
  <c r="B67" i="60"/>
  <c r="B67" i="61"/>
  <c r="D66" i="61"/>
  <c r="D67" i="61" s="1"/>
  <c r="D68" i="61" s="1"/>
  <c r="C81" i="49"/>
  <c r="C80" i="53"/>
  <c r="G80" i="53"/>
  <c r="H80" i="53" s="1"/>
  <c r="I80" i="53" s="1"/>
  <c r="B81" i="53" s="1"/>
  <c r="I80" i="55"/>
  <c r="B81" i="55" s="1"/>
  <c r="C132" i="55"/>
  <c r="I132" i="55"/>
  <c r="B133" i="55" s="1"/>
  <c r="H132" i="55"/>
  <c r="G132" i="55"/>
  <c r="D132" i="55"/>
  <c r="G82" i="54"/>
  <c r="D82" i="54"/>
  <c r="H82" i="54" s="1"/>
  <c r="I82" i="54" s="1"/>
  <c r="B83" i="54" s="1"/>
  <c r="C82" i="54"/>
  <c r="G81" i="49"/>
  <c r="H81" i="49" s="1"/>
  <c r="I81" i="49" s="1"/>
  <c r="B82" i="49" s="1"/>
  <c r="H80" i="35"/>
  <c r="I80" i="35" s="1"/>
  <c r="B81" i="35" s="1"/>
  <c r="G81" i="35" s="1"/>
  <c r="D132" i="54"/>
  <c r="C132" i="54"/>
  <c r="H132" i="54"/>
  <c r="I132" i="54"/>
  <c r="B133" i="54" s="1"/>
  <c r="G132" i="54"/>
  <c r="G132" i="53"/>
  <c r="D132" i="53"/>
  <c r="C132" i="53"/>
  <c r="I132" i="53"/>
  <c r="B133" i="53" s="1"/>
  <c r="H132" i="53"/>
  <c r="H78" i="52"/>
  <c r="I78" i="52" s="1"/>
  <c r="B79" i="52" s="1"/>
  <c r="G79" i="52" s="1"/>
  <c r="G80" i="50"/>
  <c r="H80" i="50" s="1"/>
  <c r="I80" i="50" s="1"/>
  <c r="B81" i="50" s="1"/>
  <c r="C80" i="50"/>
  <c r="H82" i="51"/>
  <c r="I82" i="51" s="1"/>
  <c r="B83" i="51" s="1"/>
  <c r="G83" i="51" s="1"/>
  <c r="G132" i="52"/>
  <c r="D132" i="52"/>
  <c r="C132" i="52"/>
  <c r="I132" i="52"/>
  <c r="B133" i="52" s="1"/>
  <c r="H132" i="52"/>
  <c r="I132" i="51"/>
  <c r="B133" i="51" s="1"/>
  <c r="H132" i="51"/>
  <c r="G132" i="51"/>
  <c r="D132" i="51"/>
  <c r="C132" i="51"/>
  <c r="I131" i="50"/>
  <c r="B132" i="50" s="1"/>
  <c r="H131" i="50"/>
  <c r="G131" i="50"/>
  <c r="D131" i="50"/>
  <c r="C131" i="50"/>
  <c r="G131" i="49"/>
  <c r="D131" i="49"/>
  <c r="C131" i="49"/>
  <c r="I131" i="49"/>
  <c r="B132" i="49" s="1"/>
  <c r="H131" i="49"/>
  <c r="I131" i="48"/>
  <c r="B132" i="48" s="1"/>
  <c r="H131" i="48"/>
  <c r="G131" i="48"/>
  <c r="D131" i="48"/>
  <c r="C131" i="48"/>
  <c r="D82" i="48"/>
  <c r="C82" i="48"/>
  <c r="G82" i="48"/>
  <c r="G131" i="47"/>
  <c r="I131" i="47"/>
  <c r="B132" i="47" s="1"/>
  <c r="H131" i="47"/>
  <c r="C131" i="47"/>
  <c r="D131" i="47"/>
  <c r="AH353" i="33"/>
  <c r="AH354" i="33" s="1"/>
  <c r="AC1294" i="33"/>
  <c r="AE1293" i="33"/>
  <c r="AF1293" i="33" s="1"/>
  <c r="AP47" i="33" s="1"/>
  <c r="AP53" i="33" s="1"/>
  <c r="AP55" i="33" s="1"/>
  <c r="AP59" i="33" s="1"/>
  <c r="E70" i="57" l="1"/>
  <c r="E70" i="59"/>
  <c r="D81" i="35"/>
  <c r="H81" i="35" s="1"/>
  <c r="I81" i="35" s="1"/>
  <c r="B82" i="35" s="1"/>
  <c r="G82" i="35" s="1"/>
  <c r="C81" i="35"/>
  <c r="G133" i="55"/>
  <c r="D133" i="55"/>
  <c r="C133" i="55"/>
  <c r="I133" i="55"/>
  <c r="B134" i="55" s="1"/>
  <c r="H133" i="55"/>
  <c r="C81" i="55"/>
  <c r="G81" i="55"/>
  <c r="D81" i="55"/>
  <c r="H81" i="55" s="1"/>
  <c r="I81" i="55" s="1"/>
  <c r="B82" i="55" s="1"/>
  <c r="G83" i="54"/>
  <c r="D83" i="54"/>
  <c r="H83" i="54" s="1"/>
  <c r="C83" i="54"/>
  <c r="D83" i="51"/>
  <c r="H83" i="51" s="1"/>
  <c r="I83" i="51" s="1"/>
  <c r="B84" i="51" s="1"/>
  <c r="C79" i="52"/>
  <c r="H133" i="54"/>
  <c r="G133" i="54"/>
  <c r="D133" i="54"/>
  <c r="C133" i="54"/>
  <c r="I133" i="54"/>
  <c r="B134" i="54" s="1"/>
  <c r="D79" i="52"/>
  <c r="H79" i="52" s="1"/>
  <c r="I79" i="52" s="1"/>
  <c r="B80" i="52" s="1"/>
  <c r="H82" i="48"/>
  <c r="I82" i="48" s="1"/>
  <c r="B83" i="48" s="1"/>
  <c r="G83" i="48" s="1"/>
  <c r="C83" i="51"/>
  <c r="I133" i="53"/>
  <c r="B134" i="53" s="1"/>
  <c r="H133" i="53"/>
  <c r="G133" i="53"/>
  <c r="D133" i="53"/>
  <c r="C133" i="53"/>
  <c r="D81" i="53"/>
  <c r="C81" i="53"/>
  <c r="G81" i="53"/>
  <c r="G81" i="47"/>
  <c r="H81" i="47" s="1"/>
  <c r="I81" i="47" s="1"/>
  <c r="B82" i="47" s="1"/>
  <c r="I133" i="52"/>
  <c r="B134" i="52" s="1"/>
  <c r="H133" i="52"/>
  <c r="G133" i="52"/>
  <c r="D133" i="52"/>
  <c r="C133" i="52"/>
  <c r="I133" i="51"/>
  <c r="B134" i="51" s="1"/>
  <c r="H133" i="51"/>
  <c r="G133" i="51"/>
  <c r="D133" i="51"/>
  <c r="C133" i="51"/>
  <c r="C81" i="47"/>
  <c r="D132" i="50"/>
  <c r="C132" i="50"/>
  <c r="I132" i="50"/>
  <c r="B133" i="50" s="1"/>
  <c r="H132" i="50"/>
  <c r="G132" i="50"/>
  <c r="G81" i="50"/>
  <c r="D81" i="50"/>
  <c r="C81" i="50"/>
  <c r="I132" i="49"/>
  <c r="B133" i="49" s="1"/>
  <c r="H132" i="49"/>
  <c r="G132" i="49"/>
  <c r="D132" i="49"/>
  <c r="C132" i="49"/>
  <c r="D82" i="49"/>
  <c r="G82" i="49"/>
  <c r="C82" i="49"/>
  <c r="I132" i="48"/>
  <c r="B133" i="48" s="1"/>
  <c r="H132" i="48"/>
  <c r="G132" i="48"/>
  <c r="D132" i="48"/>
  <c r="C132" i="48"/>
  <c r="I132" i="47"/>
  <c r="B133" i="47" s="1"/>
  <c r="C132" i="47"/>
  <c r="H132" i="47"/>
  <c r="G132" i="47"/>
  <c r="D132" i="47"/>
  <c r="AC1295" i="33"/>
  <c r="AE1295" i="33" s="1"/>
  <c r="AE1294" i="33"/>
  <c r="AF1295" i="33" s="1"/>
  <c r="AQ47" i="33" s="1"/>
  <c r="AQ53" i="33" s="1"/>
  <c r="AQ55" i="33" s="1"/>
  <c r="AQ59" i="33" s="1"/>
  <c r="D82" i="35" l="1"/>
  <c r="H82" i="35" s="1"/>
  <c r="I82" i="35" s="1"/>
  <c r="B83" i="35" s="1"/>
  <c r="G83" i="35" s="1"/>
  <c r="C82" i="35"/>
  <c r="G82" i="55"/>
  <c r="D82" i="55"/>
  <c r="H82" i="55" s="1"/>
  <c r="I82" i="55" s="1"/>
  <c r="B83" i="55" s="1"/>
  <c r="C82" i="55"/>
  <c r="H81" i="53"/>
  <c r="I81" i="53" s="1"/>
  <c r="B82" i="53" s="1"/>
  <c r="D82" i="53" s="1"/>
  <c r="I134" i="55"/>
  <c r="B135" i="55" s="1"/>
  <c r="H134" i="55"/>
  <c r="G134" i="55"/>
  <c r="D134" i="55"/>
  <c r="C134" i="55"/>
  <c r="I83" i="54"/>
  <c r="B84" i="54" s="1"/>
  <c r="I134" i="54"/>
  <c r="B135" i="54" s="1"/>
  <c r="H134" i="54"/>
  <c r="G134" i="54"/>
  <c r="D134" i="54"/>
  <c r="C134" i="54"/>
  <c r="C83" i="48"/>
  <c r="D83" i="48"/>
  <c r="H83" i="48" s="1"/>
  <c r="I83" i="48" s="1"/>
  <c r="B84" i="48" s="1"/>
  <c r="I134" i="53"/>
  <c r="B135" i="53" s="1"/>
  <c r="H134" i="53"/>
  <c r="G134" i="53"/>
  <c r="C134" i="53"/>
  <c r="D134" i="53"/>
  <c r="I134" i="52"/>
  <c r="B135" i="52" s="1"/>
  <c r="H134" i="52"/>
  <c r="G134" i="52"/>
  <c r="D134" i="52"/>
  <c r="C134" i="52"/>
  <c r="D80" i="52"/>
  <c r="C80" i="52"/>
  <c r="G80" i="52"/>
  <c r="H81" i="50"/>
  <c r="I81" i="50" s="1"/>
  <c r="B82" i="50" s="1"/>
  <c r="G82" i="50" s="1"/>
  <c r="D134" i="51"/>
  <c r="C134" i="51"/>
  <c r="I134" i="51"/>
  <c r="B135" i="51" s="1"/>
  <c r="H134" i="51"/>
  <c r="G134" i="51"/>
  <c r="C84" i="51"/>
  <c r="G84" i="51"/>
  <c r="D84" i="51"/>
  <c r="H82" i="49"/>
  <c r="I82" i="49" s="1"/>
  <c r="B83" i="49" s="1"/>
  <c r="G83" i="49" s="1"/>
  <c r="H133" i="50"/>
  <c r="G133" i="50"/>
  <c r="D133" i="50"/>
  <c r="C133" i="50"/>
  <c r="I133" i="50"/>
  <c r="B134" i="50" s="1"/>
  <c r="I133" i="49"/>
  <c r="B134" i="49" s="1"/>
  <c r="H133" i="49"/>
  <c r="G133" i="49"/>
  <c r="C133" i="49"/>
  <c r="D133" i="49"/>
  <c r="C133" i="48"/>
  <c r="I133" i="48"/>
  <c r="B134" i="48" s="1"/>
  <c r="H133" i="48"/>
  <c r="D133" i="48"/>
  <c r="G133" i="48"/>
  <c r="G133" i="47"/>
  <c r="I133" i="47"/>
  <c r="B134" i="47" s="1"/>
  <c r="H133" i="47"/>
  <c r="D133" i="47"/>
  <c r="C133" i="47"/>
  <c r="G82" i="47"/>
  <c r="D82" i="47"/>
  <c r="C82" i="47"/>
  <c r="C80" i="3"/>
  <c r="D79" i="3" s="1"/>
  <c r="I81" i="3"/>
  <c r="J81" i="3" s="1"/>
  <c r="K81" i="3" s="1"/>
  <c r="L81" i="3" s="1"/>
  <c r="I84" i="3"/>
  <c r="J84" i="3" s="1"/>
  <c r="K84" i="3" s="1"/>
  <c r="L84" i="3" s="1"/>
  <c r="I85" i="3"/>
  <c r="J85" i="3" s="1"/>
  <c r="K85" i="3" s="1"/>
  <c r="L85" i="3" s="1"/>
  <c r="C60" i="2"/>
  <c r="D60" i="2" s="1"/>
  <c r="E60" i="2" s="1"/>
  <c r="F60" i="2" s="1"/>
  <c r="G60" i="2" s="1"/>
  <c r="H60" i="2" s="1"/>
  <c r="I60" i="2" s="1"/>
  <c r="J60" i="2" s="1"/>
  <c r="K60" i="2" s="1"/>
  <c r="L60" i="2" s="1"/>
  <c r="M60" i="2" s="1"/>
  <c r="B6" i="2"/>
  <c r="D20" i="2" s="1"/>
  <c r="H84" i="51" l="1"/>
  <c r="I84" i="51" s="1"/>
  <c r="B85" i="51" s="1"/>
  <c r="G85" i="51" s="1"/>
  <c r="C87" i="3"/>
  <c r="C83" i="35"/>
  <c r="D83" i="35"/>
  <c r="H83" i="35" s="1"/>
  <c r="I83" i="35" s="1"/>
  <c r="B84" i="35" s="1"/>
  <c r="G84" i="35" s="1"/>
  <c r="C82" i="53"/>
  <c r="G82" i="53"/>
  <c r="H82" i="53" s="1"/>
  <c r="I82" i="53" s="1"/>
  <c r="B83" i="53" s="1"/>
  <c r="G83" i="55"/>
  <c r="D83" i="55"/>
  <c r="C83" i="55"/>
  <c r="I135" i="55"/>
  <c r="B136" i="55" s="1"/>
  <c r="H135" i="55"/>
  <c r="G135" i="55"/>
  <c r="D135" i="55"/>
  <c r="C135" i="55"/>
  <c r="H80" i="52"/>
  <c r="I80" i="52" s="1"/>
  <c r="B81" i="52" s="1"/>
  <c r="G81" i="52" s="1"/>
  <c r="C82" i="50"/>
  <c r="I135" i="54"/>
  <c r="B136" i="54" s="1"/>
  <c r="D135" i="54"/>
  <c r="H135" i="54"/>
  <c r="G135" i="54"/>
  <c r="C135" i="54"/>
  <c r="C84" i="54"/>
  <c r="G84" i="54"/>
  <c r="D84" i="54"/>
  <c r="C135" i="53"/>
  <c r="I135" i="53"/>
  <c r="B136" i="53" s="1"/>
  <c r="G135" i="53"/>
  <c r="D135" i="53"/>
  <c r="H135" i="53"/>
  <c r="D82" i="50"/>
  <c r="H82" i="50" s="1"/>
  <c r="I82" i="50" s="1"/>
  <c r="B83" i="50" s="1"/>
  <c r="C83" i="49"/>
  <c r="C135" i="52"/>
  <c r="I135" i="52"/>
  <c r="B136" i="52" s="1"/>
  <c r="H135" i="52"/>
  <c r="D135" i="52"/>
  <c r="G135" i="52"/>
  <c r="D85" i="51"/>
  <c r="C85" i="51"/>
  <c r="H135" i="51"/>
  <c r="G135" i="51"/>
  <c r="D135" i="51"/>
  <c r="C135" i="51"/>
  <c r="I135" i="51"/>
  <c r="B136" i="51" s="1"/>
  <c r="D83" i="49"/>
  <c r="H83" i="49" s="1"/>
  <c r="I83" i="49" s="1"/>
  <c r="B84" i="49" s="1"/>
  <c r="C84" i="49" s="1"/>
  <c r="I134" i="50"/>
  <c r="B135" i="50" s="1"/>
  <c r="H134" i="50"/>
  <c r="G134" i="50"/>
  <c r="D134" i="50"/>
  <c r="C134" i="50"/>
  <c r="C134" i="49"/>
  <c r="I134" i="49"/>
  <c r="B135" i="49" s="1"/>
  <c r="G134" i="49"/>
  <c r="H134" i="49"/>
  <c r="D134" i="49"/>
  <c r="H82" i="47"/>
  <c r="I82" i="47" s="1"/>
  <c r="B83" i="47" s="1"/>
  <c r="C83" i="47" s="1"/>
  <c r="G134" i="48"/>
  <c r="D134" i="48"/>
  <c r="C134" i="48"/>
  <c r="H134" i="48"/>
  <c r="I134" i="48"/>
  <c r="B135" i="48" s="1"/>
  <c r="G84" i="48"/>
  <c r="D84" i="48"/>
  <c r="C84" i="48"/>
  <c r="C134" i="47"/>
  <c r="I134" i="47"/>
  <c r="B135" i="47" s="1"/>
  <c r="H134" i="47"/>
  <c r="G134" i="47"/>
  <c r="D134" i="47"/>
  <c r="E20" i="2"/>
  <c r="F20" i="2" s="1"/>
  <c r="G20" i="2" s="1"/>
  <c r="H20" i="2" s="1"/>
  <c r="I20" i="2" s="1"/>
  <c r="J20" i="2" s="1"/>
  <c r="K20" i="2" s="1"/>
  <c r="L20" i="2" s="1"/>
  <c r="M20" i="2" s="1"/>
  <c r="D42" i="2"/>
  <c r="E42" i="2" s="1"/>
  <c r="F42" i="2" s="1"/>
  <c r="G42" i="2" s="1"/>
  <c r="H42" i="2" s="1"/>
  <c r="C81" i="2"/>
  <c r="D81" i="2" s="1"/>
  <c r="E81" i="2" s="1"/>
  <c r="F81" i="2" s="1"/>
  <c r="G81" i="2" s="1"/>
  <c r="H81" i="2" s="1"/>
  <c r="I81" i="2" s="1"/>
  <c r="J81" i="2" s="1"/>
  <c r="K81" i="2" s="1"/>
  <c r="L81" i="2" s="1"/>
  <c r="M81" i="2" s="1"/>
  <c r="M81" i="3"/>
  <c r="H85" i="51" l="1"/>
  <c r="I85" i="51" s="1"/>
  <c r="B86" i="51" s="1"/>
  <c r="C86" i="51" s="1"/>
  <c r="C81" i="52"/>
  <c r="D81" i="52"/>
  <c r="H81" i="52" s="1"/>
  <c r="I81" i="52" s="1"/>
  <c r="B82" i="52" s="1"/>
  <c r="D82" i="52" s="1"/>
  <c r="H84" i="54"/>
  <c r="I84" i="54" s="1"/>
  <c r="B85" i="54" s="1"/>
  <c r="G85" i="54" s="1"/>
  <c r="H83" i="55"/>
  <c r="I83" i="55" s="1"/>
  <c r="B84" i="55" s="1"/>
  <c r="G84" i="55" s="1"/>
  <c r="C136" i="55"/>
  <c r="I136" i="55"/>
  <c r="B137" i="55" s="1"/>
  <c r="H136" i="55"/>
  <c r="G136" i="55"/>
  <c r="D136" i="55"/>
  <c r="D136" i="54"/>
  <c r="C136" i="54"/>
  <c r="H136" i="54"/>
  <c r="I136" i="54"/>
  <c r="B137" i="54" s="1"/>
  <c r="G136" i="54"/>
  <c r="G136" i="53"/>
  <c r="D136" i="53"/>
  <c r="C136" i="53"/>
  <c r="I136" i="53"/>
  <c r="B137" i="53" s="1"/>
  <c r="H136" i="53"/>
  <c r="C83" i="53"/>
  <c r="G83" i="53"/>
  <c r="D83" i="53"/>
  <c r="D84" i="49"/>
  <c r="G84" i="49"/>
  <c r="G136" i="52"/>
  <c r="D136" i="52"/>
  <c r="C136" i="52"/>
  <c r="I136" i="52"/>
  <c r="B137" i="52" s="1"/>
  <c r="H136" i="52"/>
  <c r="G86" i="51"/>
  <c r="D86" i="51"/>
  <c r="I136" i="51"/>
  <c r="B137" i="51" s="1"/>
  <c r="H136" i="51"/>
  <c r="G136" i="51"/>
  <c r="D136" i="51"/>
  <c r="C136" i="51"/>
  <c r="H84" i="48"/>
  <c r="I84" i="48" s="1"/>
  <c r="B85" i="48" s="1"/>
  <c r="C85" i="48" s="1"/>
  <c r="G83" i="47"/>
  <c r="I135" i="50"/>
  <c r="B136" i="50" s="1"/>
  <c r="H135" i="50"/>
  <c r="G135" i="50"/>
  <c r="D135" i="50"/>
  <c r="C135" i="50"/>
  <c r="D83" i="47"/>
  <c r="G83" i="50"/>
  <c r="D83" i="50"/>
  <c r="C83" i="50"/>
  <c r="G135" i="49"/>
  <c r="D135" i="49"/>
  <c r="C135" i="49"/>
  <c r="I135" i="49"/>
  <c r="B136" i="49" s="1"/>
  <c r="H135" i="49"/>
  <c r="I135" i="48"/>
  <c r="B136" i="48" s="1"/>
  <c r="H135" i="48"/>
  <c r="G135" i="48"/>
  <c r="D135" i="48"/>
  <c r="C135" i="48"/>
  <c r="G135" i="47"/>
  <c r="H135" i="47"/>
  <c r="D135" i="47"/>
  <c r="C135" i="47"/>
  <c r="I135" i="47"/>
  <c r="B136" i="47" s="1"/>
  <c r="D84" i="35"/>
  <c r="H84" i="35" s="1"/>
  <c r="I84" i="35" s="1"/>
  <c r="B85" i="35" s="1"/>
  <c r="D85" i="35" s="1"/>
  <c r="C84" i="35"/>
  <c r="H56" i="3"/>
  <c r="E66" i="3"/>
  <c r="F66" i="3" s="1"/>
  <c r="E65" i="3"/>
  <c r="F65" i="3" s="1"/>
  <c r="E64" i="3"/>
  <c r="F64" i="3" s="1"/>
  <c r="E63" i="3"/>
  <c r="F63" i="3" s="1"/>
  <c r="E62" i="3"/>
  <c r="F62" i="3" s="1"/>
  <c r="E61" i="3"/>
  <c r="F61" i="3" s="1"/>
  <c r="E60" i="3"/>
  <c r="F60" i="3" s="1"/>
  <c r="E59" i="3"/>
  <c r="F59" i="3" s="1"/>
  <c r="E58" i="3"/>
  <c r="F58" i="3" s="1"/>
  <c r="E57" i="3"/>
  <c r="F57" i="3" s="1"/>
  <c r="H66" i="3"/>
  <c r="H65" i="3"/>
  <c r="H64" i="3"/>
  <c r="H63" i="3"/>
  <c r="H62" i="3"/>
  <c r="H61" i="3"/>
  <c r="H60" i="3"/>
  <c r="H59" i="3"/>
  <c r="H58" i="3"/>
  <c r="H57" i="3"/>
  <c r="B89" i="2"/>
  <c r="C112" i="2"/>
  <c r="C77" i="2" s="1"/>
  <c r="C110" i="2"/>
  <c r="C75" i="2" s="1"/>
  <c r="B112" i="2"/>
  <c r="B77" i="2" s="1"/>
  <c r="B110" i="2"/>
  <c r="B75" i="2" s="1"/>
  <c r="D85" i="54" l="1"/>
  <c r="H85" i="54" s="1"/>
  <c r="I85" i="54" s="1"/>
  <c r="B86" i="54" s="1"/>
  <c r="C86" i="54" s="1"/>
  <c r="C85" i="54"/>
  <c r="H83" i="53"/>
  <c r="I83" i="53" s="1"/>
  <c r="B84" i="53" s="1"/>
  <c r="C84" i="53" s="1"/>
  <c r="C84" i="55"/>
  <c r="D85" i="48"/>
  <c r="D84" i="55"/>
  <c r="H84" i="55" s="1"/>
  <c r="I84" i="55" s="1"/>
  <c r="B85" i="55" s="1"/>
  <c r="D85" i="55" s="1"/>
  <c r="H83" i="47"/>
  <c r="I83" i="47" s="1"/>
  <c r="B84" i="47" s="1"/>
  <c r="C84" i="47" s="1"/>
  <c r="H84" i="49"/>
  <c r="I84" i="49" s="1"/>
  <c r="B85" i="49" s="1"/>
  <c r="C85" i="49" s="1"/>
  <c r="G85" i="48"/>
  <c r="G137" i="55"/>
  <c r="D137" i="55"/>
  <c r="C137" i="55"/>
  <c r="I137" i="55"/>
  <c r="B138" i="55" s="1"/>
  <c r="H137" i="55"/>
  <c r="H83" i="50"/>
  <c r="I83" i="50" s="1"/>
  <c r="B84" i="50" s="1"/>
  <c r="G84" i="50" s="1"/>
  <c r="C82" i="52"/>
  <c r="G82" i="52"/>
  <c r="H82" i="52" s="1"/>
  <c r="I82" i="52" s="1"/>
  <c r="B83" i="52" s="1"/>
  <c r="H137" i="54"/>
  <c r="G137" i="54"/>
  <c r="D137" i="54"/>
  <c r="C137" i="54"/>
  <c r="I137" i="54"/>
  <c r="B138" i="54" s="1"/>
  <c r="I137" i="53"/>
  <c r="B138" i="53" s="1"/>
  <c r="H137" i="53"/>
  <c r="G137" i="53"/>
  <c r="D137" i="53"/>
  <c r="C137" i="53"/>
  <c r="H86" i="51"/>
  <c r="I86" i="51" s="1"/>
  <c r="B87" i="51" s="1"/>
  <c r="G87" i="51" s="1"/>
  <c r="I137" i="52"/>
  <c r="B138" i="52" s="1"/>
  <c r="H137" i="52"/>
  <c r="G137" i="52"/>
  <c r="D137" i="52"/>
  <c r="C137" i="52"/>
  <c r="I137" i="51"/>
  <c r="B138" i="51" s="1"/>
  <c r="H137" i="51"/>
  <c r="G137" i="51"/>
  <c r="C137" i="51"/>
  <c r="D137" i="51"/>
  <c r="D136" i="50"/>
  <c r="C136" i="50"/>
  <c r="I136" i="50"/>
  <c r="B137" i="50" s="1"/>
  <c r="H136" i="50"/>
  <c r="G136" i="50"/>
  <c r="I136" i="49"/>
  <c r="B137" i="49" s="1"/>
  <c r="H136" i="49"/>
  <c r="G136" i="49"/>
  <c r="D136" i="49"/>
  <c r="C136" i="49"/>
  <c r="I136" i="48"/>
  <c r="B137" i="48" s="1"/>
  <c r="H136" i="48"/>
  <c r="G136" i="48"/>
  <c r="D136" i="48"/>
  <c r="C136" i="48"/>
  <c r="I136" i="47"/>
  <c r="B137" i="47" s="1"/>
  <c r="C136" i="47"/>
  <c r="G136" i="47"/>
  <c r="D136" i="47"/>
  <c r="H136" i="47"/>
  <c r="C85" i="35"/>
  <c r="G85" i="35"/>
  <c r="H85" i="35" s="1"/>
  <c r="I85" i="35" s="1"/>
  <c r="B86" i="35" s="1"/>
  <c r="G86" i="35" s="1"/>
  <c r="I66" i="3"/>
  <c r="J66" i="3" s="1"/>
  <c r="I57" i="3"/>
  <c r="J57" i="3" s="1"/>
  <c r="I60" i="3"/>
  <c r="J60" i="3" s="1"/>
  <c r="I61" i="3"/>
  <c r="J61" i="3" s="1"/>
  <c r="I62" i="3"/>
  <c r="J62" i="3" s="1"/>
  <c r="I64" i="3"/>
  <c r="J64" i="3" s="1"/>
  <c r="I65" i="3"/>
  <c r="J65" i="3" s="1"/>
  <c r="I63" i="3"/>
  <c r="J63" i="3" s="1"/>
  <c r="I58" i="3"/>
  <c r="J58" i="3" s="1"/>
  <c r="I59" i="3"/>
  <c r="J59" i="3" s="1"/>
  <c r="C106" i="2"/>
  <c r="B106" i="2"/>
  <c r="C100" i="2"/>
  <c r="B100" i="2"/>
  <c r="B91" i="2"/>
  <c r="H85" i="48" l="1"/>
  <c r="I85" i="48" s="1"/>
  <c r="B86" i="48" s="1"/>
  <c r="D86" i="48" s="1"/>
  <c r="G86" i="54"/>
  <c r="D86" i="54"/>
  <c r="H86" i="54"/>
  <c r="I86" i="54" s="1"/>
  <c r="B87" i="54" s="1"/>
  <c r="C87" i="54" s="1"/>
  <c r="D84" i="53"/>
  <c r="G84" i="53"/>
  <c r="C84" i="50"/>
  <c r="G85" i="49"/>
  <c r="D85" i="49"/>
  <c r="C85" i="55"/>
  <c r="G85" i="55"/>
  <c r="H85" i="55" s="1"/>
  <c r="I85" i="55" s="1"/>
  <c r="B86" i="55" s="1"/>
  <c r="D86" i="55" s="1"/>
  <c r="G84" i="47"/>
  <c r="D84" i="47"/>
  <c r="D87" i="51"/>
  <c r="H87" i="51" s="1"/>
  <c r="I87" i="51" s="1"/>
  <c r="B88" i="51" s="1"/>
  <c r="C88" i="51" s="1"/>
  <c r="C87" i="51"/>
  <c r="D84" i="50"/>
  <c r="H84" i="50" s="1"/>
  <c r="I84" i="50" s="1"/>
  <c r="B85" i="50" s="1"/>
  <c r="D83" i="52"/>
  <c r="G83" i="52"/>
  <c r="C83" i="52"/>
  <c r="I138" i="55"/>
  <c r="B139" i="55" s="1"/>
  <c r="H138" i="55"/>
  <c r="G138" i="55"/>
  <c r="D138" i="55"/>
  <c r="C138" i="55"/>
  <c r="I138" i="54"/>
  <c r="B139" i="54" s="1"/>
  <c r="H138" i="54"/>
  <c r="G138" i="54"/>
  <c r="D138" i="54"/>
  <c r="C138" i="54"/>
  <c r="I138" i="53"/>
  <c r="B139" i="53" s="1"/>
  <c r="H138" i="53"/>
  <c r="G138" i="53"/>
  <c r="C138" i="53"/>
  <c r="D138" i="53"/>
  <c r="I138" i="52"/>
  <c r="B139" i="52" s="1"/>
  <c r="H138" i="52"/>
  <c r="G138" i="52"/>
  <c r="D138" i="52"/>
  <c r="C138" i="52"/>
  <c r="D138" i="51"/>
  <c r="C138" i="51"/>
  <c r="I138" i="51"/>
  <c r="B139" i="51" s="1"/>
  <c r="H138" i="51"/>
  <c r="G138" i="51"/>
  <c r="H137" i="50"/>
  <c r="G137" i="50"/>
  <c r="D137" i="50"/>
  <c r="C137" i="50"/>
  <c r="I137" i="50"/>
  <c r="B138" i="50" s="1"/>
  <c r="I137" i="49"/>
  <c r="B138" i="49" s="1"/>
  <c r="H137" i="49"/>
  <c r="G137" i="49"/>
  <c r="C137" i="49"/>
  <c r="D137" i="49"/>
  <c r="C137" i="48"/>
  <c r="D137" i="48"/>
  <c r="I137" i="48"/>
  <c r="B138" i="48" s="1"/>
  <c r="H137" i="48"/>
  <c r="G137" i="48"/>
  <c r="G137" i="47"/>
  <c r="D137" i="47"/>
  <c r="C137" i="47"/>
  <c r="H137" i="47"/>
  <c r="I137" i="47"/>
  <c r="B138" i="47" s="1"/>
  <c r="C86" i="35"/>
  <c r="D86" i="35"/>
  <c r="H86" i="35" s="1"/>
  <c r="I86" i="35" s="1"/>
  <c r="B87" i="35" s="1"/>
  <c r="C87" i="35" s="1"/>
  <c r="C102" i="2"/>
  <c r="B102" i="2"/>
  <c r="C89" i="2"/>
  <c r="H83" i="52" l="1"/>
  <c r="I83" i="52" s="1"/>
  <c r="B84" i="52" s="1"/>
  <c r="C84" i="52" s="1"/>
  <c r="G86" i="48"/>
  <c r="C86" i="48"/>
  <c r="H85" i="49"/>
  <c r="I85" i="49" s="1"/>
  <c r="B86" i="49" s="1"/>
  <c r="C86" i="49" s="1"/>
  <c r="H86" i="48"/>
  <c r="I86" i="48" s="1"/>
  <c r="B87" i="48" s="1"/>
  <c r="G87" i="48" s="1"/>
  <c r="H84" i="47"/>
  <c r="I84" i="47" s="1"/>
  <c r="B85" i="47" s="1"/>
  <c r="G85" i="47" s="1"/>
  <c r="G87" i="54"/>
  <c r="D87" i="54"/>
  <c r="H87" i="54" s="1"/>
  <c r="I87" i="54" s="1"/>
  <c r="B88" i="54" s="1"/>
  <c r="C88" i="54" s="1"/>
  <c r="G86" i="55"/>
  <c r="H86" i="55" s="1"/>
  <c r="I86" i="55" s="1"/>
  <c r="B87" i="55" s="1"/>
  <c r="C86" i="55"/>
  <c r="H84" i="53"/>
  <c r="I84" i="53" s="1"/>
  <c r="B85" i="53" s="1"/>
  <c r="D85" i="50"/>
  <c r="G85" i="50"/>
  <c r="G84" i="52"/>
  <c r="C85" i="50"/>
  <c r="I139" i="55"/>
  <c r="B140" i="55" s="1"/>
  <c r="H139" i="55"/>
  <c r="G139" i="55"/>
  <c r="D139" i="55"/>
  <c r="C139" i="55"/>
  <c r="I139" i="54"/>
  <c r="B140" i="54" s="1"/>
  <c r="D139" i="54"/>
  <c r="H139" i="54"/>
  <c r="G139" i="54"/>
  <c r="C139" i="54"/>
  <c r="C139" i="53"/>
  <c r="I139" i="53"/>
  <c r="B140" i="53" s="1"/>
  <c r="G139" i="53"/>
  <c r="D139" i="53"/>
  <c r="H139" i="53"/>
  <c r="G88" i="51"/>
  <c r="D88" i="51"/>
  <c r="C139" i="52"/>
  <c r="I139" i="52"/>
  <c r="B140" i="52" s="1"/>
  <c r="H139" i="52"/>
  <c r="G139" i="52"/>
  <c r="D139" i="52"/>
  <c r="H139" i="51"/>
  <c r="G139" i="51"/>
  <c r="D139" i="51"/>
  <c r="C139" i="51"/>
  <c r="I139" i="51"/>
  <c r="B140" i="51" s="1"/>
  <c r="I138" i="50"/>
  <c r="B139" i="50" s="1"/>
  <c r="H138" i="50"/>
  <c r="G138" i="50"/>
  <c r="D138" i="50"/>
  <c r="C138" i="50"/>
  <c r="C138" i="49"/>
  <c r="I138" i="49"/>
  <c r="B139" i="49" s="1"/>
  <c r="G138" i="49"/>
  <c r="H138" i="49"/>
  <c r="D138" i="49"/>
  <c r="G138" i="48"/>
  <c r="D138" i="48"/>
  <c r="H138" i="48"/>
  <c r="C138" i="48"/>
  <c r="I138" i="48"/>
  <c r="B139" i="48" s="1"/>
  <c r="C138" i="47"/>
  <c r="I138" i="47"/>
  <c r="B139" i="47" s="1"/>
  <c r="H138" i="47"/>
  <c r="D138" i="47"/>
  <c r="G138" i="47"/>
  <c r="D87" i="35"/>
  <c r="G87" i="35"/>
  <c r="B87" i="2"/>
  <c r="D102" i="3"/>
  <c r="E102" i="3" s="1"/>
  <c r="F102" i="3" s="1"/>
  <c r="G102" i="3" s="1"/>
  <c r="H102" i="3" s="1"/>
  <c r="I102" i="3" s="1"/>
  <c r="J102" i="3" s="1"/>
  <c r="K102" i="3" s="1"/>
  <c r="L102" i="3" s="1"/>
  <c r="M102" i="3" s="1"/>
  <c r="H85" i="50" l="1"/>
  <c r="I85" i="50" s="1"/>
  <c r="B86" i="50" s="1"/>
  <c r="G86" i="50" s="1"/>
  <c r="D84" i="52"/>
  <c r="D86" i="49"/>
  <c r="G86" i="49"/>
  <c r="D87" i="48"/>
  <c r="H87" i="48" s="1"/>
  <c r="I87" i="48" s="1"/>
  <c r="B88" i="48" s="1"/>
  <c r="D88" i="48" s="1"/>
  <c r="C87" i="48"/>
  <c r="C85" i="47"/>
  <c r="D85" i="47"/>
  <c r="H85" i="47" s="1"/>
  <c r="I85" i="47" s="1"/>
  <c r="B86" i="47" s="1"/>
  <c r="C86" i="47" s="1"/>
  <c r="G87" i="55"/>
  <c r="C87" i="55"/>
  <c r="D87" i="55"/>
  <c r="H87" i="55" s="1"/>
  <c r="I87" i="55" s="1"/>
  <c r="B88" i="55" s="1"/>
  <c r="G88" i="55" s="1"/>
  <c r="D88" i="54"/>
  <c r="G88" i="54"/>
  <c r="H88" i="54"/>
  <c r="I88" i="54" s="1"/>
  <c r="B89" i="54" s="1"/>
  <c r="G89" i="54" s="1"/>
  <c r="D85" i="53"/>
  <c r="C85" i="53"/>
  <c r="G85" i="53"/>
  <c r="H84" i="52"/>
  <c r="I84" i="52" s="1"/>
  <c r="B85" i="52" s="1"/>
  <c r="D85" i="52" s="1"/>
  <c r="C140" i="55"/>
  <c r="I140" i="55"/>
  <c r="B141" i="55" s="1"/>
  <c r="H140" i="55"/>
  <c r="G140" i="55"/>
  <c r="D140" i="55"/>
  <c r="C86" i="50"/>
  <c r="H88" i="51"/>
  <c r="I88" i="51" s="1"/>
  <c r="B89" i="51" s="1"/>
  <c r="G89" i="51" s="1"/>
  <c r="D140" i="54"/>
  <c r="C140" i="54"/>
  <c r="H140" i="54"/>
  <c r="G140" i="54"/>
  <c r="I140" i="54"/>
  <c r="B141" i="54" s="1"/>
  <c r="G140" i="53"/>
  <c r="D140" i="53"/>
  <c r="C140" i="53"/>
  <c r="I140" i="53"/>
  <c r="B141" i="53" s="1"/>
  <c r="H140" i="53"/>
  <c r="G140" i="52"/>
  <c r="D140" i="52"/>
  <c r="C140" i="52"/>
  <c r="H140" i="52"/>
  <c r="I140" i="52"/>
  <c r="B141" i="52" s="1"/>
  <c r="I140" i="51"/>
  <c r="B141" i="51" s="1"/>
  <c r="H140" i="51"/>
  <c r="G140" i="51"/>
  <c r="D140" i="51"/>
  <c r="C140" i="51"/>
  <c r="I139" i="50"/>
  <c r="B140" i="50" s="1"/>
  <c r="H139" i="50"/>
  <c r="G139" i="50"/>
  <c r="D139" i="50"/>
  <c r="C139" i="50"/>
  <c r="G139" i="49"/>
  <c r="D139" i="49"/>
  <c r="C139" i="49"/>
  <c r="I139" i="49"/>
  <c r="B140" i="49" s="1"/>
  <c r="H139" i="49"/>
  <c r="I139" i="48"/>
  <c r="B140" i="48" s="1"/>
  <c r="H139" i="48"/>
  <c r="G139" i="48"/>
  <c r="D139" i="48"/>
  <c r="C139" i="48"/>
  <c r="G139" i="47"/>
  <c r="C139" i="47"/>
  <c r="I139" i="47"/>
  <c r="B140" i="47" s="1"/>
  <c r="H139" i="47"/>
  <c r="D139" i="47"/>
  <c r="H87" i="35"/>
  <c r="I87" i="35" s="1"/>
  <c r="B88" i="35" s="1"/>
  <c r="G88" i="35" s="1"/>
  <c r="B96" i="2"/>
  <c r="C108" i="2"/>
  <c r="B108" i="2"/>
  <c r="D86" i="50" l="1"/>
  <c r="H86" i="50" s="1"/>
  <c r="I86" i="50" s="1"/>
  <c r="B87" i="50" s="1"/>
  <c r="D87" i="50" s="1"/>
  <c r="H86" i="49"/>
  <c r="I86" i="49" s="1"/>
  <c r="B87" i="49" s="1"/>
  <c r="G87" i="49" s="1"/>
  <c r="G88" i="48"/>
  <c r="H88" i="48" s="1"/>
  <c r="I88" i="48" s="1"/>
  <c r="B89" i="48" s="1"/>
  <c r="D89" i="48" s="1"/>
  <c r="C85" i="52"/>
  <c r="C88" i="48"/>
  <c r="G86" i="47"/>
  <c r="D86" i="47"/>
  <c r="H86" i="47" s="1"/>
  <c r="I86" i="47" s="1"/>
  <c r="B87" i="47" s="1"/>
  <c r="C87" i="47" s="1"/>
  <c r="G85" i="52"/>
  <c r="H85" i="52" s="1"/>
  <c r="I85" i="52" s="1"/>
  <c r="B86" i="52" s="1"/>
  <c r="D86" i="52" s="1"/>
  <c r="C89" i="54"/>
  <c r="D89" i="54"/>
  <c r="C88" i="55"/>
  <c r="D88" i="55"/>
  <c r="H88" i="55" s="1"/>
  <c r="I88" i="55" s="1"/>
  <c r="B89" i="55" s="1"/>
  <c r="G89" i="55" s="1"/>
  <c r="H85" i="53"/>
  <c r="I85" i="53" s="1"/>
  <c r="B86" i="53" s="1"/>
  <c r="D87" i="49"/>
  <c r="H87" i="49" s="1"/>
  <c r="I87" i="49" s="1"/>
  <c r="B88" i="49" s="1"/>
  <c r="G88" i="49" s="1"/>
  <c r="D89" i="51"/>
  <c r="H89" i="51" s="1"/>
  <c r="I89" i="51" s="1"/>
  <c r="B90" i="51" s="1"/>
  <c r="C89" i="51"/>
  <c r="G141" i="55"/>
  <c r="D141" i="55"/>
  <c r="C141" i="55"/>
  <c r="I141" i="55"/>
  <c r="B142" i="55" s="1"/>
  <c r="H141" i="55"/>
  <c r="C87" i="49"/>
  <c r="H89" i="54"/>
  <c r="I89" i="54" s="1"/>
  <c r="B90" i="54" s="1"/>
  <c r="C90" i="54" s="1"/>
  <c r="H141" i="54"/>
  <c r="G141" i="54"/>
  <c r="D141" i="54"/>
  <c r="C141" i="54"/>
  <c r="I141" i="54"/>
  <c r="B142" i="54" s="1"/>
  <c r="I141" i="53"/>
  <c r="B142" i="53" s="1"/>
  <c r="H141" i="53"/>
  <c r="G141" i="53"/>
  <c r="D141" i="53"/>
  <c r="C141" i="53"/>
  <c r="I141" i="52"/>
  <c r="B142" i="52" s="1"/>
  <c r="H141" i="52"/>
  <c r="G141" i="52"/>
  <c r="D141" i="52"/>
  <c r="C141" i="52"/>
  <c r="I141" i="51"/>
  <c r="B142" i="51" s="1"/>
  <c r="H141" i="51"/>
  <c r="G141" i="51"/>
  <c r="D141" i="51"/>
  <c r="C141" i="51"/>
  <c r="D140" i="50"/>
  <c r="C140" i="50"/>
  <c r="I140" i="50"/>
  <c r="B141" i="50" s="1"/>
  <c r="H140" i="50"/>
  <c r="G140" i="50"/>
  <c r="I140" i="49"/>
  <c r="B141" i="49" s="1"/>
  <c r="H140" i="49"/>
  <c r="G140" i="49"/>
  <c r="D140" i="49"/>
  <c r="C140" i="49"/>
  <c r="I140" i="48"/>
  <c r="B141" i="48" s="1"/>
  <c r="H140" i="48"/>
  <c r="G140" i="48"/>
  <c r="D140" i="48"/>
  <c r="C140" i="48"/>
  <c r="I140" i="47"/>
  <c r="B141" i="47" s="1"/>
  <c r="C140" i="47"/>
  <c r="H140" i="47"/>
  <c r="G140" i="47"/>
  <c r="D140" i="47"/>
  <c r="D88" i="35"/>
  <c r="H88" i="35" s="1"/>
  <c r="I88" i="35" s="1"/>
  <c r="B89" i="35" s="1"/>
  <c r="C89" i="35" s="1"/>
  <c r="C88" i="35"/>
  <c r="C87" i="50" l="1"/>
  <c r="G87" i="50"/>
  <c r="H87" i="50" s="1"/>
  <c r="I87" i="50" s="1"/>
  <c r="B88" i="50" s="1"/>
  <c r="C88" i="50" s="1"/>
  <c r="C89" i="48"/>
  <c r="G89" i="48"/>
  <c r="H89" i="48" s="1"/>
  <c r="I89" i="48" s="1"/>
  <c r="B90" i="48" s="1"/>
  <c r="G90" i="48" s="1"/>
  <c r="G87" i="47"/>
  <c r="D87" i="47"/>
  <c r="D88" i="49"/>
  <c r="H88" i="49" s="1"/>
  <c r="I88" i="49" s="1"/>
  <c r="B89" i="49" s="1"/>
  <c r="C89" i="49" s="1"/>
  <c r="C89" i="55"/>
  <c r="D89" i="55"/>
  <c r="H89" i="55"/>
  <c r="I89" i="55" s="1"/>
  <c r="B90" i="55" s="1"/>
  <c r="D90" i="55" s="1"/>
  <c r="G86" i="53"/>
  <c r="C86" i="53"/>
  <c r="D86" i="53"/>
  <c r="H86" i="53" s="1"/>
  <c r="I86" i="53" s="1"/>
  <c r="B87" i="53" s="1"/>
  <c r="C88" i="49"/>
  <c r="C86" i="52"/>
  <c r="G86" i="52"/>
  <c r="H86" i="52" s="1"/>
  <c r="I86" i="52" s="1"/>
  <c r="B87" i="52" s="1"/>
  <c r="D87" i="52" s="1"/>
  <c r="D90" i="54"/>
  <c r="G90" i="54"/>
  <c r="I142" i="55"/>
  <c r="B143" i="55" s="1"/>
  <c r="H142" i="55"/>
  <c r="G142" i="55"/>
  <c r="D142" i="55"/>
  <c r="C142" i="55"/>
  <c r="I142" i="54"/>
  <c r="B143" i="54" s="1"/>
  <c r="H142" i="54"/>
  <c r="G142" i="54"/>
  <c r="D142" i="54"/>
  <c r="C142" i="54"/>
  <c r="I142" i="53"/>
  <c r="B143" i="53" s="1"/>
  <c r="H142" i="53"/>
  <c r="G142" i="53"/>
  <c r="C142" i="53"/>
  <c r="D142" i="53"/>
  <c r="G90" i="51"/>
  <c r="D90" i="51"/>
  <c r="C90" i="51"/>
  <c r="I142" i="52"/>
  <c r="B143" i="52" s="1"/>
  <c r="H142" i="52"/>
  <c r="G142" i="52"/>
  <c r="D142" i="52"/>
  <c r="C142" i="52"/>
  <c r="D142" i="51"/>
  <c r="C142" i="51"/>
  <c r="I142" i="51"/>
  <c r="B143" i="51" s="1"/>
  <c r="G142" i="51"/>
  <c r="H142" i="51"/>
  <c r="H141" i="50"/>
  <c r="G141" i="50"/>
  <c r="D141" i="50"/>
  <c r="C141" i="50"/>
  <c r="I141" i="50"/>
  <c r="B142" i="50" s="1"/>
  <c r="I141" i="49"/>
  <c r="B142" i="49" s="1"/>
  <c r="H141" i="49"/>
  <c r="G141" i="49"/>
  <c r="C141" i="49"/>
  <c r="D141" i="49"/>
  <c r="C141" i="48"/>
  <c r="I141" i="48"/>
  <c r="B142" i="48" s="1"/>
  <c r="H141" i="48"/>
  <c r="G141" i="48"/>
  <c r="D141" i="48"/>
  <c r="G141" i="47"/>
  <c r="I141" i="47"/>
  <c r="B142" i="47" s="1"/>
  <c r="C141" i="47"/>
  <c r="H141" i="47"/>
  <c r="D141" i="47"/>
  <c r="G89" i="35"/>
  <c r="D89" i="35"/>
  <c r="M84" i="3"/>
  <c r="D88" i="50" l="1"/>
  <c r="G88" i="50"/>
  <c r="D90" i="48"/>
  <c r="H90" i="48" s="1"/>
  <c r="I90" i="48" s="1"/>
  <c r="C90" i="48"/>
  <c r="H87" i="47"/>
  <c r="I87" i="47" s="1"/>
  <c r="B88" i="47" s="1"/>
  <c r="G88" i="47" s="1"/>
  <c r="G90" i="55"/>
  <c r="C90" i="55"/>
  <c r="H90" i="55"/>
  <c r="I90" i="55" s="1"/>
  <c r="C87" i="53"/>
  <c r="G87" i="53"/>
  <c r="D87" i="53"/>
  <c r="D89" i="49"/>
  <c r="G89" i="49"/>
  <c r="H90" i="54"/>
  <c r="I90" i="54" s="1"/>
  <c r="I143" i="55"/>
  <c r="B144" i="55" s="1"/>
  <c r="H143" i="55"/>
  <c r="G143" i="55"/>
  <c r="D143" i="55"/>
  <c r="C143" i="55"/>
  <c r="I143" i="54"/>
  <c r="B144" i="54" s="1"/>
  <c r="D143" i="54"/>
  <c r="H143" i="54"/>
  <c r="G143" i="54"/>
  <c r="C143" i="54"/>
  <c r="C87" i="52"/>
  <c r="G87" i="52"/>
  <c r="H87" i="52" s="1"/>
  <c r="I87" i="52" s="1"/>
  <c r="B88" i="52" s="1"/>
  <c r="H90" i="51"/>
  <c r="I90" i="51" s="1"/>
  <c r="C143" i="53"/>
  <c r="I143" i="53"/>
  <c r="B144" i="53" s="1"/>
  <c r="G143" i="53"/>
  <c r="D143" i="53"/>
  <c r="H143" i="53"/>
  <c r="C143" i="52"/>
  <c r="I143" i="52"/>
  <c r="B144" i="52" s="1"/>
  <c r="H143" i="52"/>
  <c r="G143" i="52"/>
  <c r="D143" i="52"/>
  <c r="H143" i="51"/>
  <c r="G143" i="51"/>
  <c r="D143" i="51"/>
  <c r="C143" i="51"/>
  <c r="I143" i="51"/>
  <c r="B144" i="51" s="1"/>
  <c r="I142" i="50"/>
  <c r="B143" i="50" s="1"/>
  <c r="H142" i="50"/>
  <c r="G142" i="50"/>
  <c r="D142" i="50"/>
  <c r="C142" i="50"/>
  <c r="C142" i="49"/>
  <c r="I142" i="49"/>
  <c r="B143" i="49" s="1"/>
  <c r="G142" i="49"/>
  <c r="H142" i="49"/>
  <c r="D142" i="49"/>
  <c r="G142" i="48"/>
  <c r="D142" i="48"/>
  <c r="C142" i="48"/>
  <c r="H142" i="48"/>
  <c r="I142" i="48"/>
  <c r="B143" i="48" s="1"/>
  <c r="H89" i="35"/>
  <c r="I89" i="35" s="1"/>
  <c r="B90" i="35" s="1"/>
  <c r="G90" i="35" s="1"/>
  <c r="C142" i="47"/>
  <c r="I142" i="47"/>
  <c r="B143" i="47" s="1"/>
  <c r="H142" i="47"/>
  <c r="G142" i="47"/>
  <c r="D142" i="47"/>
  <c r="M85" i="3"/>
  <c r="H88" i="50" l="1"/>
  <c r="I88" i="50" s="1"/>
  <c r="B89" i="50" s="1"/>
  <c r="H89" i="49"/>
  <c r="I89" i="49" s="1"/>
  <c r="B90" i="49" s="1"/>
  <c r="G90" i="49" s="1"/>
  <c r="D88" i="47"/>
  <c r="H88" i="47" s="1"/>
  <c r="I88" i="47" s="1"/>
  <c r="B89" i="47" s="1"/>
  <c r="D89" i="47" s="1"/>
  <c r="C88" i="47"/>
  <c r="H87" i="53"/>
  <c r="I87" i="53" s="1"/>
  <c r="B88" i="53" s="1"/>
  <c r="C144" i="55"/>
  <c r="I144" i="55"/>
  <c r="B145" i="55" s="1"/>
  <c r="H144" i="55"/>
  <c r="G144" i="55"/>
  <c r="D144" i="55"/>
  <c r="D88" i="52"/>
  <c r="G88" i="52"/>
  <c r="C88" i="52"/>
  <c r="D144" i="54"/>
  <c r="C144" i="54"/>
  <c r="H144" i="54"/>
  <c r="G144" i="54"/>
  <c r="I144" i="54"/>
  <c r="B145" i="54" s="1"/>
  <c r="G144" i="53"/>
  <c r="D144" i="53"/>
  <c r="C144" i="53"/>
  <c r="I144" i="53"/>
  <c r="B145" i="53" s="1"/>
  <c r="H144" i="53"/>
  <c r="G144" i="52"/>
  <c r="D144" i="52"/>
  <c r="C144" i="52"/>
  <c r="I144" i="52"/>
  <c r="B145" i="52" s="1"/>
  <c r="H144" i="52"/>
  <c r="I144" i="51"/>
  <c r="B145" i="51" s="1"/>
  <c r="H144" i="51"/>
  <c r="G144" i="51"/>
  <c r="D144" i="51"/>
  <c r="C144" i="51"/>
  <c r="I143" i="50"/>
  <c r="B144" i="50" s="1"/>
  <c r="H143" i="50"/>
  <c r="G143" i="50"/>
  <c r="D143" i="50"/>
  <c r="C143" i="50"/>
  <c r="G143" i="49"/>
  <c r="D143" i="49"/>
  <c r="C143" i="49"/>
  <c r="I143" i="49"/>
  <c r="B144" i="49" s="1"/>
  <c r="H143" i="49"/>
  <c r="I143" i="48"/>
  <c r="B144" i="48" s="1"/>
  <c r="H143" i="48"/>
  <c r="G143" i="48"/>
  <c r="D143" i="48"/>
  <c r="C143" i="48"/>
  <c r="D90" i="35"/>
  <c r="H90" i="35" s="1"/>
  <c r="I90" i="35" s="1"/>
  <c r="C90" i="35"/>
  <c r="G143" i="47"/>
  <c r="H143" i="47"/>
  <c r="D143" i="47"/>
  <c r="I143" i="47"/>
  <c r="B144" i="47" s="1"/>
  <c r="C143" i="47"/>
  <c r="G89" i="50" l="1"/>
  <c r="D89" i="50"/>
  <c r="H89" i="50" s="1"/>
  <c r="I89" i="50" s="1"/>
  <c r="B90" i="50" s="1"/>
  <c r="C90" i="50" s="1"/>
  <c r="C89" i="50"/>
  <c r="C90" i="49"/>
  <c r="D90" i="49"/>
  <c r="H90" i="49" s="1"/>
  <c r="I90" i="49" s="1"/>
  <c r="G89" i="47"/>
  <c r="H89" i="47" s="1"/>
  <c r="I89" i="47" s="1"/>
  <c r="B90" i="47" s="1"/>
  <c r="G90" i="47" s="1"/>
  <c r="C89" i="47"/>
  <c r="G88" i="53"/>
  <c r="D88" i="53"/>
  <c r="C88" i="53"/>
  <c r="G145" i="55"/>
  <c r="D145" i="55"/>
  <c r="C145" i="55"/>
  <c r="I145" i="55"/>
  <c r="B146" i="55" s="1"/>
  <c r="H145" i="55"/>
  <c r="H88" i="52"/>
  <c r="I88" i="52" s="1"/>
  <c r="B89" i="52" s="1"/>
  <c r="H145" i="54"/>
  <c r="G145" i="54"/>
  <c r="D145" i="54"/>
  <c r="C145" i="54"/>
  <c r="I145" i="54"/>
  <c r="B146" i="54" s="1"/>
  <c r="I145" i="53"/>
  <c r="B146" i="53" s="1"/>
  <c r="H145" i="53"/>
  <c r="G145" i="53"/>
  <c r="D145" i="53"/>
  <c r="C145" i="53"/>
  <c r="I145" i="52"/>
  <c r="B146" i="52" s="1"/>
  <c r="H145" i="52"/>
  <c r="G145" i="52"/>
  <c r="D145" i="52"/>
  <c r="C145" i="52"/>
  <c r="I145" i="51"/>
  <c r="B146" i="51" s="1"/>
  <c r="H145" i="51"/>
  <c r="G145" i="51"/>
  <c r="D145" i="51"/>
  <c r="C145" i="51"/>
  <c r="D144" i="50"/>
  <c r="C144" i="50"/>
  <c r="I144" i="50"/>
  <c r="B145" i="50" s="1"/>
  <c r="H144" i="50"/>
  <c r="G144" i="50"/>
  <c r="I144" i="49"/>
  <c r="B145" i="49" s="1"/>
  <c r="H144" i="49"/>
  <c r="G144" i="49"/>
  <c r="D144" i="49"/>
  <c r="C144" i="49"/>
  <c r="I144" i="48"/>
  <c r="B145" i="48" s="1"/>
  <c r="H144" i="48"/>
  <c r="G144" i="48"/>
  <c r="D144" i="48"/>
  <c r="C144" i="48"/>
  <c r="I144" i="47"/>
  <c r="B145" i="47" s="1"/>
  <c r="C144" i="47"/>
  <c r="G144" i="47"/>
  <c r="D144" i="47"/>
  <c r="H144" i="47"/>
  <c r="G90" i="50" l="1"/>
  <c r="D90" i="50"/>
  <c r="H90" i="50" s="1"/>
  <c r="I90" i="50" s="1"/>
  <c r="D90" i="47"/>
  <c r="H90" i="47" s="1"/>
  <c r="I90" i="47" s="1"/>
  <c r="C90" i="47"/>
  <c r="H88" i="53"/>
  <c r="I88" i="53" s="1"/>
  <c r="B89" i="53" s="1"/>
  <c r="G89" i="53" s="1"/>
  <c r="I146" i="55"/>
  <c r="B147" i="55" s="1"/>
  <c r="H146" i="55"/>
  <c r="G146" i="55"/>
  <c r="D146" i="55"/>
  <c r="C146" i="55"/>
  <c r="I146" i="54"/>
  <c r="B147" i="54" s="1"/>
  <c r="H146" i="54"/>
  <c r="G146" i="54"/>
  <c r="D146" i="54"/>
  <c r="C146" i="54"/>
  <c r="G89" i="52"/>
  <c r="D89" i="52"/>
  <c r="H89" i="52" s="1"/>
  <c r="I89" i="52" s="1"/>
  <c r="B90" i="52" s="1"/>
  <c r="C89" i="52"/>
  <c r="I146" i="53"/>
  <c r="B147" i="53" s="1"/>
  <c r="H146" i="53"/>
  <c r="G146" i="53"/>
  <c r="C146" i="53"/>
  <c r="D146" i="53"/>
  <c r="I146" i="52"/>
  <c r="B147" i="52" s="1"/>
  <c r="H146" i="52"/>
  <c r="G146" i="52"/>
  <c r="D146" i="52"/>
  <c r="C146" i="52"/>
  <c r="D146" i="51"/>
  <c r="C146" i="51"/>
  <c r="I146" i="51"/>
  <c r="B147" i="51" s="1"/>
  <c r="H146" i="51"/>
  <c r="G146" i="51"/>
  <c r="H145" i="50"/>
  <c r="G145" i="50"/>
  <c r="D145" i="50"/>
  <c r="C145" i="50"/>
  <c r="I145" i="50"/>
  <c r="B146" i="50" s="1"/>
  <c r="I145" i="49"/>
  <c r="B146" i="49" s="1"/>
  <c r="H145" i="49"/>
  <c r="G145" i="49"/>
  <c r="C145" i="49"/>
  <c r="D145" i="49"/>
  <c r="C145" i="48"/>
  <c r="D145" i="48"/>
  <c r="I145" i="48"/>
  <c r="B146" i="48" s="1"/>
  <c r="H145" i="48"/>
  <c r="G145" i="48"/>
  <c r="G145" i="47"/>
  <c r="I145" i="47"/>
  <c r="B146" i="47" s="1"/>
  <c r="D145" i="47"/>
  <c r="H145" i="47"/>
  <c r="C145" i="47"/>
  <c r="G7" i="34"/>
  <c r="G8" i="34" s="1"/>
  <c r="C89" i="53" l="1"/>
  <c r="D89" i="53"/>
  <c r="H89" i="53" s="1"/>
  <c r="I89" i="53" s="1"/>
  <c r="B90" i="53" s="1"/>
  <c r="G90" i="53" s="1"/>
  <c r="I147" i="55"/>
  <c r="B148" i="55" s="1"/>
  <c r="H147" i="55"/>
  <c r="G147" i="55"/>
  <c r="D147" i="55"/>
  <c r="C147" i="55"/>
  <c r="C90" i="52"/>
  <c r="G90" i="52"/>
  <c r="D90" i="52"/>
  <c r="H90" i="52" s="1"/>
  <c r="I90" i="52" s="1"/>
  <c r="I147" i="54"/>
  <c r="B148" i="54" s="1"/>
  <c r="D147" i="54"/>
  <c r="G147" i="54"/>
  <c r="C147" i="54"/>
  <c r="H147" i="54"/>
  <c r="C147" i="53"/>
  <c r="I147" i="53"/>
  <c r="B148" i="53" s="1"/>
  <c r="G147" i="53"/>
  <c r="D147" i="53"/>
  <c r="H147" i="53"/>
  <c r="C147" i="52"/>
  <c r="I147" i="52"/>
  <c r="B148" i="52" s="1"/>
  <c r="H147" i="52"/>
  <c r="G147" i="52"/>
  <c r="D147" i="52"/>
  <c r="H147" i="51"/>
  <c r="G147" i="51"/>
  <c r="D147" i="51"/>
  <c r="C147" i="51"/>
  <c r="I147" i="51"/>
  <c r="B148" i="51" s="1"/>
  <c r="I146" i="50"/>
  <c r="B147" i="50" s="1"/>
  <c r="H146" i="50"/>
  <c r="G146" i="50"/>
  <c r="D146" i="50"/>
  <c r="C146" i="50"/>
  <c r="C146" i="49"/>
  <c r="I146" i="49"/>
  <c r="B147" i="49" s="1"/>
  <c r="G146" i="49"/>
  <c r="H146" i="49"/>
  <c r="D146" i="49"/>
  <c r="G146" i="48"/>
  <c r="H146" i="48"/>
  <c r="D146" i="48"/>
  <c r="C146" i="48"/>
  <c r="I146" i="48"/>
  <c r="B147" i="48" s="1"/>
  <c r="C146" i="47"/>
  <c r="I146" i="47"/>
  <c r="B147" i="47" s="1"/>
  <c r="D146" i="47"/>
  <c r="H146" i="47"/>
  <c r="G146" i="47"/>
  <c r="H7" i="34"/>
  <c r="H8" i="34" l="1"/>
  <c r="I7" i="34" s="1"/>
  <c r="I8" i="34" s="1"/>
  <c r="C90" i="53"/>
  <c r="D90" i="53"/>
  <c r="H90" i="53" s="1"/>
  <c r="I90" i="53" s="1"/>
  <c r="C148" i="55"/>
  <c r="I148" i="55"/>
  <c r="B149" i="55" s="1"/>
  <c r="H148" i="55"/>
  <c r="G148" i="55"/>
  <c r="D148" i="55"/>
  <c r="I148" i="54"/>
  <c r="B149" i="54" s="1"/>
  <c r="H148" i="54"/>
  <c r="G148" i="54"/>
  <c r="D148" i="54"/>
  <c r="C148" i="54"/>
  <c r="G148" i="53"/>
  <c r="D148" i="53"/>
  <c r="C148" i="53"/>
  <c r="I148" i="53"/>
  <c r="B149" i="53" s="1"/>
  <c r="H148" i="53"/>
  <c r="G148" i="52"/>
  <c r="D148" i="52"/>
  <c r="C148" i="52"/>
  <c r="I148" i="52"/>
  <c r="B149" i="52" s="1"/>
  <c r="H148" i="52"/>
  <c r="I148" i="51"/>
  <c r="B149" i="51" s="1"/>
  <c r="H148" i="51"/>
  <c r="G148" i="51"/>
  <c r="D148" i="51"/>
  <c r="C148" i="51"/>
  <c r="I147" i="50"/>
  <c r="B148" i="50" s="1"/>
  <c r="H147" i="50"/>
  <c r="G147" i="50"/>
  <c r="D147" i="50"/>
  <c r="C147" i="50"/>
  <c r="G147" i="49"/>
  <c r="D147" i="49"/>
  <c r="C147" i="49"/>
  <c r="I147" i="49"/>
  <c r="B148" i="49" s="1"/>
  <c r="H147" i="49"/>
  <c r="I147" i="48"/>
  <c r="B148" i="48" s="1"/>
  <c r="H147" i="48"/>
  <c r="G147" i="48"/>
  <c r="D147" i="48"/>
  <c r="C147" i="48"/>
  <c r="G147" i="47"/>
  <c r="I147" i="47"/>
  <c r="B148" i="47" s="1"/>
  <c r="H147" i="47"/>
  <c r="C147" i="47"/>
  <c r="D147" i="47"/>
  <c r="G149" i="55" l="1"/>
  <c r="D149" i="55"/>
  <c r="C149" i="55"/>
  <c r="I149" i="55"/>
  <c r="B150" i="55" s="1"/>
  <c r="H149" i="55"/>
  <c r="C149" i="54"/>
  <c r="I149" i="54"/>
  <c r="B150" i="54" s="1"/>
  <c r="G149" i="54"/>
  <c r="H149" i="54"/>
  <c r="D149" i="54"/>
  <c r="I149" i="53"/>
  <c r="B150" i="53" s="1"/>
  <c r="H149" i="53"/>
  <c r="G149" i="53"/>
  <c r="D149" i="53"/>
  <c r="C149" i="53"/>
  <c r="I149" i="52"/>
  <c r="B150" i="52" s="1"/>
  <c r="H149" i="52"/>
  <c r="G149" i="52"/>
  <c r="D149" i="52"/>
  <c r="C149" i="52"/>
  <c r="I149" i="51"/>
  <c r="B150" i="51" s="1"/>
  <c r="H149" i="51"/>
  <c r="G149" i="51"/>
  <c r="D149" i="51"/>
  <c r="C149" i="51"/>
  <c r="D148" i="50"/>
  <c r="C148" i="50"/>
  <c r="I148" i="50"/>
  <c r="B149" i="50" s="1"/>
  <c r="H148" i="50"/>
  <c r="G148" i="50"/>
  <c r="I148" i="49"/>
  <c r="B149" i="49" s="1"/>
  <c r="H148" i="49"/>
  <c r="G148" i="49"/>
  <c r="D148" i="49"/>
  <c r="C148" i="49"/>
  <c r="I148" i="48"/>
  <c r="B149" i="48" s="1"/>
  <c r="H148" i="48"/>
  <c r="G148" i="48"/>
  <c r="D148" i="48"/>
  <c r="C148" i="48"/>
  <c r="I148" i="47"/>
  <c r="B149" i="47" s="1"/>
  <c r="C148" i="47"/>
  <c r="D148" i="47"/>
  <c r="H148" i="47"/>
  <c r="G148" i="47"/>
  <c r="B98" i="35"/>
  <c r="I150" i="55" l="1"/>
  <c r="B151" i="55" s="1"/>
  <c r="H150" i="55"/>
  <c r="G150" i="55"/>
  <c r="D150" i="55"/>
  <c r="C150" i="55"/>
  <c r="G150" i="54"/>
  <c r="D150" i="54"/>
  <c r="C150" i="54"/>
  <c r="I150" i="54"/>
  <c r="B151" i="54" s="1"/>
  <c r="H150" i="54"/>
  <c r="I150" i="53"/>
  <c r="B151" i="53" s="1"/>
  <c r="H150" i="53"/>
  <c r="G150" i="53"/>
  <c r="C150" i="53"/>
  <c r="D150" i="53"/>
  <c r="I150" i="52"/>
  <c r="B151" i="52" s="1"/>
  <c r="H150" i="52"/>
  <c r="G150" i="52"/>
  <c r="D150" i="52"/>
  <c r="C150" i="52"/>
  <c r="D150" i="51"/>
  <c r="C150" i="51"/>
  <c r="I150" i="51"/>
  <c r="B151" i="51" s="1"/>
  <c r="H150" i="51"/>
  <c r="G150" i="51"/>
  <c r="H149" i="50"/>
  <c r="G149" i="50"/>
  <c r="D149" i="50"/>
  <c r="C149" i="50"/>
  <c r="I149" i="50"/>
  <c r="B150" i="50" s="1"/>
  <c r="I149" i="49"/>
  <c r="B150" i="49" s="1"/>
  <c r="H149" i="49"/>
  <c r="G149" i="49"/>
  <c r="C149" i="49"/>
  <c r="D149" i="49"/>
  <c r="C149" i="48"/>
  <c r="I149" i="48"/>
  <c r="B150" i="48" s="1"/>
  <c r="H149" i="48"/>
  <c r="D149" i="48"/>
  <c r="G149" i="48"/>
  <c r="G149" i="47"/>
  <c r="I149" i="47"/>
  <c r="B150" i="47" s="1"/>
  <c r="H149" i="47"/>
  <c r="D149" i="47"/>
  <c r="C149" i="47"/>
  <c r="C98" i="35"/>
  <c r="I98" i="35"/>
  <c r="B99" i="35" s="1"/>
  <c r="D98" i="35"/>
  <c r="H98" i="35"/>
  <c r="G98" i="35"/>
  <c r="I151" i="55" l="1"/>
  <c r="B152" i="55" s="1"/>
  <c r="H151" i="55"/>
  <c r="G151" i="55"/>
  <c r="D151" i="55"/>
  <c r="C151" i="55"/>
  <c r="I151" i="54"/>
  <c r="B152" i="54" s="1"/>
  <c r="H151" i="54"/>
  <c r="G151" i="54"/>
  <c r="D151" i="54"/>
  <c r="C151" i="54"/>
  <c r="C151" i="53"/>
  <c r="I151" i="53"/>
  <c r="B152" i="53" s="1"/>
  <c r="G151" i="53"/>
  <c r="D151" i="53"/>
  <c r="H151" i="53"/>
  <c r="C151" i="52"/>
  <c r="I151" i="52"/>
  <c r="B152" i="52" s="1"/>
  <c r="H151" i="52"/>
  <c r="D151" i="52"/>
  <c r="G151" i="52"/>
  <c r="H151" i="51"/>
  <c r="G151" i="51"/>
  <c r="D151" i="51"/>
  <c r="C151" i="51"/>
  <c r="I151" i="51"/>
  <c r="B152" i="51" s="1"/>
  <c r="I150" i="50"/>
  <c r="B151" i="50" s="1"/>
  <c r="H150" i="50"/>
  <c r="G150" i="50"/>
  <c r="D150" i="50"/>
  <c r="C150" i="50"/>
  <c r="C150" i="49"/>
  <c r="I150" i="49"/>
  <c r="B151" i="49" s="1"/>
  <c r="G150" i="49"/>
  <c r="H150" i="49"/>
  <c r="D150" i="49"/>
  <c r="G150" i="48"/>
  <c r="D150" i="48"/>
  <c r="C150" i="48"/>
  <c r="H150" i="48"/>
  <c r="I150" i="48"/>
  <c r="B151" i="48" s="1"/>
  <c r="C150" i="47"/>
  <c r="I150" i="47"/>
  <c r="B151" i="47" s="1"/>
  <c r="H150" i="47"/>
  <c r="G150" i="47"/>
  <c r="D150" i="47"/>
  <c r="H99" i="35"/>
  <c r="G99" i="35"/>
  <c r="D99" i="35"/>
  <c r="I99" i="35"/>
  <c r="B100" i="35" s="1"/>
  <c r="C99" i="35"/>
  <c r="C152" i="55" l="1"/>
  <c r="I152" i="55"/>
  <c r="B153" i="55" s="1"/>
  <c r="H152" i="55"/>
  <c r="G152" i="55"/>
  <c r="D152" i="55"/>
  <c r="I152" i="54"/>
  <c r="B153" i="54" s="1"/>
  <c r="H152" i="54"/>
  <c r="G152" i="54"/>
  <c r="C152" i="54"/>
  <c r="D152" i="54"/>
  <c r="G152" i="53"/>
  <c r="D152" i="53"/>
  <c r="C152" i="53"/>
  <c r="I152" i="53"/>
  <c r="B153" i="53" s="1"/>
  <c r="H152" i="53"/>
  <c r="G152" i="52"/>
  <c r="D152" i="52"/>
  <c r="C152" i="52"/>
  <c r="I152" i="52"/>
  <c r="B153" i="52" s="1"/>
  <c r="H152" i="52"/>
  <c r="I152" i="51"/>
  <c r="B153" i="51" s="1"/>
  <c r="H152" i="51"/>
  <c r="G152" i="51"/>
  <c r="D152" i="51"/>
  <c r="C152" i="51"/>
  <c r="I151" i="50"/>
  <c r="B152" i="50" s="1"/>
  <c r="H151" i="50"/>
  <c r="G151" i="50"/>
  <c r="D151" i="50"/>
  <c r="C151" i="50"/>
  <c r="G151" i="49"/>
  <c r="D151" i="49"/>
  <c r="C151" i="49"/>
  <c r="I151" i="49"/>
  <c r="B152" i="49" s="1"/>
  <c r="H151" i="49"/>
  <c r="I151" i="48"/>
  <c r="B152" i="48" s="1"/>
  <c r="H151" i="48"/>
  <c r="G151" i="48"/>
  <c r="D151" i="48"/>
  <c r="C151" i="48"/>
  <c r="G151" i="47"/>
  <c r="H151" i="47"/>
  <c r="D151" i="47"/>
  <c r="C151" i="47"/>
  <c r="I151" i="47"/>
  <c r="B152" i="47" s="1"/>
  <c r="I100" i="35"/>
  <c r="B101" i="35" s="1"/>
  <c r="H100" i="35"/>
  <c r="D100" i="35"/>
  <c r="C100" i="35"/>
  <c r="G100" i="35"/>
  <c r="G153" i="55" l="1"/>
  <c r="D153" i="55"/>
  <c r="C153" i="55"/>
  <c r="I153" i="55"/>
  <c r="B154" i="55" s="1"/>
  <c r="H153" i="55"/>
  <c r="C153" i="54"/>
  <c r="I153" i="54"/>
  <c r="B154" i="54" s="1"/>
  <c r="D153" i="54"/>
  <c r="H153" i="54"/>
  <c r="G153" i="54"/>
  <c r="I153" i="53"/>
  <c r="B154" i="53" s="1"/>
  <c r="H153" i="53"/>
  <c r="G153" i="53"/>
  <c r="D153" i="53"/>
  <c r="C153" i="53"/>
  <c r="I153" i="52"/>
  <c r="B154" i="52" s="1"/>
  <c r="H153" i="52"/>
  <c r="G153" i="52"/>
  <c r="D153" i="52"/>
  <c r="C153" i="52"/>
  <c r="I153" i="51"/>
  <c r="B154" i="51" s="1"/>
  <c r="H153" i="51"/>
  <c r="G153" i="51"/>
  <c r="C153" i="51"/>
  <c r="D153" i="51"/>
  <c r="D152" i="50"/>
  <c r="C152" i="50"/>
  <c r="I152" i="50"/>
  <c r="B153" i="50" s="1"/>
  <c r="H152" i="50"/>
  <c r="G152" i="50"/>
  <c r="I152" i="49"/>
  <c r="B153" i="49" s="1"/>
  <c r="H152" i="49"/>
  <c r="G152" i="49"/>
  <c r="D152" i="49"/>
  <c r="C152" i="49"/>
  <c r="I152" i="48"/>
  <c r="B153" i="48" s="1"/>
  <c r="H152" i="48"/>
  <c r="G152" i="48"/>
  <c r="D152" i="48"/>
  <c r="C152" i="48"/>
  <c r="I152" i="47"/>
  <c r="B153" i="47" s="1"/>
  <c r="C152" i="47"/>
  <c r="G152" i="47"/>
  <c r="H152" i="47"/>
  <c r="D152" i="47"/>
  <c r="D101" i="35"/>
  <c r="C101" i="35"/>
  <c r="H101" i="35"/>
  <c r="G101" i="35"/>
  <c r="I101" i="35"/>
  <c r="B102" i="35" s="1"/>
  <c r="I154" i="55" l="1"/>
  <c r="B155" i="55" s="1"/>
  <c r="H154" i="55"/>
  <c r="G154" i="55"/>
  <c r="D154" i="55"/>
  <c r="C154" i="55"/>
  <c r="G154" i="54"/>
  <c r="D154" i="54"/>
  <c r="C154" i="54"/>
  <c r="I154" i="54"/>
  <c r="B155" i="54" s="1"/>
  <c r="H154" i="54"/>
  <c r="I154" i="53"/>
  <c r="B155" i="53" s="1"/>
  <c r="H154" i="53"/>
  <c r="G154" i="53"/>
  <c r="C154" i="53"/>
  <c r="D154" i="53"/>
  <c r="I154" i="52"/>
  <c r="B155" i="52" s="1"/>
  <c r="H154" i="52"/>
  <c r="G154" i="52"/>
  <c r="D154" i="52"/>
  <c r="C154" i="52"/>
  <c r="D154" i="51"/>
  <c r="C154" i="51"/>
  <c r="I154" i="51"/>
  <c r="B155" i="51" s="1"/>
  <c r="H154" i="51"/>
  <c r="G154" i="51"/>
  <c r="H153" i="50"/>
  <c r="G153" i="50"/>
  <c r="D153" i="50"/>
  <c r="C153" i="50"/>
  <c r="I153" i="50"/>
  <c r="B154" i="50" s="1"/>
  <c r="I153" i="49"/>
  <c r="B154" i="49" s="1"/>
  <c r="H153" i="49"/>
  <c r="G153" i="49"/>
  <c r="C153" i="49"/>
  <c r="D153" i="49"/>
  <c r="C153" i="48"/>
  <c r="D153" i="48"/>
  <c r="I153" i="48"/>
  <c r="B154" i="48" s="1"/>
  <c r="H153" i="48"/>
  <c r="G153" i="48"/>
  <c r="G153" i="47"/>
  <c r="D153" i="47"/>
  <c r="C153" i="47"/>
  <c r="I153" i="47"/>
  <c r="B154" i="47" s="1"/>
  <c r="H153" i="47"/>
  <c r="H102" i="35"/>
  <c r="G102" i="35"/>
  <c r="D102" i="35"/>
  <c r="C102" i="35"/>
  <c r="I102" i="35"/>
  <c r="B103" i="35" s="1"/>
  <c r="C43" i="3"/>
  <c r="D3" i="3"/>
  <c r="E3" i="3" s="1"/>
  <c r="F3" i="3" s="1"/>
  <c r="G3" i="3" s="1"/>
  <c r="H3" i="3" s="1"/>
  <c r="I3" i="3" s="1"/>
  <c r="J3" i="3" s="1"/>
  <c r="K3" i="3" s="1"/>
  <c r="L3" i="3" s="1"/>
  <c r="M3" i="3" s="1"/>
  <c r="B5" i="3"/>
  <c r="D52" i="3"/>
  <c r="I155" i="55" l="1"/>
  <c r="B156" i="55" s="1"/>
  <c r="H155" i="55"/>
  <c r="G155" i="55"/>
  <c r="D155" i="55"/>
  <c r="C155" i="55"/>
  <c r="I155" i="54"/>
  <c r="B156" i="54" s="1"/>
  <c r="H155" i="54"/>
  <c r="G155" i="54"/>
  <c r="D155" i="54"/>
  <c r="C155" i="54"/>
  <c r="C155" i="53"/>
  <c r="I155" i="53"/>
  <c r="B156" i="53" s="1"/>
  <c r="G155" i="53"/>
  <c r="D155" i="53"/>
  <c r="H155" i="53"/>
  <c r="C155" i="52"/>
  <c r="I155" i="52"/>
  <c r="B156" i="52" s="1"/>
  <c r="H155" i="52"/>
  <c r="G155" i="52"/>
  <c r="D155" i="52"/>
  <c r="H155" i="51"/>
  <c r="G155" i="51"/>
  <c r="D155" i="51"/>
  <c r="C155" i="51"/>
  <c r="I155" i="51"/>
  <c r="B156" i="51" s="1"/>
  <c r="I154" i="50"/>
  <c r="B155" i="50" s="1"/>
  <c r="H154" i="50"/>
  <c r="G154" i="50"/>
  <c r="D154" i="50"/>
  <c r="C154" i="50"/>
  <c r="C154" i="49"/>
  <c r="I154" i="49"/>
  <c r="B155" i="49" s="1"/>
  <c r="G154" i="49"/>
  <c r="H154" i="49"/>
  <c r="D154" i="49"/>
  <c r="G154" i="48"/>
  <c r="D154" i="48"/>
  <c r="C154" i="48"/>
  <c r="I154" i="48"/>
  <c r="B155" i="48" s="1"/>
  <c r="H154" i="48"/>
  <c r="C154" i="47"/>
  <c r="I154" i="47"/>
  <c r="B155" i="47" s="1"/>
  <c r="H154" i="47"/>
  <c r="D154" i="47"/>
  <c r="G154" i="47"/>
  <c r="G103" i="35"/>
  <c r="D103" i="35"/>
  <c r="C103" i="35"/>
  <c r="I103" i="35"/>
  <c r="B104" i="35" s="1"/>
  <c r="H103" i="35"/>
  <c r="D67" i="3"/>
  <c r="C91" i="3"/>
  <c r="C70" i="3"/>
  <c r="D43" i="3"/>
  <c r="C156" i="55" l="1"/>
  <c r="I156" i="55"/>
  <c r="B157" i="55" s="1"/>
  <c r="H156" i="55"/>
  <c r="G156" i="55"/>
  <c r="D156" i="55"/>
  <c r="I156" i="54"/>
  <c r="B157" i="54" s="1"/>
  <c r="H156" i="54"/>
  <c r="G156" i="54"/>
  <c r="D156" i="54"/>
  <c r="C156" i="54"/>
  <c r="G156" i="53"/>
  <c r="D156" i="53"/>
  <c r="C156" i="53"/>
  <c r="I156" i="53"/>
  <c r="B157" i="53" s="1"/>
  <c r="H156" i="53"/>
  <c r="G156" i="52"/>
  <c r="D156" i="52"/>
  <c r="C156" i="52"/>
  <c r="H156" i="52"/>
  <c r="I156" i="52"/>
  <c r="B157" i="52" s="1"/>
  <c r="I156" i="51"/>
  <c r="B157" i="51" s="1"/>
  <c r="H156" i="51"/>
  <c r="G156" i="51"/>
  <c r="D156" i="51"/>
  <c r="C156" i="51"/>
  <c r="I155" i="50"/>
  <c r="B156" i="50" s="1"/>
  <c r="H155" i="50"/>
  <c r="G155" i="50"/>
  <c r="D155" i="50"/>
  <c r="C155" i="50"/>
  <c r="G155" i="49"/>
  <c r="D155" i="49"/>
  <c r="C155" i="49"/>
  <c r="I155" i="49"/>
  <c r="B156" i="49" s="1"/>
  <c r="H155" i="49"/>
  <c r="I155" i="48"/>
  <c r="B156" i="48" s="1"/>
  <c r="H155" i="48"/>
  <c r="G155" i="48"/>
  <c r="D155" i="48"/>
  <c r="C155" i="48"/>
  <c r="G155" i="47"/>
  <c r="C155" i="47"/>
  <c r="D155" i="47"/>
  <c r="I155" i="47"/>
  <c r="B156" i="47" s="1"/>
  <c r="H155" i="47"/>
  <c r="C104" i="35"/>
  <c r="H104" i="35"/>
  <c r="G104" i="35"/>
  <c r="I104" i="35"/>
  <c r="B105" i="35" s="1"/>
  <c r="D104" i="35"/>
  <c r="H67" i="3"/>
  <c r="I67" i="3" s="1"/>
  <c r="J67" i="3" s="1"/>
  <c r="E67" i="3"/>
  <c r="F67" i="3" s="1"/>
  <c r="C75" i="3"/>
  <c r="D70" i="3"/>
  <c r="E70" i="3" s="1"/>
  <c r="F70" i="3" s="1"/>
  <c r="G70" i="3" s="1"/>
  <c r="H70" i="3" s="1"/>
  <c r="I70" i="3" s="1"/>
  <c r="J70" i="3" s="1"/>
  <c r="K70" i="3" s="1"/>
  <c r="L70" i="3" s="1"/>
  <c r="M70" i="3" s="1"/>
  <c r="E43" i="3"/>
  <c r="J68" i="3" l="1"/>
  <c r="O68" i="3" s="1"/>
  <c r="F68" i="3"/>
  <c r="O67" i="3" s="1"/>
  <c r="D91" i="3" s="1"/>
  <c r="G157" i="55"/>
  <c r="D157" i="55"/>
  <c r="C157" i="55"/>
  <c r="I157" i="55"/>
  <c r="B158" i="55" s="1"/>
  <c r="H157" i="55"/>
  <c r="C157" i="54"/>
  <c r="I157" i="54"/>
  <c r="B158" i="54" s="1"/>
  <c r="H157" i="54"/>
  <c r="D157" i="54"/>
  <c r="G157" i="54"/>
  <c r="I157" i="53"/>
  <c r="B158" i="53" s="1"/>
  <c r="H157" i="53"/>
  <c r="G157" i="53"/>
  <c r="D157" i="53"/>
  <c r="C157" i="53"/>
  <c r="I157" i="52"/>
  <c r="B158" i="52" s="1"/>
  <c r="H157" i="52"/>
  <c r="G157" i="52"/>
  <c r="D157" i="52"/>
  <c r="C157" i="52"/>
  <c r="I157" i="51"/>
  <c r="B158" i="51" s="1"/>
  <c r="H157" i="51"/>
  <c r="G157" i="51"/>
  <c r="D157" i="51"/>
  <c r="C157" i="51"/>
  <c r="D156" i="50"/>
  <c r="C156" i="50"/>
  <c r="I156" i="50"/>
  <c r="B157" i="50" s="1"/>
  <c r="H156" i="50"/>
  <c r="G156" i="50"/>
  <c r="I156" i="49"/>
  <c r="B157" i="49" s="1"/>
  <c r="H156" i="49"/>
  <c r="G156" i="49"/>
  <c r="D156" i="49"/>
  <c r="C156" i="49"/>
  <c r="I156" i="48"/>
  <c r="B157" i="48" s="1"/>
  <c r="H156" i="48"/>
  <c r="G156" i="48"/>
  <c r="D156" i="48"/>
  <c r="C156" i="48"/>
  <c r="I156" i="47"/>
  <c r="B157" i="47" s="1"/>
  <c r="C156" i="47"/>
  <c r="H156" i="47"/>
  <c r="G156" i="47"/>
  <c r="D156" i="47"/>
  <c r="C105" i="35"/>
  <c r="G105" i="35"/>
  <c r="I105" i="35"/>
  <c r="B106" i="35" s="1"/>
  <c r="D105" i="35"/>
  <c r="H105" i="35"/>
  <c r="C78" i="3"/>
  <c r="D75" i="3"/>
  <c r="E75" i="3" s="1"/>
  <c r="F75" i="3" s="1"/>
  <c r="G75" i="3" s="1"/>
  <c r="H75" i="3" s="1"/>
  <c r="I75" i="3" s="1"/>
  <c r="J75" i="3" s="1"/>
  <c r="K75" i="3" s="1"/>
  <c r="L75" i="3" s="1"/>
  <c r="M75" i="3" s="1"/>
  <c r="F43" i="3"/>
  <c r="B7" i="2"/>
  <c r="H16" i="2"/>
  <c r="H6" i="2"/>
  <c r="E6" i="2"/>
  <c r="I16" i="2"/>
  <c r="E91" i="3" l="1"/>
  <c r="F91" i="3"/>
  <c r="K6" i="2"/>
  <c r="F6" i="36"/>
  <c r="I158" i="55"/>
  <c r="B159" i="55" s="1"/>
  <c r="H158" i="55"/>
  <c r="G158" i="55"/>
  <c r="D158" i="55"/>
  <c r="C158" i="55"/>
  <c r="G158" i="54"/>
  <c r="D158" i="54"/>
  <c r="C158" i="54"/>
  <c r="I158" i="54"/>
  <c r="B159" i="54" s="1"/>
  <c r="H158" i="54"/>
  <c r="I158" i="53"/>
  <c r="B159" i="53" s="1"/>
  <c r="H158" i="53"/>
  <c r="G158" i="53"/>
  <c r="C158" i="53"/>
  <c r="D158" i="53"/>
  <c r="I158" i="52"/>
  <c r="B159" i="52" s="1"/>
  <c r="H158" i="52"/>
  <c r="G158" i="52"/>
  <c r="D158" i="52"/>
  <c r="C158" i="52"/>
  <c r="D158" i="51"/>
  <c r="C158" i="51"/>
  <c r="I158" i="51"/>
  <c r="B159" i="51" s="1"/>
  <c r="H158" i="51"/>
  <c r="G158" i="51"/>
  <c r="H157" i="50"/>
  <c r="G157" i="50"/>
  <c r="D157" i="50"/>
  <c r="C157" i="50"/>
  <c r="I157" i="50"/>
  <c r="B158" i="50" s="1"/>
  <c r="I157" i="49"/>
  <c r="B158" i="49" s="1"/>
  <c r="H157" i="49"/>
  <c r="G157" i="49"/>
  <c r="C157" i="49"/>
  <c r="D157" i="49"/>
  <c r="C157" i="48"/>
  <c r="D157" i="48"/>
  <c r="I157" i="48"/>
  <c r="B158" i="48" s="1"/>
  <c r="H157" i="48"/>
  <c r="G157" i="48"/>
  <c r="G157" i="47"/>
  <c r="I157" i="47"/>
  <c r="B158" i="47" s="1"/>
  <c r="H157" i="47"/>
  <c r="C157" i="47"/>
  <c r="D157" i="47"/>
  <c r="C106" i="35"/>
  <c r="I106" i="35"/>
  <c r="B107" i="35" s="1"/>
  <c r="H106" i="35"/>
  <c r="D106" i="35"/>
  <c r="G106" i="35"/>
  <c r="C90" i="3"/>
  <c r="D78" i="3"/>
  <c r="E78" i="3" s="1"/>
  <c r="F78" i="3" s="1"/>
  <c r="G78" i="3" s="1"/>
  <c r="H78" i="3" s="1"/>
  <c r="I78" i="3" s="1"/>
  <c r="J78" i="3" s="1"/>
  <c r="K78" i="3" s="1"/>
  <c r="L78" i="3" s="1"/>
  <c r="M78" i="3" s="1"/>
  <c r="G43" i="3"/>
  <c r="H7" i="2"/>
  <c r="E7" i="2"/>
  <c r="B8" i="2"/>
  <c r="C52" i="3"/>
  <c r="C100" i="3" l="1"/>
  <c r="N10" i="2"/>
  <c r="G91" i="3"/>
  <c r="K7" i="2"/>
  <c r="F6" i="56"/>
  <c r="F7" i="36"/>
  <c r="F8" i="36"/>
  <c r="I159" i="55"/>
  <c r="B160" i="55" s="1"/>
  <c r="H159" i="55"/>
  <c r="G159" i="55"/>
  <c r="D159" i="55"/>
  <c r="C159" i="55"/>
  <c r="I159" i="54"/>
  <c r="B160" i="54" s="1"/>
  <c r="H159" i="54"/>
  <c r="G159" i="54"/>
  <c r="D159" i="54"/>
  <c r="C159" i="54"/>
  <c r="C159" i="53"/>
  <c r="I159" i="53"/>
  <c r="B160" i="53" s="1"/>
  <c r="G159" i="53"/>
  <c r="D159" i="53"/>
  <c r="H159" i="53"/>
  <c r="C159" i="52"/>
  <c r="I159" i="52"/>
  <c r="B160" i="52" s="1"/>
  <c r="H159" i="52"/>
  <c r="G159" i="52"/>
  <c r="D159" i="52"/>
  <c r="H159" i="51"/>
  <c r="G159" i="51"/>
  <c r="D159" i="51"/>
  <c r="C159" i="51"/>
  <c r="I159" i="51"/>
  <c r="B160" i="51" s="1"/>
  <c r="I158" i="50"/>
  <c r="B159" i="50" s="1"/>
  <c r="H158" i="50"/>
  <c r="G158" i="50"/>
  <c r="D158" i="50"/>
  <c r="C158" i="50"/>
  <c r="C158" i="49"/>
  <c r="I158" i="49"/>
  <c r="B159" i="49" s="1"/>
  <c r="G158" i="49"/>
  <c r="H158" i="49"/>
  <c r="D158" i="49"/>
  <c r="G158" i="48"/>
  <c r="D158" i="48"/>
  <c r="H158" i="48"/>
  <c r="C158" i="48"/>
  <c r="I158" i="48"/>
  <c r="B159" i="48" s="1"/>
  <c r="C158" i="47"/>
  <c r="I158" i="47"/>
  <c r="B159" i="47" s="1"/>
  <c r="H158" i="47"/>
  <c r="G158" i="47"/>
  <c r="D158" i="47"/>
  <c r="G107" i="35"/>
  <c r="D107" i="35"/>
  <c r="C107" i="35"/>
  <c r="H107" i="35"/>
  <c r="I107" i="35"/>
  <c r="B108" i="35" s="1"/>
  <c r="C103" i="3"/>
  <c r="C99" i="3"/>
  <c r="D97" i="3"/>
  <c r="C111" i="3"/>
  <c r="D111" i="3" s="1"/>
  <c r="E111" i="3" s="1"/>
  <c r="F111" i="3" s="1"/>
  <c r="G111" i="3" s="1"/>
  <c r="H111" i="3" s="1"/>
  <c r="I111" i="3" s="1"/>
  <c r="J111" i="3" s="1"/>
  <c r="K111" i="3" s="1"/>
  <c r="L111" i="3" s="1"/>
  <c r="M111" i="3" s="1"/>
  <c r="D90" i="3"/>
  <c r="E90" i="3" s="1"/>
  <c r="F90" i="3" s="1"/>
  <c r="G90" i="3" s="1"/>
  <c r="H90" i="3" s="1"/>
  <c r="I90" i="3" s="1"/>
  <c r="J90" i="3" s="1"/>
  <c r="K90" i="3" s="1"/>
  <c r="L90" i="3" s="1"/>
  <c r="M90" i="3" s="1"/>
  <c r="H43" i="3"/>
  <c r="I43" i="3" s="1"/>
  <c r="E8" i="2"/>
  <c r="H8" i="2"/>
  <c r="B9" i="2"/>
  <c r="C106" i="3" l="1"/>
  <c r="H91" i="3"/>
  <c r="K8" i="2"/>
  <c r="F6" i="57"/>
  <c r="F8" i="56"/>
  <c r="F7" i="56"/>
  <c r="F9" i="36"/>
  <c r="F10" i="36"/>
  <c r="C160" i="55"/>
  <c r="I160" i="55"/>
  <c r="B161" i="55" s="1"/>
  <c r="H160" i="55"/>
  <c r="G160" i="55"/>
  <c r="D160" i="55"/>
  <c r="I160" i="54"/>
  <c r="B161" i="54" s="1"/>
  <c r="H160" i="54"/>
  <c r="G160" i="54"/>
  <c r="C160" i="54"/>
  <c r="D160" i="54"/>
  <c r="G160" i="53"/>
  <c r="D160" i="53"/>
  <c r="C160" i="53"/>
  <c r="I160" i="53"/>
  <c r="B161" i="53" s="1"/>
  <c r="H160" i="53"/>
  <c r="G160" i="52"/>
  <c r="D160" i="52"/>
  <c r="C160" i="52"/>
  <c r="I160" i="52"/>
  <c r="B161" i="52" s="1"/>
  <c r="H160" i="52"/>
  <c r="I160" i="51"/>
  <c r="B161" i="51" s="1"/>
  <c r="H160" i="51"/>
  <c r="G160" i="51"/>
  <c r="D160" i="51"/>
  <c r="C160" i="51"/>
  <c r="I159" i="50"/>
  <c r="B160" i="50" s="1"/>
  <c r="H159" i="50"/>
  <c r="G159" i="50"/>
  <c r="D159" i="50"/>
  <c r="C159" i="50"/>
  <c r="G159" i="49"/>
  <c r="D159" i="49"/>
  <c r="C159" i="49"/>
  <c r="I159" i="49"/>
  <c r="B160" i="49" s="1"/>
  <c r="H159" i="49"/>
  <c r="I159" i="48"/>
  <c r="B160" i="48" s="1"/>
  <c r="H159" i="48"/>
  <c r="G159" i="48"/>
  <c r="D159" i="48"/>
  <c r="C159" i="48"/>
  <c r="G159" i="47"/>
  <c r="D159" i="47"/>
  <c r="I159" i="47"/>
  <c r="B160" i="47" s="1"/>
  <c r="C159" i="47"/>
  <c r="H159" i="47"/>
  <c r="H108" i="35"/>
  <c r="C108" i="35"/>
  <c r="G108" i="35"/>
  <c r="I108" i="35"/>
  <c r="B109" i="35" s="1"/>
  <c r="D108" i="35"/>
  <c r="I91" i="3"/>
  <c r="E9" i="2"/>
  <c r="B10" i="2"/>
  <c r="B11" i="2" s="1"/>
  <c r="H9" i="2"/>
  <c r="J43" i="3"/>
  <c r="M76" i="3"/>
  <c r="L76" i="3"/>
  <c r="K76" i="3"/>
  <c r="J76" i="3"/>
  <c r="I76" i="3"/>
  <c r="H76" i="3"/>
  <c r="G76" i="3"/>
  <c r="F76" i="3"/>
  <c r="E76" i="3"/>
  <c r="D76" i="3"/>
  <c r="K9" i="2" l="1"/>
  <c r="F6" i="58"/>
  <c r="F10" i="56"/>
  <c r="F9" i="56"/>
  <c r="F8" i="57"/>
  <c r="F7" i="57"/>
  <c r="F11" i="36"/>
  <c r="F12" i="36"/>
  <c r="G161" i="55"/>
  <c r="D161" i="55"/>
  <c r="C161" i="55"/>
  <c r="I161" i="55"/>
  <c r="B162" i="55" s="1"/>
  <c r="H161" i="55"/>
  <c r="C161" i="54"/>
  <c r="I161" i="54"/>
  <c r="B162" i="54" s="1"/>
  <c r="H161" i="54"/>
  <c r="G161" i="54"/>
  <c r="D161" i="54"/>
  <c r="I161" i="53"/>
  <c r="B162" i="53" s="1"/>
  <c r="H161" i="53"/>
  <c r="G161" i="53"/>
  <c r="D161" i="53"/>
  <c r="C161" i="53"/>
  <c r="I161" i="52"/>
  <c r="B162" i="52" s="1"/>
  <c r="H161" i="52"/>
  <c r="G161" i="52"/>
  <c r="D161" i="52"/>
  <c r="C161" i="52"/>
  <c r="I161" i="51"/>
  <c r="B162" i="51" s="1"/>
  <c r="H161" i="51"/>
  <c r="G161" i="51"/>
  <c r="D161" i="51"/>
  <c r="C161" i="51"/>
  <c r="D160" i="50"/>
  <c r="C160" i="50"/>
  <c r="I160" i="50"/>
  <c r="B161" i="50" s="1"/>
  <c r="H160" i="50"/>
  <c r="G160" i="50"/>
  <c r="I160" i="49"/>
  <c r="B161" i="49" s="1"/>
  <c r="H160" i="49"/>
  <c r="G160" i="49"/>
  <c r="D160" i="49"/>
  <c r="C160" i="49"/>
  <c r="I160" i="48"/>
  <c r="B161" i="48" s="1"/>
  <c r="H160" i="48"/>
  <c r="G160" i="48"/>
  <c r="D160" i="48"/>
  <c r="C160" i="48"/>
  <c r="I160" i="47"/>
  <c r="B161" i="47" s="1"/>
  <c r="H160" i="47"/>
  <c r="G160" i="47"/>
  <c r="C160" i="47"/>
  <c r="D160" i="47"/>
  <c r="C109" i="35"/>
  <c r="G109" i="35"/>
  <c r="D109" i="35"/>
  <c r="I109" i="35"/>
  <c r="B110" i="35" s="1"/>
  <c r="H109" i="35"/>
  <c r="J91" i="3"/>
  <c r="H10" i="2"/>
  <c r="E10" i="2"/>
  <c r="K43" i="3"/>
  <c r="E11" i="2"/>
  <c r="F6" i="60" s="1"/>
  <c r="B12" i="2"/>
  <c r="H11" i="2"/>
  <c r="F9" i="57" l="1"/>
  <c r="F10" i="57"/>
  <c r="K10" i="2"/>
  <c r="F6" i="59"/>
  <c r="F12" i="56"/>
  <c r="F11" i="56"/>
  <c r="F7" i="60"/>
  <c r="F8" i="60"/>
  <c r="F8" i="58"/>
  <c r="F7" i="58"/>
  <c r="F13" i="36"/>
  <c r="F14" i="36"/>
  <c r="I162" i="55"/>
  <c r="B163" i="55" s="1"/>
  <c r="H162" i="55"/>
  <c r="G162" i="55"/>
  <c r="D162" i="55"/>
  <c r="C162" i="55"/>
  <c r="G162" i="54"/>
  <c r="D162" i="54"/>
  <c r="C162" i="54"/>
  <c r="I162" i="54"/>
  <c r="B163" i="54" s="1"/>
  <c r="H162" i="54"/>
  <c r="I162" i="53"/>
  <c r="B163" i="53" s="1"/>
  <c r="H162" i="53"/>
  <c r="G162" i="53"/>
  <c r="C162" i="53"/>
  <c r="D162" i="53"/>
  <c r="I162" i="52"/>
  <c r="B163" i="52" s="1"/>
  <c r="H162" i="52"/>
  <c r="G162" i="52"/>
  <c r="D162" i="52"/>
  <c r="C162" i="52"/>
  <c r="D162" i="51"/>
  <c r="C162" i="51"/>
  <c r="I162" i="51"/>
  <c r="B163" i="51" s="1"/>
  <c r="H162" i="51"/>
  <c r="G162" i="51"/>
  <c r="H161" i="50"/>
  <c r="G161" i="50"/>
  <c r="D161" i="50"/>
  <c r="C161" i="50"/>
  <c r="I161" i="50"/>
  <c r="B162" i="50" s="1"/>
  <c r="I161" i="49"/>
  <c r="B162" i="49" s="1"/>
  <c r="H161" i="49"/>
  <c r="G161" i="49"/>
  <c r="C161" i="49"/>
  <c r="D161" i="49"/>
  <c r="C161" i="48"/>
  <c r="D161" i="48"/>
  <c r="I161" i="48"/>
  <c r="B162" i="48" s="1"/>
  <c r="H161" i="48"/>
  <c r="G161" i="48"/>
  <c r="I161" i="47"/>
  <c r="B162" i="47" s="1"/>
  <c r="G161" i="47"/>
  <c r="D161" i="47"/>
  <c r="C161" i="47"/>
  <c r="H161" i="47"/>
  <c r="C110" i="35"/>
  <c r="I110" i="35"/>
  <c r="B111" i="35" s="1"/>
  <c r="D110" i="35"/>
  <c r="H110" i="35"/>
  <c r="G110" i="35"/>
  <c r="C91" i="2"/>
  <c r="E97" i="3"/>
  <c r="K91" i="3"/>
  <c r="L43" i="3"/>
  <c r="H12" i="2"/>
  <c r="E12" i="2"/>
  <c r="F6" i="61" s="1"/>
  <c r="B13" i="2"/>
  <c r="F9" i="60" l="1"/>
  <c r="F10" i="60"/>
  <c r="F14" i="56"/>
  <c r="F13" i="56"/>
  <c r="F8" i="59"/>
  <c r="F7" i="59"/>
  <c r="F12" i="57"/>
  <c r="F11" i="57"/>
  <c r="F8" i="61"/>
  <c r="F7" i="61"/>
  <c r="F10" i="58"/>
  <c r="F9" i="58"/>
  <c r="F15" i="36"/>
  <c r="F16" i="36"/>
  <c r="I163" i="55"/>
  <c r="B164" i="55" s="1"/>
  <c r="H163" i="55"/>
  <c r="G163" i="55"/>
  <c r="D163" i="55"/>
  <c r="C163" i="55"/>
  <c r="I163" i="54"/>
  <c r="B164" i="54" s="1"/>
  <c r="H163" i="54"/>
  <c r="G163" i="54"/>
  <c r="D163" i="54"/>
  <c r="C163" i="54"/>
  <c r="C163" i="53"/>
  <c r="I163" i="53"/>
  <c r="B164" i="53" s="1"/>
  <c r="G163" i="53"/>
  <c r="D163" i="53"/>
  <c r="H163" i="53"/>
  <c r="C163" i="52"/>
  <c r="I163" i="52"/>
  <c r="B164" i="52" s="1"/>
  <c r="H163" i="52"/>
  <c r="G163" i="52"/>
  <c r="D163" i="52"/>
  <c r="H163" i="51"/>
  <c r="G163" i="51"/>
  <c r="D163" i="51"/>
  <c r="C163" i="51"/>
  <c r="I163" i="51"/>
  <c r="B164" i="51" s="1"/>
  <c r="I162" i="50"/>
  <c r="B163" i="50" s="1"/>
  <c r="H162" i="50"/>
  <c r="G162" i="50"/>
  <c r="D162" i="50"/>
  <c r="C162" i="50"/>
  <c r="C162" i="49"/>
  <c r="I162" i="49"/>
  <c r="B163" i="49" s="1"/>
  <c r="G162" i="49"/>
  <c r="H162" i="49"/>
  <c r="D162" i="49"/>
  <c r="G162" i="48"/>
  <c r="D162" i="48"/>
  <c r="C162" i="48"/>
  <c r="H162" i="48"/>
  <c r="I162" i="48"/>
  <c r="B163" i="48" s="1"/>
  <c r="C162" i="47"/>
  <c r="I162" i="47"/>
  <c r="B163" i="47" s="1"/>
  <c r="G162" i="47"/>
  <c r="H162" i="47"/>
  <c r="D162" i="47"/>
  <c r="G111" i="35"/>
  <c r="D111" i="35"/>
  <c r="C111" i="35"/>
  <c r="H111" i="35"/>
  <c r="I111" i="35"/>
  <c r="B112" i="35" s="1"/>
  <c r="L91" i="3"/>
  <c r="F97" i="3"/>
  <c r="M43" i="3"/>
  <c r="H13" i="2"/>
  <c r="B14" i="2"/>
  <c r="E13" i="2"/>
  <c r="F6" i="62" s="1"/>
  <c r="F14" i="57" l="1"/>
  <c r="F13" i="57"/>
  <c r="F10" i="59"/>
  <c r="F9" i="59"/>
  <c r="F8" i="62"/>
  <c r="F7" i="62"/>
  <c r="F12" i="58"/>
  <c r="F11" i="58"/>
  <c r="F16" i="56"/>
  <c r="F15" i="56"/>
  <c r="F12" i="60"/>
  <c r="F11" i="60"/>
  <c r="F10" i="61"/>
  <c r="F9" i="61"/>
  <c r="F18" i="36"/>
  <c r="F17" i="36"/>
  <c r="C164" i="55"/>
  <c r="I164" i="55"/>
  <c r="B165" i="55" s="1"/>
  <c r="H164" i="55"/>
  <c r="G164" i="55"/>
  <c r="D164" i="55"/>
  <c r="I164" i="54"/>
  <c r="B165" i="54" s="1"/>
  <c r="H164" i="54"/>
  <c r="G164" i="54"/>
  <c r="D164" i="54"/>
  <c r="C164" i="54"/>
  <c r="G164" i="53"/>
  <c r="D164" i="53"/>
  <c r="C164" i="53"/>
  <c r="I164" i="53"/>
  <c r="B165" i="53" s="1"/>
  <c r="H164" i="53"/>
  <c r="G164" i="52"/>
  <c r="D164" i="52"/>
  <c r="C164" i="52"/>
  <c r="I164" i="52"/>
  <c r="B165" i="52" s="1"/>
  <c r="H164" i="52"/>
  <c r="I164" i="51"/>
  <c r="B165" i="51" s="1"/>
  <c r="H164" i="51"/>
  <c r="G164" i="51"/>
  <c r="D164" i="51"/>
  <c r="C164" i="51"/>
  <c r="I163" i="50"/>
  <c r="B164" i="50" s="1"/>
  <c r="H163" i="50"/>
  <c r="G163" i="50"/>
  <c r="D163" i="50"/>
  <c r="C163" i="50"/>
  <c r="G163" i="49"/>
  <c r="D163" i="49"/>
  <c r="C163" i="49"/>
  <c r="I163" i="49"/>
  <c r="B164" i="49" s="1"/>
  <c r="H163" i="49"/>
  <c r="I163" i="48"/>
  <c r="B164" i="48" s="1"/>
  <c r="H163" i="48"/>
  <c r="G163" i="48"/>
  <c r="D163" i="48"/>
  <c r="C163" i="48"/>
  <c r="G163" i="47"/>
  <c r="D163" i="47"/>
  <c r="C163" i="47"/>
  <c r="I163" i="47"/>
  <c r="B164" i="47" s="1"/>
  <c r="H163" i="47"/>
  <c r="H112" i="35"/>
  <c r="C112" i="35"/>
  <c r="G112" i="35"/>
  <c r="I112" i="35"/>
  <c r="B113" i="35" s="1"/>
  <c r="D112" i="35"/>
  <c r="M91" i="3"/>
  <c r="G97" i="3"/>
  <c r="B15" i="2"/>
  <c r="E14" i="2"/>
  <c r="F6" i="63" s="1"/>
  <c r="H14" i="2"/>
  <c r="F12" i="61" l="1"/>
  <c r="F11" i="61"/>
  <c r="F9" i="62"/>
  <c r="F10" i="62"/>
  <c r="F14" i="60"/>
  <c r="F13" i="60"/>
  <c r="F11" i="59"/>
  <c r="F12" i="59"/>
  <c r="F14" i="58"/>
  <c r="F13" i="58"/>
  <c r="F8" i="63"/>
  <c r="F7" i="63"/>
  <c r="F18" i="56"/>
  <c r="F17" i="56"/>
  <c r="F16" i="57"/>
  <c r="F15" i="57"/>
  <c r="F19" i="36"/>
  <c r="F20" i="36"/>
  <c r="G165" i="55"/>
  <c r="D165" i="55"/>
  <c r="C165" i="55"/>
  <c r="I165" i="55"/>
  <c r="B166" i="55" s="1"/>
  <c r="H165" i="55"/>
  <c r="C165" i="54"/>
  <c r="I165" i="54"/>
  <c r="B166" i="54" s="1"/>
  <c r="H165" i="54"/>
  <c r="G165" i="54"/>
  <c r="D165" i="54"/>
  <c r="I165" i="53"/>
  <c r="B166" i="53" s="1"/>
  <c r="H165" i="53"/>
  <c r="G165" i="53"/>
  <c r="D165" i="53"/>
  <c r="C165" i="53"/>
  <c r="I165" i="52"/>
  <c r="B166" i="52" s="1"/>
  <c r="H165" i="52"/>
  <c r="G165" i="52"/>
  <c r="D165" i="52"/>
  <c r="C165" i="52"/>
  <c r="I165" i="51"/>
  <c r="B166" i="51" s="1"/>
  <c r="H165" i="51"/>
  <c r="G165" i="51"/>
  <c r="D165" i="51"/>
  <c r="C165" i="51"/>
  <c r="D164" i="50"/>
  <c r="C164" i="50"/>
  <c r="I164" i="50"/>
  <c r="B165" i="50" s="1"/>
  <c r="H164" i="50"/>
  <c r="G164" i="50"/>
  <c r="I164" i="49"/>
  <c r="B165" i="49" s="1"/>
  <c r="H164" i="49"/>
  <c r="G164" i="49"/>
  <c r="D164" i="49"/>
  <c r="C164" i="49"/>
  <c r="I164" i="48"/>
  <c r="B165" i="48" s="1"/>
  <c r="H164" i="48"/>
  <c r="G164" i="48"/>
  <c r="D164" i="48"/>
  <c r="C164" i="48"/>
  <c r="I164" i="47"/>
  <c r="B165" i="47" s="1"/>
  <c r="H164" i="47"/>
  <c r="G164" i="47"/>
  <c r="C164" i="47"/>
  <c r="D164" i="47"/>
  <c r="C113" i="35"/>
  <c r="G113" i="35"/>
  <c r="I113" i="35"/>
  <c r="B114" i="35" s="1"/>
  <c r="D113" i="35"/>
  <c r="H113" i="35"/>
  <c r="H97" i="3"/>
  <c r="H15" i="2"/>
  <c r="E15" i="2"/>
  <c r="F6" i="64" s="1"/>
  <c r="F14" i="59" l="1"/>
  <c r="F13" i="59"/>
  <c r="F8" i="64"/>
  <c r="F7" i="64"/>
  <c r="F18" i="57"/>
  <c r="F17" i="57"/>
  <c r="F19" i="56"/>
  <c r="F20" i="56"/>
  <c r="F16" i="60"/>
  <c r="F15" i="60"/>
  <c r="F12" i="62"/>
  <c r="F11" i="62"/>
  <c r="F10" i="63"/>
  <c r="F9" i="63"/>
  <c r="F16" i="58"/>
  <c r="F15" i="58"/>
  <c r="F14" i="61"/>
  <c r="F13" i="61"/>
  <c r="F21" i="36"/>
  <c r="F22" i="36"/>
  <c r="I166" i="55"/>
  <c r="B167" i="55" s="1"/>
  <c r="H166" i="55"/>
  <c r="G166" i="55"/>
  <c r="D166" i="55"/>
  <c r="C166" i="55"/>
  <c r="G166" i="54"/>
  <c r="D166" i="54"/>
  <c r="C166" i="54"/>
  <c r="H166" i="54"/>
  <c r="I166" i="54"/>
  <c r="B167" i="54" s="1"/>
  <c r="I166" i="53"/>
  <c r="B167" i="53" s="1"/>
  <c r="H166" i="53"/>
  <c r="G166" i="53"/>
  <c r="C166" i="53"/>
  <c r="D166" i="53"/>
  <c r="I166" i="52"/>
  <c r="B167" i="52" s="1"/>
  <c r="H166" i="52"/>
  <c r="G166" i="52"/>
  <c r="D166" i="52"/>
  <c r="C166" i="52"/>
  <c r="D166" i="51"/>
  <c r="C166" i="51"/>
  <c r="I166" i="51"/>
  <c r="B167" i="51" s="1"/>
  <c r="H166" i="51"/>
  <c r="G166" i="51"/>
  <c r="H165" i="50"/>
  <c r="G165" i="50"/>
  <c r="D165" i="50"/>
  <c r="C165" i="50"/>
  <c r="I165" i="50"/>
  <c r="B166" i="50" s="1"/>
  <c r="I165" i="49"/>
  <c r="B166" i="49" s="1"/>
  <c r="H165" i="49"/>
  <c r="G165" i="49"/>
  <c r="C165" i="49"/>
  <c r="D165" i="49"/>
  <c r="C165" i="48"/>
  <c r="D165" i="48"/>
  <c r="I165" i="48"/>
  <c r="B166" i="48" s="1"/>
  <c r="H165" i="48"/>
  <c r="G165" i="48"/>
  <c r="I165" i="47"/>
  <c r="B166" i="47" s="1"/>
  <c r="G165" i="47"/>
  <c r="H165" i="47"/>
  <c r="D165" i="47"/>
  <c r="C165" i="47"/>
  <c r="C114" i="35"/>
  <c r="I114" i="35"/>
  <c r="B115" i="35" s="1"/>
  <c r="H114" i="35"/>
  <c r="G114" i="35"/>
  <c r="D114" i="35"/>
  <c r="I97" i="3"/>
  <c r="F18" i="58" l="1"/>
  <c r="F17" i="58"/>
  <c r="F12" i="63"/>
  <c r="F11" i="63"/>
  <c r="F19" i="57"/>
  <c r="F20" i="57"/>
  <c r="F14" i="62"/>
  <c r="F13" i="62"/>
  <c r="F10" i="64"/>
  <c r="F9" i="64"/>
  <c r="F22" i="56"/>
  <c r="F21" i="56"/>
  <c r="F16" i="61"/>
  <c r="F15" i="61"/>
  <c r="F17" i="60"/>
  <c r="F18" i="60"/>
  <c r="F16" i="59"/>
  <c r="F15" i="59"/>
  <c r="F24" i="36"/>
  <c r="F23" i="36"/>
  <c r="I167" i="55"/>
  <c r="B168" i="55" s="1"/>
  <c r="H167" i="55"/>
  <c r="G167" i="55"/>
  <c r="D167" i="55"/>
  <c r="C167" i="55"/>
  <c r="I167" i="54"/>
  <c r="B168" i="54" s="1"/>
  <c r="H167" i="54"/>
  <c r="G167" i="54"/>
  <c r="D167" i="54"/>
  <c r="C167" i="54"/>
  <c r="C167" i="53"/>
  <c r="I167" i="53"/>
  <c r="B168" i="53" s="1"/>
  <c r="G167" i="53"/>
  <c r="D167" i="53"/>
  <c r="H167" i="53"/>
  <c r="C167" i="52"/>
  <c r="I167" i="52"/>
  <c r="B168" i="52" s="1"/>
  <c r="H167" i="52"/>
  <c r="D167" i="52"/>
  <c r="G167" i="52"/>
  <c r="H167" i="51"/>
  <c r="G167" i="51"/>
  <c r="D167" i="51"/>
  <c r="C167" i="51"/>
  <c r="I167" i="51"/>
  <c r="B168" i="51" s="1"/>
  <c r="I166" i="50"/>
  <c r="B167" i="50" s="1"/>
  <c r="H166" i="50"/>
  <c r="G166" i="50"/>
  <c r="D166" i="50"/>
  <c r="C166" i="50"/>
  <c r="C166" i="49"/>
  <c r="I166" i="49"/>
  <c r="B167" i="49" s="1"/>
  <c r="G166" i="49"/>
  <c r="H166" i="49"/>
  <c r="D166" i="49"/>
  <c r="G166" i="48"/>
  <c r="H166" i="48"/>
  <c r="D166" i="48"/>
  <c r="C166" i="48"/>
  <c r="I166" i="48"/>
  <c r="B167" i="48" s="1"/>
  <c r="C166" i="47"/>
  <c r="I166" i="47"/>
  <c r="B167" i="47" s="1"/>
  <c r="H166" i="47"/>
  <c r="G166" i="47"/>
  <c r="D166" i="47"/>
  <c r="G115" i="35"/>
  <c r="D115" i="35"/>
  <c r="C115" i="35"/>
  <c r="H115" i="35"/>
  <c r="I115" i="35"/>
  <c r="B116" i="35" s="1"/>
  <c r="J97" i="3"/>
  <c r="F15" i="62" l="1"/>
  <c r="F16" i="62"/>
  <c r="F21" i="57"/>
  <c r="F22" i="57"/>
  <c r="F17" i="61"/>
  <c r="F18" i="61"/>
  <c r="F19" i="60"/>
  <c r="F20" i="60"/>
  <c r="F24" i="56"/>
  <c r="F23" i="56"/>
  <c r="F14" i="63"/>
  <c r="F13" i="63"/>
  <c r="F17" i="59"/>
  <c r="F18" i="59"/>
  <c r="F12" i="64"/>
  <c r="F11" i="64"/>
  <c r="F20" i="58"/>
  <c r="F19" i="58"/>
  <c r="F26" i="36"/>
  <c r="F25" i="36"/>
  <c r="C168" i="55"/>
  <c r="I168" i="55"/>
  <c r="B169" i="55" s="1"/>
  <c r="H168" i="55"/>
  <c r="G168" i="55"/>
  <c r="D168" i="55"/>
  <c r="I168" i="54"/>
  <c r="B169" i="54" s="1"/>
  <c r="H168" i="54"/>
  <c r="G168" i="54"/>
  <c r="D168" i="54"/>
  <c r="C168" i="54"/>
  <c r="G168" i="53"/>
  <c r="D168" i="53"/>
  <c r="C168" i="53"/>
  <c r="I168" i="53"/>
  <c r="B169" i="53" s="1"/>
  <c r="H168" i="53"/>
  <c r="G168" i="52"/>
  <c r="D168" i="52"/>
  <c r="C168" i="52"/>
  <c r="I168" i="52"/>
  <c r="B169" i="52" s="1"/>
  <c r="H168" i="52"/>
  <c r="I168" i="51"/>
  <c r="B169" i="51" s="1"/>
  <c r="H168" i="51"/>
  <c r="G168" i="51"/>
  <c r="D168" i="51"/>
  <c r="C168" i="51"/>
  <c r="I167" i="50"/>
  <c r="B168" i="50" s="1"/>
  <c r="H167" i="50"/>
  <c r="G167" i="50"/>
  <c r="D167" i="50"/>
  <c r="C167" i="50"/>
  <c r="G167" i="49"/>
  <c r="D167" i="49"/>
  <c r="C167" i="49"/>
  <c r="I167" i="49"/>
  <c r="B168" i="49" s="1"/>
  <c r="H167" i="49"/>
  <c r="I167" i="48"/>
  <c r="B168" i="48" s="1"/>
  <c r="H167" i="48"/>
  <c r="G167" i="48"/>
  <c r="D167" i="48"/>
  <c r="C167" i="48"/>
  <c r="G167" i="47"/>
  <c r="D167" i="47"/>
  <c r="C167" i="47"/>
  <c r="I167" i="47"/>
  <c r="B168" i="47" s="1"/>
  <c r="H167" i="47"/>
  <c r="H116" i="35"/>
  <c r="C116" i="35"/>
  <c r="G116" i="35"/>
  <c r="D116" i="35"/>
  <c r="I116" i="35"/>
  <c r="B117" i="35" s="1"/>
  <c r="K97" i="3"/>
  <c r="B93" i="2"/>
  <c r="C33" i="3"/>
  <c r="C30" i="3"/>
  <c r="C27" i="3"/>
  <c r="C24" i="3"/>
  <c r="C21" i="3"/>
  <c r="C18" i="3"/>
  <c r="C15" i="3"/>
  <c r="C12" i="3"/>
  <c r="C9" i="3"/>
  <c r="C6" i="3"/>
  <c r="B32" i="3"/>
  <c r="B29" i="3"/>
  <c r="B26" i="3"/>
  <c r="B23" i="3"/>
  <c r="B20" i="3"/>
  <c r="B17" i="3"/>
  <c r="B14" i="3"/>
  <c r="B11" i="3"/>
  <c r="B8" i="3"/>
  <c r="B71" i="3"/>
  <c r="F14" i="64" l="1"/>
  <c r="F13" i="64"/>
  <c r="F20" i="59"/>
  <c r="F19" i="59"/>
  <c r="F20" i="61"/>
  <c r="F19" i="61"/>
  <c r="F24" i="57"/>
  <c r="F23" i="57"/>
  <c r="F16" i="63"/>
  <c r="F15" i="63"/>
  <c r="F17" i="62"/>
  <c r="F18" i="62"/>
  <c r="F21" i="60"/>
  <c r="F22" i="60"/>
  <c r="F22" i="58"/>
  <c r="F21" i="58"/>
  <c r="F25" i="56"/>
  <c r="F26" i="56"/>
  <c r="F28" i="36"/>
  <c r="F27" i="36"/>
  <c r="G169" i="55"/>
  <c r="D169" i="55"/>
  <c r="C169" i="55"/>
  <c r="I169" i="55"/>
  <c r="B170" i="55" s="1"/>
  <c r="H169" i="55"/>
  <c r="C169" i="54"/>
  <c r="I169" i="54"/>
  <c r="B170" i="54" s="1"/>
  <c r="H169" i="54"/>
  <c r="G169" i="54"/>
  <c r="D169" i="54"/>
  <c r="I169" i="53"/>
  <c r="B170" i="53" s="1"/>
  <c r="H169" i="53"/>
  <c r="G169" i="53"/>
  <c r="D169" i="53"/>
  <c r="C169" i="53"/>
  <c r="I169" i="52"/>
  <c r="B170" i="52" s="1"/>
  <c r="H169" i="52"/>
  <c r="G169" i="52"/>
  <c r="D169" i="52"/>
  <c r="C169" i="52"/>
  <c r="I169" i="51"/>
  <c r="B170" i="51" s="1"/>
  <c r="H169" i="51"/>
  <c r="G169" i="51"/>
  <c r="D169" i="51"/>
  <c r="C169" i="51"/>
  <c r="D168" i="50"/>
  <c r="C168" i="50"/>
  <c r="I168" i="50"/>
  <c r="B169" i="50" s="1"/>
  <c r="H168" i="50"/>
  <c r="G168" i="50"/>
  <c r="I168" i="49"/>
  <c r="B169" i="49" s="1"/>
  <c r="H168" i="49"/>
  <c r="G168" i="49"/>
  <c r="D168" i="49"/>
  <c r="C168" i="49"/>
  <c r="I168" i="48"/>
  <c r="B169" i="48" s="1"/>
  <c r="H168" i="48"/>
  <c r="G168" i="48"/>
  <c r="D168" i="48"/>
  <c r="C168" i="48"/>
  <c r="I168" i="47"/>
  <c r="B169" i="47" s="1"/>
  <c r="H168" i="47"/>
  <c r="G168" i="47"/>
  <c r="C168" i="47"/>
  <c r="D168" i="47"/>
  <c r="C117" i="35"/>
  <c r="G117" i="35"/>
  <c r="I117" i="35"/>
  <c r="B118" i="35" s="1"/>
  <c r="H117" i="35"/>
  <c r="D117" i="35"/>
  <c r="L97" i="3"/>
  <c r="K71" i="3"/>
  <c r="K73" i="3" s="1"/>
  <c r="H71" i="3"/>
  <c r="H73" i="3" s="1"/>
  <c r="L71" i="3"/>
  <c r="L73" i="3" s="1"/>
  <c r="C71" i="3"/>
  <c r="C73" i="3" s="1"/>
  <c r="F24" i="58" l="1"/>
  <c r="F23" i="58"/>
  <c r="F26" i="57"/>
  <c r="F25" i="57"/>
  <c r="F24" i="60"/>
  <c r="F23" i="60"/>
  <c r="F22" i="61"/>
  <c r="F21" i="61"/>
  <c r="F20" i="62"/>
  <c r="F19" i="62"/>
  <c r="F21" i="59"/>
  <c r="F22" i="59"/>
  <c r="F28" i="56"/>
  <c r="F27" i="56"/>
  <c r="F18" i="63"/>
  <c r="F17" i="63"/>
  <c r="F15" i="64"/>
  <c r="F16" i="64"/>
  <c r="F30" i="36"/>
  <c r="F29" i="36"/>
  <c r="I170" i="55"/>
  <c r="B171" i="55" s="1"/>
  <c r="H170" i="55"/>
  <c r="G170" i="55"/>
  <c r="D170" i="55"/>
  <c r="C170" i="55"/>
  <c r="G170" i="54"/>
  <c r="D170" i="54"/>
  <c r="C170" i="54"/>
  <c r="I170" i="54"/>
  <c r="B171" i="54" s="1"/>
  <c r="H170" i="54"/>
  <c r="I170" i="53"/>
  <c r="B171" i="53" s="1"/>
  <c r="H170" i="53"/>
  <c r="G170" i="53"/>
  <c r="C170" i="53"/>
  <c r="D170" i="53"/>
  <c r="I170" i="52"/>
  <c r="B171" i="52" s="1"/>
  <c r="H170" i="52"/>
  <c r="G170" i="52"/>
  <c r="D170" i="52"/>
  <c r="C170" i="52"/>
  <c r="D170" i="51"/>
  <c r="C170" i="51"/>
  <c r="I170" i="51"/>
  <c r="B171" i="51" s="1"/>
  <c r="H170" i="51"/>
  <c r="G170" i="51"/>
  <c r="H169" i="50"/>
  <c r="G169" i="50"/>
  <c r="D169" i="50"/>
  <c r="C169" i="50"/>
  <c r="I169" i="50"/>
  <c r="B170" i="50" s="1"/>
  <c r="I169" i="49"/>
  <c r="B170" i="49" s="1"/>
  <c r="H169" i="49"/>
  <c r="G169" i="49"/>
  <c r="C169" i="49"/>
  <c r="D169" i="49"/>
  <c r="C169" i="48"/>
  <c r="I169" i="48"/>
  <c r="B170" i="48" s="1"/>
  <c r="H169" i="48"/>
  <c r="G169" i="48"/>
  <c r="D169" i="48"/>
  <c r="I169" i="47"/>
  <c r="B170" i="47" s="1"/>
  <c r="G169" i="47"/>
  <c r="D169" i="47"/>
  <c r="C169" i="47"/>
  <c r="H169" i="47"/>
  <c r="C118" i="35"/>
  <c r="I118" i="35"/>
  <c r="B119" i="35" s="1"/>
  <c r="H118" i="35"/>
  <c r="G118" i="35"/>
  <c r="D118" i="35"/>
  <c r="M97" i="3"/>
  <c r="C104" i="3"/>
  <c r="C107" i="3" s="1"/>
  <c r="C109" i="3" s="1"/>
  <c r="M71" i="3"/>
  <c r="M73" i="3" s="1"/>
  <c r="G71" i="3"/>
  <c r="G73" i="3" s="1"/>
  <c r="E71" i="3"/>
  <c r="E73" i="3" s="1"/>
  <c r="F71" i="3"/>
  <c r="F73" i="3" s="1"/>
  <c r="D71" i="3"/>
  <c r="D73" i="3" s="1"/>
  <c r="I71" i="3"/>
  <c r="I73" i="3" s="1"/>
  <c r="J71" i="3"/>
  <c r="J73" i="3" s="1"/>
  <c r="F20" i="63" l="1"/>
  <c r="F19" i="63"/>
  <c r="F24" i="61"/>
  <c r="F23" i="61"/>
  <c r="F30" i="56"/>
  <c r="F29" i="56"/>
  <c r="F25" i="60"/>
  <c r="F26" i="60"/>
  <c r="F24" i="59"/>
  <c r="F23" i="59"/>
  <c r="F28" i="57"/>
  <c r="F27" i="57"/>
  <c r="F17" i="64"/>
  <c r="F18" i="64"/>
  <c r="F21" i="62"/>
  <c r="F22" i="62"/>
  <c r="F25" i="58"/>
  <c r="F26" i="58"/>
  <c r="F32" i="36"/>
  <c r="F31" i="36"/>
  <c r="I171" i="55"/>
  <c r="B172" i="55" s="1"/>
  <c r="H171" i="55"/>
  <c r="G171" i="55"/>
  <c r="D171" i="55"/>
  <c r="C171" i="55"/>
  <c r="I171" i="54"/>
  <c r="B172" i="54" s="1"/>
  <c r="H171" i="54"/>
  <c r="G171" i="54"/>
  <c r="D171" i="54"/>
  <c r="C171" i="54"/>
  <c r="C171" i="53"/>
  <c r="I171" i="53"/>
  <c r="B172" i="53" s="1"/>
  <c r="G171" i="53"/>
  <c r="D171" i="53"/>
  <c r="H171" i="53"/>
  <c r="C171" i="52"/>
  <c r="I171" i="52"/>
  <c r="B172" i="52" s="1"/>
  <c r="H171" i="52"/>
  <c r="G171" i="52"/>
  <c r="D171" i="52"/>
  <c r="H171" i="51"/>
  <c r="G171" i="51"/>
  <c r="D171" i="51"/>
  <c r="C171" i="51"/>
  <c r="I171" i="51"/>
  <c r="B172" i="51" s="1"/>
  <c r="I170" i="50"/>
  <c r="B171" i="50" s="1"/>
  <c r="H170" i="50"/>
  <c r="G170" i="50"/>
  <c r="D170" i="50"/>
  <c r="C170" i="50"/>
  <c r="C170" i="49"/>
  <c r="I170" i="49"/>
  <c r="B171" i="49" s="1"/>
  <c r="G170" i="49"/>
  <c r="H170" i="49"/>
  <c r="D170" i="49"/>
  <c r="G170" i="48"/>
  <c r="D170" i="48"/>
  <c r="C170" i="48"/>
  <c r="H170" i="48"/>
  <c r="I170" i="48"/>
  <c r="B171" i="48" s="1"/>
  <c r="C170" i="47"/>
  <c r="I170" i="47"/>
  <c r="B171" i="47" s="1"/>
  <c r="H170" i="47"/>
  <c r="G170" i="47"/>
  <c r="D170" i="47"/>
  <c r="G119" i="35"/>
  <c r="D119" i="35"/>
  <c r="C119" i="35"/>
  <c r="I119" i="35"/>
  <c r="B120" i="35" s="1"/>
  <c r="H119" i="35"/>
  <c r="F19" i="64" l="1"/>
  <c r="F20" i="64"/>
  <c r="F32" i="56"/>
  <c r="F31" i="56"/>
  <c r="F30" i="57"/>
  <c r="F29" i="57"/>
  <c r="F26" i="61"/>
  <c r="F25" i="61"/>
  <c r="F23" i="62"/>
  <c r="F24" i="62"/>
  <c r="F28" i="58"/>
  <c r="F27" i="58"/>
  <c r="F27" i="60"/>
  <c r="F28" i="60"/>
  <c r="F25" i="59"/>
  <c r="F26" i="59"/>
  <c r="F22" i="63"/>
  <c r="F21" i="63"/>
  <c r="F33" i="36"/>
  <c r="F34" i="36"/>
  <c r="C172" i="55"/>
  <c r="I172" i="55"/>
  <c r="B173" i="55" s="1"/>
  <c r="H172" i="55"/>
  <c r="G172" i="55"/>
  <c r="D172" i="55"/>
  <c r="I172" i="54"/>
  <c r="B173" i="54" s="1"/>
  <c r="H172" i="54"/>
  <c r="G172" i="54"/>
  <c r="D172" i="54"/>
  <c r="C172" i="54"/>
  <c r="G172" i="53"/>
  <c r="D172" i="53"/>
  <c r="C172" i="53"/>
  <c r="I172" i="53"/>
  <c r="B173" i="53" s="1"/>
  <c r="H172" i="53"/>
  <c r="G172" i="52"/>
  <c r="D172" i="52"/>
  <c r="C172" i="52"/>
  <c r="H172" i="52"/>
  <c r="I172" i="52"/>
  <c r="B173" i="52" s="1"/>
  <c r="I172" i="51"/>
  <c r="B173" i="51" s="1"/>
  <c r="H172" i="51"/>
  <c r="G172" i="51"/>
  <c r="D172" i="51"/>
  <c r="C172" i="51"/>
  <c r="I171" i="50"/>
  <c r="B172" i="50" s="1"/>
  <c r="H171" i="50"/>
  <c r="G171" i="50"/>
  <c r="D171" i="50"/>
  <c r="C171" i="50"/>
  <c r="G171" i="49"/>
  <c r="D171" i="49"/>
  <c r="C171" i="49"/>
  <c r="I171" i="49"/>
  <c r="B172" i="49" s="1"/>
  <c r="H171" i="49"/>
  <c r="I171" i="48"/>
  <c r="B172" i="48" s="1"/>
  <c r="H171" i="48"/>
  <c r="G171" i="48"/>
  <c r="D171" i="48"/>
  <c r="C171" i="48"/>
  <c r="G171" i="47"/>
  <c r="D171" i="47"/>
  <c r="C171" i="47"/>
  <c r="I171" i="47"/>
  <c r="B172" i="47" s="1"/>
  <c r="H171" i="47"/>
  <c r="C120" i="35"/>
  <c r="H120" i="35"/>
  <c r="G120" i="35"/>
  <c r="D120" i="35"/>
  <c r="I120" i="35"/>
  <c r="B121" i="35" s="1"/>
  <c r="C87" i="2"/>
  <c r="C93" i="2"/>
  <c r="C96" i="2"/>
  <c r="F28" i="61" l="1"/>
  <c r="F27" i="61"/>
  <c r="F29" i="60"/>
  <c r="F30" i="60"/>
  <c r="F32" i="57"/>
  <c r="F31" i="57"/>
  <c r="F29" i="58"/>
  <c r="F30" i="58"/>
  <c r="F34" i="56"/>
  <c r="F33" i="56"/>
  <c r="F26" i="62"/>
  <c r="F25" i="62"/>
  <c r="F22" i="64"/>
  <c r="F21" i="64"/>
  <c r="F27" i="59"/>
  <c r="F28" i="59"/>
  <c r="F24" i="63"/>
  <c r="F23" i="63"/>
  <c r="F35" i="36"/>
  <c r="F36" i="36"/>
  <c r="G173" i="55"/>
  <c r="D173" i="55"/>
  <c r="C173" i="55"/>
  <c r="I173" i="55"/>
  <c r="B174" i="55" s="1"/>
  <c r="H173" i="55"/>
  <c r="C173" i="54"/>
  <c r="I173" i="54"/>
  <c r="B174" i="54" s="1"/>
  <c r="G173" i="54"/>
  <c r="D173" i="54"/>
  <c r="H173" i="54"/>
  <c r="I173" i="53"/>
  <c r="B174" i="53" s="1"/>
  <c r="H173" i="53"/>
  <c r="G173" i="53"/>
  <c r="D173" i="53"/>
  <c r="C173" i="53"/>
  <c r="I173" i="52"/>
  <c r="B174" i="52" s="1"/>
  <c r="H173" i="52"/>
  <c r="G173" i="52"/>
  <c r="D173" i="52"/>
  <c r="C173" i="52"/>
  <c r="I173" i="51"/>
  <c r="B174" i="51" s="1"/>
  <c r="H173" i="51"/>
  <c r="G173" i="51"/>
  <c r="D173" i="51"/>
  <c r="C173" i="51"/>
  <c r="D172" i="50"/>
  <c r="C172" i="50"/>
  <c r="I172" i="50"/>
  <c r="B173" i="50" s="1"/>
  <c r="H172" i="50"/>
  <c r="G172" i="50"/>
  <c r="I172" i="49"/>
  <c r="B173" i="49" s="1"/>
  <c r="H172" i="49"/>
  <c r="G172" i="49"/>
  <c r="D172" i="49"/>
  <c r="C172" i="49"/>
  <c r="I172" i="48"/>
  <c r="B173" i="48" s="1"/>
  <c r="H172" i="48"/>
  <c r="G172" i="48"/>
  <c r="D172" i="48"/>
  <c r="C172" i="48"/>
  <c r="I172" i="47"/>
  <c r="B173" i="47" s="1"/>
  <c r="H172" i="47"/>
  <c r="G172" i="47"/>
  <c r="C172" i="47"/>
  <c r="D172" i="47"/>
  <c r="C121" i="35"/>
  <c r="D121" i="35"/>
  <c r="G121" i="35"/>
  <c r="I121" i="35"/>
  <c r="B122" i="35" s="1"/>
  <c r="H121" i="35"/>
  <c r="C62" i="2"/>
  <c r="C68" i="2"/>
  <c r="F29" i="59" l="1"/>
  <c r="F30" i="59"/>
  <c r="F23" i="64"/>
  <c r="F24" i="64"/>
  <c r="F33" i="57"/>
  <c r="F34" i="57"/>
  <c r="F31" i="60"/>
  <c r="F32" i="60"/>
  <c r="F28" i="62"/>
  <c r="F27" i="62"/>
  <c r="F32" i="58"/>
  <c r="F31" i="58"/>
  <c r="F25" i="63"/>
  <c r="F26" i="63"/>
  <c r="F36" i="56"/>
  <c r="F35" i="56"/>
  <c r="F30" i="61"/>
  <c r="F29" i="61"/>
  <c r="F38" i="36"/>
  <c r="F37" i="36"/>
  <c r="I174" i="55"/>
  <c r="B175" i="55" s="1"/>
  <c r="H174" i="55"/>
  <c r="G174" i="55"/>
  <c r="D174" i="55"/>
  <c r="C174" i="55"/>
  <c r="G174" i="54"/>
  <c r="D174" i="54"/>
  <c r="C174" i="54"/>
  <c r="H174" i="54"/>
  <c r="I174" i="54"/>
  <c r="B175" i="54" s="1"/>
  <c r="I174" i="53"/>
  <c r="B175" i="53" s="1"/>
  <c r="H174" i="53"/>
  <c r="G174" i="53"/>
  <c r="C174" i="53"/>
  <c r="D174" i="53"/>
  <c r="I174" i="52"/>
  <c r="B175" i="52" s="1"/>
  <c r="H174" i="52"/>
  <c r="G174" i="52"/>
  <c r="D174" i="52"/>
  <c r="C174" i="52"/>
  <c r="D174" i="51"/>
  <c r="C174" i="51"/>
  <c r="I174" i="51"/>
  <c r="B175" i="51" s="1"/>
  <c r="H174" i="51"/>
  <c r="G174" i="51"/>
  <c r="H173" i="50"/>
  <c r="G173" i="50"/>
  <c r="D173" i="50"/>
  <c r="C173" i="50"/>
  <c r="I173" i="50"/>
  <c r="B174" i="50" s="1"/>
  <c r="I173" i="49"/>
  <c r="B174" i="49" s="1"/>
  <c r="H173" i="49"/>
  <c r="G173" i="49"/>
  <c r="C173" i="49"/>
  <c r="D173" i="49"/>
  <c r="C173" i="48"/>
  <c r="I173" i="48"/>
  <c r="B174" i="48" s="1"/>
  <c r="H173" i="48"/>
  <c r="G173" i="48"/>
  <c r="D173" i="48"/>
  <c r="I173" i="47"/>
  <c r="B174" i="47" s="1"/>
  <c r="G173" i="47"/>
  <c r="H173" i="47"/>
  <c r="D173" i="47"/>
  <c r="C173" i="47"/>
  <c r="D122" i="35"/>
  <c r="C122" i="35"/>
  <c r="I122" i="35"/>
  <c r="B123" i="35" s="1"/>
  <c r="H122" i="35"/>
  <c r="G122" i="35"/>
  <c r="F38" i="56" l="1"/>
  <c r="F37" i="56"/>
  <c r="F27" i="63"/>
  <c r="F28" i="63"/>
  <c r="F36" i="57"/>
  <c r="F35" i="57"/>
  <c r="F34" i="60"/>
  <c r="F33" i="60"/>
  <c r="F26" i="64"/>
  <c r="F25" i="64"/>
  <c r="F34" i="58"/>
  <c r="F33" i="58"/>
  <c r="F32" i="59"/>
  <c r="F31" i="59"/>
  <c r="F31" i="61"/>
  <c r="F32" i="61"/>
  <c r="F30" i="62"/>
  <c r="F29" i="62"/>
  <c r="F40" i="36"/>
  <c r="F39" i="36"/>
  <c r="I175" i="55"/>
  <c r="B176" i="55" s="1"/>
  <c r="H175" i="55"/>
  <c r="G175" i="55"/>
  <c r="D175" i="55"/>
  <c r="C175" i="55"/>
  <c r="I175" i="54"/>
  <c r="B176" i="54" s="1"/>
  <c r="H175" i="54"/>
  <c r="G175" i="54"/>
  <c r="D175" i="54"/>
  <c r="C175" i="54"/>
  <c r="C175" i="53"/>
  <c r="I175" i="53"/>
  <c r="B176" i="53" s="1"/>
  <c r="G175" i="53"/>
  <c r="D175" i="53"/>
  <c r="H175" i="53"/>
  <c r="I175" i="52"/>
  <c r="B176" i="52" s="1"/>
  <c r="H175" i="52"/>
  <c r="G175" i="52"/>
  <c r="D175" i="52"/>
  <c r="C175" i="52"/>
  <c r="H175" i="51"/>
  <c r="G175" i="51"/>
  <c r="D175" i="51"/>
  <c r="C175" i="51"/>
  <c r="I175" i="51"/>
  <c r="B176" i="51" s="1"/>
  <c r="I174" i="50"/>
  <c r="B175" i="50" s="1"/>
  <c r="H174" i="50"/>
  <c r="G174" i="50"/>
  <c r="D174" i="50"/>
  <c r="C174" i="50"/>
  <c r="C174" i="49"/>
  <c r="I174" i="49"/>
  <c r="B175" i="49" s="1"/>
  <c r="G174" i="49"/>
  <c r="H174" i="49"/>
  <c r="D174" i="49"/>
  <c r="G174" i="48"/>
  <c r="H174" i="48"/>
  <c r="D174" i="48"/>
  <c r="C174" i="48"/>
  <c r="I174" i="48"/>
  <c r="B175" i="48" s="1"/>
  <c r="C174" i="47"/>
  <c r="I174" i="47"/>
  <c r="B175" i="47" s="1"/>
  <c r="H174" i="47"/>
  <c r="G174" i="47"/>
  <c r="D174" i="47"/>
  <c r="C123" i="35"/>
  <c r="H123" i="35"/>
  <c r="G123" i="35"/>
  <c r="D123" i="35"/>
  <c r="I123" i="35"/>
  <c r="B124" i="35" s="1"/>
  <c r="F35" i="60" l="1"/>
  <c r="F36" i="60"/>
  <c r="F34" i="59"/>
  <c r="F33" i="59"/>
  <c r="F38" i="57"/>
  <c r="F37" i="57"/>
  <c r="F34" i="61"/>
  <c r="F33" i="61"/>
  <c r="F29" i="63"/>
  <c r="F30" i="63"/>
  <c r="F36" i="58"/>
  <c r="F35" i="58"/>
  <c r="F32" i="62"/>
  <c r="F31" i="62"/>
  <c r="F27" i="64"/>
  <c r="F28" i="64"/>
  <c r="F39" i="56"/>
  <c r="F40" i="56"/>
  <c r="F41" i="36"/>
  <c r="F42" i="36"/>
  <c r="C176" i="55"/>
  <c r="I176" i="55"/>
  <c r="B177" i="55" s="1"/>
  <c r="H176" i="55"/>
  <c r="G176" i="55"/>
  <c r="D176" i="55"/>
  <c r="I176" i="54"/>
  <c r="B177" i="54" s="1"/>
  <c r="H176" i="54"/>
  <c r="G176" i="54"/>
  <c r="D176" i="54"/>
  <c r="C176" i="54"/>
  <c r="G176" i="53"/>
  <c r="D176" i="53"/>
  <c r="C176" i="53"/>
  <c r="I176" i="53"/>
  <c r="B177" i="53" s="1"/>
  <c r="H176" i="53"/>
  <c r="I176" i="52"/>
  <c r="B177" i="52" s="1"/>
  <c r="H176" i="52"/>
  <c r="G176" i="52"/>
  <c r="C176" i="52"/>
  <c r="D176" i="52"/>
  <c r="I176" i="51"/>
  <c r="B177" i="51" s="1"/>
  <c r="H176" i="51"/>
  <c r="G176" i="51"/>
  <c r="D176" i="51"/>
  <c r="C176" i="51"/>
  <c r="I175" i="50"/>
  <c r="B176" i="50" s="1"/>
  <c r="H175" i="50"/>
  <c r="G175" i="50"/>
  <c r="D175" i="50"/>
  <c r="C175" i="50"/>
  <c r="G175" i="49"/>
  <c r="D175" i="49"/>
  <c r="C175" i="49"/>
  <c r="I175" i="49"/>
  <c r="B176" i="49" s="1"/>
  <c r="H175" i="49"/>
  <c r="I175" i="48"/>
  <c r="B176" i="48" s="1"/>
  <c r="H175" i="48"/>
  <c r="G175" i="48"/>
  <c r="D175" i="48"/>
  <c r="C175" i="48"/>
  <c r="G175" i="47"/>
  <c r="D175" i="47"/>
  <c r="C175" i="47"/>
  <c r="I175" i="47"/>
  <c r="B176" i="47" s="1"/>
  <c r="H175" i="47"/>
  <c r="D124" i="35"/>
  <c r="C124" i="35"/>
  <c r="G124" i="35"/>
  <c r="I124" i="35"/>
  <c r="B125" i="35" s="1"/>
  <c r="H124" i="35"/>
  <c r="F30" i="64" l="1"/>
  <c r="F29" i="64"/>
  <c r="F36" i="61"/>
  <c r="F35" i="61"/>
  <c r="F33" i="62"/>
  <c r="F34" i="62"/>
  <c r="F40" i="57"/>
  <c r="F39" i="57"/>
  <c r="F38" i="58"/>
  <c r="F37" i="58"/>
  <c r="F35" i="59"/>
  <c r="F36" i="59"/>
  <c r="F42" i="56"/>
  <c r="F41" i="56"/>
  <c r="F32" i="63"/>
  <c r="F31" i="63"/>
  <c r="F38" i="60"/>
  <c r="F37" i="60"/>
  <c r="F43" i="36"/>
  <c r="F44" i="36"/>
  <c r="G177" i="55"/>
  <c r="D177" i="55"/>
  <c r="C177" i="55"/>
  <c r="I177" i="55"/>
  <c r="B178" i="55" s="1"/>
  <c r="H177" i="55"/>
  <c r="C177" i="54"/>
  <c r="I177" i="54"/>
  <c r="B178" i="54" s="1"/>
  <c r="D177" i="54"/>
  <c r="H177" i="54"/>
  <c r="G177" i="54"/>
  <c r="I177" i="53"/>
  <c r="B178" i="53" s="1"/>
  <c r="H177" i="53"/>
  <c r="G177" i="53"/>
  <c r="D177" i="53"/>
  <c r="C177" i="53"/>
  <c r="C177" i="52"/>
  <c r="I177" i="52"/>
  <c r="B178" i="52" s="1"/>
  <c r="G177" i="52"/>
  <c r="H177" i="52"/>
  <c r="D177" i="52"/>
  <c r="I177" i="51"/>
  <c r="B178" i="51" s="1"/>
  <c r="H177" i="51"/>
  <c r="G177" i="51"/>
  <c r="D177" i="51"/>
  <c r="C177" i="51"/>
  <c r="D176" i="50"/>
  <c r="C176" i="50"/>
  <c r="I176" i="50"/>
  <c r="B177" i="50" s="1"/>
  <c r="H176" i="50"/>
  <c r="G176" i="50"/>
  <c r="I176" i="49"/>
  <c r="B177" i="49" s="1"/>
  <c r="H176" i="49"/>
  <c r="G176" i="49"/>
  <c r="D176" i="49"/>
  <c r="C176" i="49"/>
  <c r="I176" i="48"/>
  <c r="B177" i="48" s="1"/>
  <c r="H176" i="48"/>
  <c r="G176" i="48"/>
  <c r="D176" i="48"/>
  <c r="C176" i="48"/>
  <c r="I176" i="47"/>
  <c r="B177" i="47" s="1"/>
  <c r="H176" i="47"/>
  <c r="G176" i="47"/>
  <c r="C176" i="47"/>
  <c r="D176" i="47"/>
  <c r="I125" i="35"/>
  <c r="B126" i="35" s="1"/>
  <c r="C125" i="35"/>
  <c r="D125" i="35"/>
  <c r="H125" i="35"/>
  <c r="G125" i="35"/>
  <c r="F34" i="63" l="1"/>
  <c r="F33" i="63"/>
  <c r="F42" i="57"/>
  <c r="F41" i="57"/>
  <c r="F36" i="62"/>
  <c r="F35" i="62"/>
  <c r="F44" i="56"/>
  <c r="F43" i="56"/>
  <c r="F38" i="59"/>
  <c r="F37" i="59"/>
  <c r="F38" i="61"/>
  <c r="F37" i="61"/>
  <c r="F39" i="60"/>
  <c r="F40" i="60"/>
  <c r="F39" i="58"/>
  <c r="F40" i="58"/>
  <c r="F31" i="64"/>
  <c r="F32" i="64"/>
  <c r="F45" i="36"/>
  <c r="F46" i="36"/>
  <c r="I178" i="55"/>
  <c r="B179" i="55" s="1"/>
  <c r="H178" i="55"/>
  <c r="G178" i="55"/>
  <c r="D178" i="55"/>
  <c r="C178" i="55"/>
  <c r="H178" i="54"/>
  <c r="G178" i="54"/>
  <c r="D178" i="54"/>
  <c r="C178" i="54"/>
  <c r="I178" i="54"/>
  <c r="B179" i="54" s="1"/>
  <c r="I178" i="53"/>
  <c r="B179" i="53" s="1"/>
  <c r="H178" i="53"/>
  <c r="G178" i="53"/>
  <c r="C178" i="53"/>
  <c r="D178" i="53"/>
  <c r="G178" i="52"/>
  <c r="D178" i="52"/>
  <c r="C178" i="52"/>
  <c r="I178" i="52"/>
  <c r="B179" i="52" s="1"/>
  <c r="H178" i="52"/>
  <c r="D178" i="51"/>
  <c r="C178" i="51"/>
  <c r="I178" i="51"/>
  <c r="B179" i="51" s="1"/>
  <c r="H178" i="51"/>
  <c r="G178" i="51"/>
  <c r="H177" i="50"/>
  <c r="G177" i="50"/>
  <c r="D177" i="50"/>
  <c r="C177" i="50"/>
  <c r="I177" i="50"/>
  <c r="B178" i="50" s="1"/>
  <c r="I177" i="49"/>
  <c r="B178" i="49" s="1"/>
  <c r="H177" i="49"/>
  <c r="G177" i="49"/>
  <c r="C177" i="49"/>
  <c r="D177" i="49"/>
  <c r="C177" i="48"/>
  <c r="D177" i="48"/>
  <c r="I177" i="48"/>
  <c r="B178" i="48" s="1"/>
  <c r="H177" i="48"/>
  <c r="G177" i="48"/>
  <c r="I177" i="47"/>
  <c r="B178" i="47" s="1"/>
  <c r="G177" i="47"/>
  <c r="D177" i="47"/>
  <c r="C177" i="47"/>
  <c r="H177" i="47"/>
  <c r="H126" i="35"/>
  <c r="G126" i="35"/>
  <c r="D126" i="35"/>
  <c r="I126" i="35"/>
  <c r="B127" i="35" s="1"/>
  <c r="C126" i="35"/>
  <c r="F42" i="58" l="1"/>
  <c r="F41" i="58"/>
  <c r="F46" i="56"/>
  <c r="F45" i="56"/>
  <c r="F37" i="62"/>
  <c r="F38" i="62"/>
  <c r="F41" i="60"/>
  <c r="F42" i="60"/>
  <c r="F40" i="61"/>
  <c r="F39" i="61"/>
  <c r="F43" i="57"/>
  <c r="F44" i="57"/>
  <c r="F34" i="64"/>
  <c r="F33" i="64"/>
  <c r="F39" i="59"/>
  <c r="F40" i="59"/>
  <c r="F36" i="63"/>
  <c r="F35" i="63"/>
  <c r="F47" i="36"/>
  <c r="F48" i="36"/>
  <c r="I179" i="55"/>
  <c r="B180" i="55" s="1"/>
  <c r="H179" i="55"/>
  <c r="G179" i="55"/>
  <c r="D179" i="55"/>
  <c r="C179" i="55"/>
  <c r="I179" i="54"/>
  <c r="B180" i="54" s="1"/>
  <c r="H179" i="54"/>
  <c r="G179" i="54"/>
  <c r="D179" i="54"/>
  <c r="C179" i="54"/>
  <c r="C179" i="53"/>
  <c r="I179" i="53"/>
  <c r="B180" i="53" s="1"/>
  <c r="G179" i="53"/>
  <c r="D179" i="53"/>
  <c r="H179" i="53"/>
  <c r="I179" i="52"/>
  <c r="B180" i="52" s="1"/>
  <c r="H179" i="52"/>
  <c r="G179" i="52"/>
  <c r="D179" i="52"/>
  <c r="C179" i="52"/>
  <c r="H179" i="51"/>
  <c r="G179" i="51"/>
  <c r="D179" i="51"/>
  <c r="C179" i="51"/>
  <c r="I179" i="51"/>
  <c r="B180" i="51" s="1"/>
  <c r="I178" i="50"/>
  <c r="B179" i="50" s="1"/>
  <c r="H178" i="50"/>
  <c r="G178" i="50"/>
  <c r="D178" i="50"/>
  <c r="C178" i="50"/>
  <c r="C178" i="49"/>
  <c r="I178" i="49"/>
  <c r="B179" i="49" s="1"/>
  <c r="G178" i="49"/>
  <c r="H178" i="49"/>
  <c r="D178" i="49"/>
  <c r="G178" i="48"/>
  <c r="D178" i="48"/>
  <c r="C178" i="48"/>
  <c r="I178" i="48"/>
  <c r="B179" i="48" s="1"/>
  <c r="H178" i="48"/>
  <c r="C178" i="47"/>
  <c r="I178" i="47"/>
  <c r="B179" i="47" s="1"/>
  <c r="H178" i="47"/>
  <c r="G178" i="47"/>
  <c r="D178" i="47"/>
  <c r="I127" i="35"/>
  <c r="B128" i="35" s="1"/>
  <c r="H127" i="35"/>
  <c r="C127" i="35"/>
  <c r="D127" i="35"/>
  <c r="G127" i="35"/>
  <c r="F42" i="59" l="1"/>
  <c r="F41" i="59"/>
  <c r="F43" i="60"/>
  <c r="F44" i="60"/>
  <c r="F46" i="57"/>
  <c r="F45" i="57"/>
  <c r="F48" i="56"/>
  <c r="F47" i="56"/>
  <c r="F40" i="62"/>
  <c r="F39" i="62"/>
  <c r="F35" i="64"/>
  <c r="F36" i="64"/>
  <c r="F38" i="63"/>
  <c r="F37" i="63"/>
  <c r="F41" i="61"/>
  <c r="F42" i="61"/>
  <c r="F44" i="58"/>
  <c r="F43" i="58"/>
  <c r="F49" i="36"/>
  <c r="F50" i="36"/>
  <c r="C180" i="55"/>
  <c r="I180" i="55"/>
  <c r="B181" i="55" s="1"/>
  <c r="H180" i="55"/>
  <c r="G180" i="55"/>
  <c r="D180" i="55"/>
  <c r="I180" i="54"/>
  <c r="B181" i="54" s="1"/>
  <c r="H180" i="54"/>
  <c r="G180" i="54"/>
  <c r="D180" i="54"/>
  <c r="C180" i="54"/>
  <c r="G180" i="53"/>
  <c r="D180" i="53"/>
  <c r="C180" i="53"/>
  <c r="I180" i="53"/>
  <c r="B181" i="53" s="1"/>
  <c r="H180" i="53"/>
  <c r="I180" i="52"/>
  <c r="B181" i="52" s="1"/>
  <c r="H180" i="52"/>
  <c r="G180" i="52"/>
  <c r="C180" i="52"/>
  <c r="D180" i="52"/>
  <c r="I180" i="51"/>
  <c r="B181" i="51" s="1"/>
  <c r="H180" i="51"/>
  <c r="G180" i="51"/>
  <c r="D180" i="51"/>
  <c r="C180" i="51"/>
  <c r="I179" i="50"/>
  <c r="B180" i="50" s="1"/>
  <c r="H179" i="50"/>
  <c r="G179" i="50"/>
  <c r="D179" i="50"/>
  <c r="C179" i="50"/>
  <c r="G179" i="49"/>
  <c r="D179" i="49"/>
  <c r="C179" i="49"/>
  <c r="I179" i="49"/>
  <c r="B180" i="49" s="1"/>
  <c r="H179" i="49"/>
  <c r="G179" i="48"/>
  <c r="D179" i="48"/>
  <c r="C179" i="48"/>
  <c r="I179" i="48"/>
  <c r="B180" i="48" s="1"/>
  <c r="H179" i="48"/>
  <c r="G179" i="47"/>
  <c r="D179" i="47"/>
  <c r="C179" i="47"/>
  <c r="I179" i="47"/>
  <c r="B180" i="47" s="1"/>
  <c r="H179" i="47"/>
  <c r="D128" i="35"/>
  <c r="C128" i="35"/>
  <c r="G128" i="35"/>
  <c r="H128" i="35"/>
  <c r="I128" i="35"/>
  <c r="B129" i="35" s="1"/>
  <c r="F43" i="61" l="1"/>
  <c r="F44" i="61"/>
  <c r="F50" i="56"/>
  <c r="F49" i="56"/>
  <c r="F46" i="58"/>
  <c r="F45" i="58"/>
  <c r="F40" i="63"/>
  <c r="F39" i="63"/>
  <c r="F38" i="64"/>
  <c r="F37" i="64"/>
  <c r="F46" i="60"/>
  <c r="F45" i="60"/>
  <c r="F47" i="57"/>
  <c r="F48" i="57"/>
  <c r="F42" i="62"/>
  <c r="F41" i="62"/>
  <c r="F43" i="59"/>
  <c r="F44" i="59"/>
  <c r="F51" i="36"/>
  <c r="F52" i="36"/>
  <c r="G181" i="55"/>
  <c r="D181" i="55"/>
  <c r="C181" i="55"/>
  <c r="I181" i="55"/>
  <c r="B182" i="55" s="1"/>
  <c r="H181" i="55"/>
  <c r="D181" i="54"/>
  <c r="C181" i="54"/>
  <c r="I181" i="54"/>
  <c r="B182" i="54" s="1"/>
  <c r="H181" i="54"/>
  <c r="G181" i="54"/>
  <c r="C181" i="53"/>
  <c r="I181" i="53"/>
  <c r="B182" i="53" s="1"/>
  <c r="H181" i="53"/>
  <c r="G181" i="53"/>
  <c r="D181" i="53"/>
  <c r="C181" i="52"/>
  <c r="I181" i="52"/>
  <c r="B182" i="52" s="1"/>
  <c r="G181" i="52"/>
  <c r="H181" i="52"/>
  <c r="D181" i="52"/>
  <c r="I181" i="51"/>
  <c r="B182" i="51" s="1"/>
  <c r="H181" i="51"/>
  <c r="G181" i="51"/>
  <c r="D181" i="51"/>
  <c r="C181" i="51"/>
  <c r="D180" i="50"/>
  <c r="C180" i="50"/>
  <c r="I180" i="50"/>
  <c r="B181" i="50" s="1"/>
  <c r="H180" i="50"/>
  <c r="G180" i="50"/>
  <c r="I180" i="49"/>
  <c r="B181" i="49" s="1"/>
  <c r="H180" i="49"/>
  <c r="G180" i="49"/>
  <c r="D180" i="49"/>
  <c r="C180" i="49"/>
  <c r="I180" i="48"/>
  <c r="B181" i="48" s="1"/>
  <c r="H180" i="48"/>
  <c r="G180" i="48"/>
  <c r="D180" i="48"/>
  <c r="C180" i="48"/>
  <c r="I180" i="47"/>
  <c r="B181" i="47" s="1"/>
  <c r="H180" i="47"/>
  <c r="G180" i="47"/>
  <c r="C180" i="47"/>
  <c r="D180" i="47"/>
  <c r="D129" i="35"/>
  <c r="I129" i="35"/>
  <c r="B130" i="35" s="1"/>
  <c r="C129" i="35"/>
  <c r="H129" i="35"/>
  <c r="G129" i="35"/>
  <c r="F44" i="62" l="1"/>
  <c r="F43" i="62"/>
  <c r="F42" i="63"/>
  <c r="F41" i="63"/>
  <c r="F50" i="57"/>
  <c r="F49" i="57"/>
  <c r="F48" i="58"/>
  <c r="F47" i="58"/>
  <c r="F47" i="60"/>
  <c r="F48" i="60"/>
  <c r="F51" i="56"/>
  <c r="F52" i="56"/>
  <c r="F46" i="59"/>
  <c r="F45" i="59"/>
  <c r="F46" i="61"/>
  <c r="F45" i="61"/>
  <c r="F39" i="64"/>
  <c r="F40" i="64"/>
  <c r="F53" i="36"/>
  <c r="F54" i="36"/>
  <c r="I182" i="55"/>
  <c r="B183" i="55" s="1"/>
  <c r="H182" i="55"/>
  <c r="G182" i="55"/>
  <c r="D182" i="55"/>
  <c r="C182" i="55"/>
  <c r="H182" i="54"/>
  <c r="G182" i="54"/>
  <c r="D182" i="54"/>
  <c r="C182" i="54"/>
  <c r="I182" i="54"/>
  <c r="B183" i="54" s="1"/>
  <c r="G182" i="53"/>
  <c r="I182" i="53"/>
  <c r="B183" i="53" s="1"/>
  <c r="D182" i="53"/>
  <c r="C182" i="53"/>
  <c r="H182" i="53"/>
  <c r="G182" i="52"/>
  <c r="D182" i="52"/>
  <c r="C182" i="52"/>
  <c r="I182" i="52"/>
  <c r="B183" i="52" s="1"/>
  <c r="H182" i="52"/>
  <c r="D182" i="51"/>
  <c r="C182" i="51"/>
  <c r="I182" i="51"/>
  <c r="B183" i="51" s="1"/>
  <c r="H182" i="51"/>
  <c r="G182" i="51"/>
  <c r="H181" i="50"/>
  <c r="G181" i="50"/>
  <c r="D181" i="50"/>
  <c r="C181" i="50"/>
  <c r="I181" i="50"/>
  <c r="B182" i="50" s="1"/>
  <c r="I181" i="49"/>
  <c r="B182" i="49" s="1"/>
  <c r="H181" i="49"/>
  <c r="G181" i="49"/>
  <c r="C181" i="49"/>
  <c r="D181" i="49"/>
  <c r="I181" i="48"/>
  <c r="B182" i="48" s="1"/>
  <c r="H181" i="48"/>
  <c r="G181" i="48"/>
  <c r="C181" i="48"/>
  <c r="D181" i="48"/>
  <c r="I181" i="47"/>
  <c r="B182" i="47" s="1"/>
  <c r="G181" i="47"/>
  <c r="H181" i="47"/>
  <c r="D181" i="47"/>
  <c r="C181" i="47"/>
  <c r="D130" i="35"/>
  <c r="G130" i="35"/>
  <c r="C130" i="35"/>
  <c r="I130" i="35"/>
  <c r="B131" i="35" s="1"/>
  <c r="H130" i="35"/>
  <c r="F48" i="61" l="1"/>
  <c r="F47" i="61"/>
  <c r="F50" i="58"/>
  <c r="F49" i="58"/>
  <c r="F48" i="59"/>
  <c r="F47" i="59"/>
  <c r="F51" i="57"/>
  <c r="F52" i="57"/>
  <c r="F54" i="56"/>
  <c r="F53" i="56"/>
  <c r="F44" i="63"/>
  <c r="F43" i="63"/>
  <c r="F42" i="64"/>
  <c r="F41" i="64"/>
  <c r="F50" i="60"/>
  <c r="F49" i="60"/>
  <c r="F46" i="62"/>
  <c r="F45" i="62"/>
  <c r="F55" i="36"/>
  <c r="F56" i="36"/>
  <c r="I183" i="55"/>
  <c r="B184" i="55" s="1"/>
  <c r="H183" i="55"/>
  <c r="G183" i="55"/>
  <c r="D183" i="55"/>
  <c r="C183" i="55"/>
  <c r="I183" i="54"/>
  <c r="B184" i="54" s="1"/>
  <c r="H183" i="54"/>
  <c r="G183" i="54"/>
  <c r="D183" i="54"/>
  <c r="C183" i="54"/>
  <c r="I183" i="53"/>
  <c r="B184" i="53" s="1"/>
  <c r="G183" i="53"/>
  <c r="D183" i="53"/>
  <c r="C183" i="53"/>
  <c r="H183" i="53"/>
  <c r="I183" i="52"/>
  <c r="B184" i="52" s="1"/>
  <c r="H183" i="52"/>
  <c r="G183" i="52"/>
  <c r="D183" i="52"/>
  <c r="C183" i="52"/>
  <c r="H183" i="51"/>
  <c r="G183" i="51"/>
  <c r="D183" i="51"/>
  <c r="C183" i="51"/>
  <c r="I183" i="51"/>
  <c r="B184" i="51" s="1"/>
  <c r="I182" i="50"/>
  <c r="B183" i="50" s="1"/>
  <c r="H182" i="50"/>
  <c r="G182" i="50"/>
  <c r="D182" i="50"/>
  <c r="C182" i="50"/>
  <c r="C182" i="49"/>
  <c r="I182" i="49"/>
  <c r="B183" i="49" s="1"/>
  <c r="G182" i="49"/>
  <c r="H182" i="49"/>
  <c r="D182" i="49"/>
  <c r="C182" i="48"/>
  <c r="I182" i="48"/>
  <c r="B183" i="48" s="1"/>
  <c r="G182" i="48"/>
  <c r="D182" i="48"/>
  <c r="H182" i="48"/>
  <c r="C182" i="47"/>
  <c r="I182" i="47"/>
  <c r="B183" i="47" s="1"/>
  <c r="H182" i="47"/>
  <c r="G182" i="47"/>
  <c r="D182" i="47"/>
  <c r="C131" i="35"/>
  <c r="I131" i="35"/>
  <c r="B132" i="35" s="1"/>
  <c r="G131" i="35"/>
  <c r="H131" i="35"/>
  <c r="D131" i="35"/>
  <c r="F51" i="60" l="1"/>
  <c r="F52" i="60"/>
  <c r="F43" i="64"/>
  <c r="F44" i="64"/>
  <c r="F49" i="59"/>
  <c r="F50" i="59"/>
  <c r="F54" i="57"/>
  <c r="F53" i="57"/>
  <c r="F46" i="63"/>
  <c r="F45" i="63"/>
  <c r="F52" i="58"/>
  <c r="F51" i="58"/>
  <c r="F48" i="62"/>
  <c r="F47" i="62"/>
  <c r="F55" i="56"/>
  <c r="F56" i="56"/>
  <c r="F50" i="61"/>
  <c r="F49" i="61"/>
  <c r="F57" i="36"/>
  <c r="F58" i="36"/>
  <c r="C184" i="55"/>
  <c r="I184" i="55"/>
  <c r="B185" i="55" s="1"/>
  <c r="H184" i="55"/>
  <c r="G184" i="55"/>
  <c r="D184" i="55"/>
  <c r="I184" i="54"/>
  <c r="B185" i="54" s="1"/>
  <c r="H184" i="54"/>
  <c r="G184" i="54"/>
  <c r="D184" i="54"/>
  <c r="C184" i="54"/>
  <c r="I184" i="53"/>
  <c r="B185" i="53" s="1"/>
  <c r="H184" i="53"/>
  <c r="G184" i="53"/>
  <c r="D184" i="53"/>
  <c r="C184" i="53"/>
  <c r="I184" i="52"/>
  <c r="B185" i="52" s="1"/>
  <c r="H184" i="52"/>
  <c r="G184" i="52"/>
  <c r="C184" i="52"/>
  <c r="D184" i="52"/>
  <c r="I184" i="51"/>
  <c r="B185" i="51" s="1"/>
  <c r="H184" i="51"/>
  <c r="G184" i="51"/>
  <c r="D184" i="51"/>
  <c r="C184" i="51"/>
  <c r="I183" i="50"/>
  <c r="B184" i="50" s="1"/>
  <c r="H183" i="50"/>
  <c r="G183" i="50"/>
  <c r="D183" i="50"/>
  <c r="C183" i="50"/>
  <c r="G183" i="49"/>
  <c r="D183" i="49"/>
  <c r="C183" i="49"/>
  <c r="I183" i="49"/>
  <c r="B184" i="49" s="1"/>
  <c r="H183" i="49"/>
  <c r="G183" i="48"/>
  <c r="D183" i="48"/>
  <c r="C183" i="48"/>
  <c r="I183" i="48"/>
  <c r="B184" i="48" s="1"/>
  <c r="H183" i="48"/>
  <c r="G183" i="47"/>
  <c r="D183" i="47"/>
  <c r="C183" i="47"/>
  <c r="I183" i="47"/>
  <c r="B184" i="47" s="1"/>
  <c r="H183" i="47"/>
  <c r="C132" i="35"/>
  <c r="G132" i="35"/>
  <c r="D132" i="35"/>
  <c r="I132" i="35"/>
  <c r="B133" i="35" s="1"/>
  <c r="H132" i="35"/>
  <c r="F56" i="57" l="1"/>
  <c r="F55" i="57"/>
  <c r="F58" i="56"/>
  <c r="F57" i="56"/>
  <c r="F52" i="59"/>
  <c r="F51" i="59"/>
  <c r="F50" i="62"/>
  <c r="F49" i="62"/>
  <c r="F54" i="60"/>
  <c r="F53" i="60"/>
  <c r="F46" i="64"/>
  <c r="F45" i="64"/>
  <c r="F54" i="58"/>
  <c r="F53" i="58"/>
  <c r="F52" i="61"/>
  <c r="F51" i="61"/>
  <c r="F48" i="63"/>
  <c r="F47" i="63"/>
  <c r="F59" i="36"/>
  <c r="F60" i="36"/>
  <c r="G185" i="55"/>
  <c r="D185" i="55"/>
  <c r="C185" i="55"/>
  <c r="I185" i="55"/>
  <c r="B186" i="55" s="1"/>
  <c r="H185" i="55"/>
  <c r="D185" i="54"/>
  <c r="C185" i="54"/>
  <c r="I185" i="54"/>
  <c r="B186" i="54" s="1"/>
  <c r="H185" i="54"/>
  <c r="G185" i="54"/>
  <c r="C185" i="53"/>
  <c r="I185" i="53"/>
  <c r="B186" i="53" s="1"/>
  <c r="G185" i="53"/>
  <c r="D185" i="53"/>
  <c r="H185" i="53"/>
  <c r="C185" i="52"/>
  <c r="I185" i="52"/>
  <c r="B186" i="52" s="1"/>
  <c r="G185" i="52"/>
  <c r="H185" i="52"/>
  <c r="D185" i="52"/>
  <c r="I185" i="51"/>
  <c r="B186" i="51" s="1"/>
  <c r="H185" i="51"/>
  <c r="G185" i="51"/>
  <c r="D185" i="51"/>
  <c r="C185" i="51"/>
  <c r="D184" i="50"/>
  <c r="C184" i="50"/>
  <c r="I184" i="50"/>
  <c r="B185" i="50" s="1"/>
  <c r="H184" i="50"/>
  <c r="G184" i="50"/>
  <c r="I184" i="49"/>
  <c r="B185" i="49" s="1"/>
  <c r="H184" i="49"/>
  <c r="G184" i="49"/>
  <c r="D184" i="49"/>
  <c r="C184" i="49"/>
  <c r="I184" i="48"/>
  <c r="B185" i="48" s="1"/>
  <c r="H184" i="48"/>
  <c r="G184" i="48"/>
  <c r="D184" i="48"/>
  <c r="C184" i="48"/>
  <c r="I184" i="47"/>
  <c r="B185" i="47" s="1"/>
  <c r="H184" i="47"/>
  <c r="G184" i="47"/>
  <c r="C184" i="47"/>
  <c r="D184" i="47"/>
  <c r="D133" i="35"/>
  <c r="I133" i="35"/>
  <c r="B134" i="35" s="1"/>
  <c r="C133" i="35"/>
  <c r="H133" i="35"/>
  <c r="G133" i="35"/>
  <c r="F54" i="61" l="1"/>
  <c r="F53" i="61"/>
  <c r="F52" i="62"/>
  <c r="F51" i="62"/>
  <c r="F55" i="58"/>
  <c r="F56" i="58"/>
  <c r="F53" i="59"/>
  <c r="F54" i="59"/>
  <c r="F48" i="64"/>
  <c r="F47" i="64"/>
  <c r="F59" i="56"/>
  <c r="F60" i="56"/>
  <c r="F50" i="63"/>
  <c r="F49" i="63"/>
  <c r="F55" i="60"/>
  <c r="F56" i="60"/>
  <c r="F58" i="57"/>
  <c r="F57" i="57"/>
  <c r="F62" i="36"/>
  <c r="F61" i="36"/>
  <c r="I186" i="55"/>
  <c r="B187" i="55" s="1"/>
  <c r="H186" i="55"/>
  <c r="G186" i="55"/>
  <c r="D186" i="55"/>
  <c r="C186" i="55"/>
  <c r="H186" i="54"/>
  <c r="G186" i="54"/>
  <c r="D186" i="54"/>
  <c r="C186" i="54"/>
  <c r="I186" i="54"/>
  <c r="B187" i="54" s="1"/>
  <c r="G186" i="53"/>
  <c r="H186" i="53"/>
  <c r="D186" i="53"/>
  <c r="C186" i="53"/>
  <c r="I186" i="53"/>
  <c r="B187" i="53" s="1"/>
  <c r="G186" i="52"/>
  <c r="D186" i="52"/>
  <c r="C186" i="52"/>
  <c r="I186" i="52"/>
  <c r="B187" i="52" s="1"/>
  <c r="H186" i="52"/>
  <c r="D186" i="51"/>
  <c r="C186" i="51"/>
  <c r="I186" i="51"/>
  <c r="B187" i="51" s="1"/>
  <c r="H186" i="51"/>
  <c r="G186" i="51"/>
  <c r="H185" i="50"/>
  <c r="G185" i="50"/>
  <c r="D185" i="50"/>
  <c r="C185" i="50"/>
  <c r="I185" i="50"/>
  <c r="B186" i="50" s="1"/>
  <c r="I185" i="49"/>
  <c r="B186" i="49" s="1"/>
  <c r="H185" i="49"/>
  <c r="G185" i="49"/>
  <c r="C185" i="49"/>
  <c r="D185" i="49"/>
  <c r="I185" i="48"/>
  <c r="B186" i="48" s="1"/>
  <c r="H185" i="48"/>
  <c r="G185" i="48"/>
  <c r="C185" i="48"/>
  <c r="D185" i="48"/>
  <c r="I185" i="47"/>
  <c r="B186" i="47" s="1"/>
  <c r="G185" i="47"/>
  <c r="D185" i="47"/>
  <c r="C185" i="47"/>
  <c r="H185" i="47"/>
  <c r="G134" i="35"/>
  <c r="D134" i="35"/>
  <c r="C134" i="35"/>
  <c r="I134" i="35"/>
  <c r="B135" i="35" s="1"/>
  <c r="H134" i="35"/>
  <c r="F58" i="58" l="1"/>
  <c r="F57" i="58"/>
  <c r="F52" i="63"/>
  <c r="F51" i="63"/>
  <c r="F56" i="59"/>
  <c r="F55" i="59"/>
  <c r="F61" i="56"/>
  <c r="F62" i="56"/>
  <c r="F53" i="62"/>
  <c r="F54" i="62"/>
  <c r="F58" i="60"/>
  <c r="F57" i="60"/>
  <c r="F59" i="57"/>
  <c r="F60" i="57"/>
  <c r="F50" i="64"/>
  <c r="F49" i="64"/>
  <c r="F56" i="61"/>
  <c r="F55" i="61"/>
  <c r="F63" i="36"/>
  <c r="F64" i="36"/>
  <c r="I187" i="55"/>
  <c r="B188" i="55" s="1"/>
  <c r="H187" i="55"/>
  <c r="G187" i="55"/>
  <c r="D187" i="55"/>
  <c r="C187" i="55"/>
  <c r="I187" i="54"/>
  <c r="B188" i="54" s="1"/>
  <c r="H187" i="54"/>
  <c r="G187" i="54"/>
  <c r="D187" i="54"/>
  <c r="C187" i="54"/>
  <c r="I187" i="53"/>
  <c r="B188" i="53" s="1"/>
  <c r="H187" i="53"/>
  <c r="G187" i="53"/>
  <c r="D187" i="53"/>
  <c r="C187" i="53"/>
  <c r="I187" i="52"/>
  <c r="B188" i="52" s="1"/>
  <c r="H187" i="52"/>
  <c r="G187" i="52"/>
  <c r="D187" i="52"/>
  <c r="C187" i="52"/>
  <c r="H187" i="51"/>
  <c r="G187" i="51"/>
  <c r="D187" i="51"/>
  <c r="C187" i="51"/>
  <c r="I187" i="51"/>
  <c r="B188" i="51" s="1"/>
  <c r="I186" i="50"/>
  <c r="B187" i="50" s="1"/>
  <c r="H186" i="50"/>
  <c r="G186" i="50"/>
  <c r="D186" i="50"/>
  <c r="C186" i="50"/>
  <c r="C186" i="49"/>
  <c r="I186" i="49"/>
  <c r="B187" i="49" s="1"/>
  <c r="G186" i="49"/>
  <c r="H186" i="49"/>
  <c r="D186" i="49"/>
  <c r="C186" i="48"/>
  <c r="I186" i="48"/>
  <c r="B187" i="48" s="1"/>
  <c r="G186" i="48"/>
  <c r="D186" i="48"/>
  <c r="H186" i="48"/>
  <c r="C186" i="47"/>
  <c r="I186" i="47"/>
  <c r="B187" i="47" s="1"/>
  <c r="H186" i="47"/>
  <c r="G186" i="47"/>
  <c r="D186" i="47"/>
  <c r="C135" i="35"/>
  <c r="I135" i="35"/>
  <c r="B136" i="35" s="1"/>
  <c r="H135" i="35"/>
  <c r="G135" i="35"/>
  <c r="D135" i="35"/>
  <c r="F51" i="64" l="1"/>
  <c r="F52" i="64"/>
  <c r="F62" i="57"/>
  <c r="F61" i="57"/>
  <c r="F57" i="59"/>
  <c r="F58" i="59"/>
  <c r="F59" i="60"/>
  <c r="F60" i="60"/>
  <c r="F54" i="63"/>
  <c r="F53" i="63"/>
  <c r="F56" i="62"/>
  <c r="F55" i="62"/>
  <c r="F63" i="56"/>
  <c r="F64" i="56"/>
  <c r="F58" i="61"/>
  <c r="F57" i="61"/>
  <c r="F60" i="58"/>
  <c r="F59" i="58"/>
  <c r="F65" i="36"/>
  <c r="F66" i="36"/>
  <c r="F67" i="36" s="1"/>
  <c r="C188" i="55"/>
  <c r="I188" i="55"/>
  <c r="B189" i="55" s="1"/>
  <c r="H188" i="55"/>
  <c r="G188" i="55"/>
  <c r="D188" i="55"/>
  <c r="I188" i="54"/>
  <c r="B189" i="54" s="1"/>
  <c r="H188" i="54"/>
  <c r="G188" i="54"/>
  <c r="D188" i="54"/>
  <c r="C188" i="54"/>
  <c r="C188" i="53"/>
  <c r="I188" i="53"/>
  <c r="B189" i="53" s="1"/>
  <c r="G188" i="53"/>
  <c r="D188" i="53"/>
  <c r="H188" i="53"/>
  <c r="I188" i="52"/>
  <c r="B189" i="52" s="1"/>
  <c r="H188" i="52"/>
  <c r="G188" i="52"/>
  <c r="C188" i="52"/>
  <c r="D188" i="52"/>
  <c r="I188" i="51"/>
  <c r="B189" i="51" s="1"/>
  <c r="H188" i="51"/>
  <c r="G188" i="51"/>
  <c r="D188" i="51"/>
  <c r="C188" i="51"/>
  <c r="I187" i="50"/>
  <c r="B188" i="50" s="1"/>
  <c r="H187" i="50"/>
  <c r="G187" i="50"/>
  <c r="D187" i="50"/>
  <c r="C187" i="50"/>
  <c r="G187" i="49"/>
  <c r="D187" i="49"/>
  <c r="C187" i="49"/>
  <c r="I187" i="49"/>
  <c r="B188" i="49" s="1"/>
  <c r="H187" i="49"/>
  <c r="G187" i="48"/>
  <c r="D187" i="48"/>
  <c r="C187" i="48"/>
  <c r="I187" i="48"/>
  <c r="B188" i="48" s="1"/>
  <c r="H187" i="48"/>
  <c r="G187" i="47"/>
  <c r="D187" i="47"/>
  <c r="C187" i="47"/>
  <c r="I187" i="47"/>
  <c r="B188" i="47" s="1"/>
  <c r="H187" i="47"/>
  <c r="C136" i="35"/>
  <c r="G136" i="35"/>
  <c r="I136" i="35"/>
  <c r="B137" i="35" s="1"/>
  <c r="H136" i="35"/>
  <c r="D136" i="35"/>
  <c r="F60" i="61" l="1"/>
  <c r="F59" i="61"/>
  <c r="F66" i="56"/>
  <c r="F67" i="56" s="1"/>
  <c r="F65" i="56"/>
  <c r="F59" i="59"/>
  <c r="F60" i="59"/>
  <c r="F57" i="62"/>
  <c r="F58" i="62"/>
  <c r="F64" i="57"/>
  <c r="F63" i="57"/>
  <c r="F62" i="60"/>
  <c r="F61" i="60"/>
  <c r="F54" i="64"/>
  <c r="F53" i="64"/>
  <c r="F62" i="58"/>
  <c r="F61" i="58"/>
  <c r="F56" i="63"/>
  <c r="F55" i="63"/>
  <c r="G189" i="55"/>
  <c r="D189" i="55"/>
  <c r="C189" i="55"/>
  <c r="I189" i="55"/>
  <c r="B190" i="55" s="1"/>
  <c r="H189" i="55"/>
  <c r="D189" i="54"/>
  <c r="C189" i="54"/>
  <c r="I189" i="54"/>
  <c r="B190" i="54" s="1"/>
  <c r="G189" i="54"/>
  <c r="H189" i="54"/>
  <c r="C189" i="53"/>
  <c r="I189" i="53"/>
  <c r="B190" i="53" s="1"/>
  <c r="G189" i="53"/>
  <c r="H189" i="53"/>
  <c r="D189" i="53"/>
  <c r="C189" i="52"/>
  <c r="I189" i="52"/>
  <c r="B190" i="52" s="1"/>
  <c r="G189" i="52"/>
  <c r="H189" i="52"/>
  <c r="D189" i="52"/>
  <c r="I189" i="51"/>
  <c r="B190" i="51" s="1"/>
  <c r="H189" i="51"/>
  <c r="G189" i="51"/>
  <c r="D189" i="51"/>
  <c r="C189" i="51"/>
  <c r="D188" i="50"/>
  <c r="C188" i="50"/>
  <c r="I188" i="50"/>
  <c r="B189" i="50" s="1"/>
  <c r="H188" i="50"/>
  <c r="G188" i="50"/>
  <c r="I188" i="49"/>
  <c r="B189" i="49" s="1"/>
  <c r="H188" i="49"/>
  <c r="G188" i="49"/>
  <c r="D188" i="49"/>
  <c r="C188" i="49"/>
  <c r="I188" i="48"/>
  <c r="B189" i="48" s="1"/>
  <c r="H188" i="48"/>
  <c r="G188" i="48"/>
  <c r="D188" i="48"/>
  <c r="C188" i="48"/>
  <c r="I188" i="47"/>
  <c r="B189" i="47" s="1"/>
  <c r="H188" i="47"/>
  <c r="G188" i="47"/>
  <c r="C188" i="47"/>
  <c r="D188" i="47"/>
  <c r="D137" i="35"/>
  <c r="C137" i="35"/>
  <c r="I137" i="35"/>
  <c r="B138" i="35" s="1"/>
  <c r="G137" i="35"/>
  <c r="H137" i="35"/>
  <c r="F60" i="62" l="1"/>
  <c r="F59" i="62"/>
  <c r="F63" i="58"/>
  <c r="F64" i="58"/>
  <c r="F62" i="59"/>
  <c r="F61" i="59"/>
  <c r="F55" i="64"/>
  <c r="F56" i="64"/>
  <c r="F64" i="60"/>
  <c r="F63" i="60"/>
  <c r="F58" i="63"/>
  <c r="F57" i="63"/>
  <c r="F65" i="57"/>
  <c r="F66" i="57"/>
  <c r="F67" i="57" s="1"/>
  <c r="F62" i="61"/>
  <c r="F61" i="61"/>
  <c r="I190" i="55"/>
  <c r="B191" i="55" s="1"/>
  <c r="H190" i="55"/>
  <c r="G190" i="55"/>
  <c r="D190" i="55"/>
  <c r="C190" i="55"/>
  <c r="H190" i="54"/>
  <c r="G190" i="54"/>
  <c r="D190" i="54"/>
  <c r="C190" i="54"/>
  <c r="I190" i="54"/>
  <c r="B191" i="54" s="1"/>
  <c r="G190" i="53"/>
  <c r="D190" i="53"/>
  <c r="I190" i="53"/>
  <c r="B191" i="53" s="1"/>
  <c r="H190" i="53"/>
  <c r="C190" i="53"/>
  <c r="G190" i="52"/>
  <c r="D190" i="52"/>
  <c r="C190" i="52"/>
  <c r="I190" i="52"/>
  <c r="B191" i="52" s="1"/>
  <c r="H190" i="52"/>
  <c r="D190" i="51"/>
  <c r="C190" i="51"/>
  <c r="I190" i="51"/>
  <c r="B191" i="51" s="1"/>
  <c r="G190" i="51"/>
  <c r="H190" i="51"/>
  <c r="H189" i="50"/>
  <c r="G189" i="50"/>
  <c r="D189" i="50"/>
  <c r="C189" i="50"/>
  <c r="I189" i="50"/>
  <c r="B190" i="50" s="1"/>
  <c r="I189" i="49"/>
  <c r="B190" i="49" s="1"/>
  <c r="H189" i="49"/>
  <c r="G189" i="49"/>
  <c r="C189" i="49"/>
  <c r="D189" i="49"/>
  <c r="I189" i="48"/>
  <c r="B190" i="48" s="1"/>
  <c r="H189" i="48"/>
  <c r="G189" i="48"/>
  <c r="C189" i="48"/>
  <c r="D189" i="48"/>
  <c r="I189" i="47"/>
  <c r="B190" i="47" s="1"/>
  <c r="G189" i="47"/>
  <c r="H189" i="47"/>
  <c r="D189" i="47"/>
  <c r="C189" i="47"/>
  <c r="G138" i="35"/>
  <c r="D138" i="35"/>
  <c r="H138" i="35"/>
  <c r="C138" i="35"/>
  <c r="I138" i="35"/>
  <c r="B139" i="35" s="1"/>
  <c r="F64" i="61" l="1"/>
  <c r="F63" i="61"/>
  <c r="F63" i="59"/>
  <c r="F64" i="59"/>
  <c r="F58" i="64"/>
  <c r="F57" i="64"/>
  <c r="F66" i="58"/>
  <c r="F67" i="58" s="1"/>
  <c r="F65" i="58"/>
  <c r="F60" i="63"/>
  <c r="F59" i="63"/>
  <c r="F65" i="60"/>
  <c r="F66" i="60"/>
  <c r="F67" i="60" s="1"/>
  <c r="F62" i="62"/>
  <c r="F61" i="62"/>
  <c r="I191" i="55"/>
  <c r="B192" i="55" s="1"/>
  <c r="H191" i="55"/>
  <c r="G191" i="55"/>
  <c r="D191" i="55"/>
  <c r="C191" i="55"/>
  <c r="I191" i="54"/>
  <c r="B192" i="54" s="1"/>
  <c r="H191" i="54"/>
  <c r="G191" i="54"/>
  <c r="D191" i="54"/>
  <c r="C191" i="54"/>
  <c r="I191" i="53"/>
  <c r="B192" i="53" s="1"/>
  <c r="H191" i="53"/>
  <c r="C191" i="53"/>
  <c r="G191" i="53"/>
  <c r="D191" i="53"/>
  <c r="I191" i="52"/>
  <c r="B192" i="52" s="1"/>
  <c r="H191" i="52"/>
  <c r="G191" i="52"/>
  <c r="D191" i="52"/>
  <c r="C191" i="52"/>
  <c r="H191" i="51"/>
  <c r="G191" i="51"/>
  <c r="D191" i="51"/>
  <c r="C191" i="51"/>
  <c r="I191" i="51"/>
  <c r="B192" i="51" s="1"/>
  <c r="I190" i="50"/>
  <c r="B191" i="50" s="1"/>
  <c r="H190" i="50"/>
  <c r="G190" i="50"/>
  <c r="D190" i="50"/>
  <c r="C190" i="50"/>
  <c r="C190" i="49"/>
  <c r="I190" i="49"/>
  <c r="B191" i="49" s="1"/>
  <c r="G190" i="49"/>
  <c r="H190" i="49"/>
  <c r="D190" i="49"/>
  <c r="C190" i="48"/>
  <c r="I190" i="48"/>
  <c r="B191" i="48" s="1"/>
  <c r="G190" i="48"/>
  <c r="D190" i="48"/>
  <c r="H190" i="48"/>
  <c r="C190" i="47"/>
  <c r="I190" i="47"/>
  <c r="B191" i="47" s="1"/>
  <c r="H190" i="47"/>
  <c r="G190" i="47"/>
  <c r="D190" i="47"/>
  <c r="H139" i="35"/>
  <c r="C139" i="35"/>
  <c r="I139" i="35"/>
  <c r="B140" i="35" s="1"/>
  <c r="G139" i="35"/>
  <c r="D139" i="35"/>
  <c r="F64" i="62" l="1"/>
  <c r="F63" i="62"/>
  <c r="F59" i="64"/>
  <c r="F60" i="64"/>
  <c r="F65" i="59"/>
  <c r="F66" i="59"/>
  <c r="F67" i="59" s="1"/>
  <c r="F62" i="63"/>
  <c r="F61" i="63"/>
  <c r="F65" i="61"/>
  <c r="F66" i="61"/>
  <c r="F67" i="61" s="1"/>
  <c r="C192" i="55"/>
  <c r="I192" i="55"/>
  <c r="B193" i="55" s="1"/>
  <c r="H192" i="55"/>
  <c r="G192" i="55"/>
  <c r="D192" i="55"/>
  <c r="I192" i="54"/>
  <c r="B193" i="54" s="1"/>
  <c r="H192" i="54"/>
  <c r="G192" i="54"/>
  <c r="D192" i="54"/>
  <c r="C192" i="54"/>
  <c r="H192" i="53"/>
  <c r="G192" i="53"/>
  <c r="C192" i="53"/>
  <c r="I192" i="53"/>
  <c r="B193" i="53" s="1"/>
  <c r="D192" i="53"/>
  <c r="I192" i="52"/>
  <c r="B193" i="52" s="1"/>
  <c r="H192" i="52"/>
  <c r="G192" i="52"/>
  <c r="C192" i="52"/>
  <c r="D192" i="52"/>
  <c r="I192" i="51"/>
  <c r="B193" i="51" s="1"/>
  <c r="H192" i="51"/>
  <c r="G192" i="51"/>
  <c r="D192" i="51"/>
  <c r="C192" i="51"/>
  <c r="I191" i="50"/>
  <c r="B192" i="50" s="1"/>
  <c r="H191" i="50"/>
  <c r="G191" i="50"/>
  <c r="D191" i="50"/>
  <c r="C191" i="50"/>
  <c r="G191" i="49"/>
  <c r="D191" i="49"/>
  <c r="C191" i="49"/>
  <c r="I191" i="49"/>
  <c r="B192" i="49" s="1"/>
  <c r="H191" i="49"/>
  <c r="G191" i="48"/>
  <c r="D191" i="48"/>
  <c r="C191" i="48"/>
  <c r="I191" i="48"/>
  <c r="B192" i="48" s="1"/>
  <c r="H191" i="48"/>
  <c r="G191" i="47"/>
  <c r="D191" i="47"/>
  <c r="C191" i="47"/>
  <c r="I191" i="47"/>
  <c r="B192" i="47" s="1"/>
  <c r="H191" i="47"/>
  <c r="C140" i="35"/>
  <c r="G140" i="35"/>
  <c r="D140" i="35"/>
  <c r="I140" i="35"/>
  <c r="B141" i="35" s="1"/>
  <c r="H140" i="35"/>
  <c r="F63" i="63" l="1"/>
  <c r="F64" i="63"/>
  <c r="F62" i="64"/>
  <c r="F61" i="64"/>
  <c r="F66" i="62"/>
  <c r="F67" i="62" s="1"/>
  <c r="F65" i="62"/>
  <c r="G193" i="55"/>
  <c r="D193" i="55"/>
  <c r="C193" i="55"/>
  <c r="I193" i="55"/>
  <c r="B194" i="55" s="1"/>
  <c r="H193" i="55"/>
  <c r="D193" i="54"/>
  <c r="C193" i="54"/>
  <c r="I193" i="54"/>
  <c r="B194" i="54" s="1"/>
  <c r="H193" i="54"/>
  <c r="G193" i="54"/>
  <c r="C193" i="53"/>
  <c r="I193" i="53"/>
  <c r="B194" i="53" s="1"/>
  <c r="G193" i="53"/>
  <c r="H193" i="53"/>
  <c r="D193" i="53"/>
  <c r="C193" i="52"/>
  <c r="I193" i="52"/>
  <c r="B194" i="52" s="1"/>
  <c r="G193" i="52"/>
  <c r="H193" i="52"/>
  <c r="D193" i="52"/>
  <c r="I193" i="51"/>
  <c r="B194" i="51" s="1"/>
  <c r="H193" i="51"/>
  <c r="G193" i="51"/>
  <c r="D193" i="51"/>
  <c r="C193" i="51"/>
  <c r="D192" i="50"/>
  <c r="C192" i="50"/>
  <c r="I192" i="50"/>
  <c r="B193" i="50" s="1"/>
  <c r="H192" i="50"/>
  <c r="G192" i="50"/>
  <c r="I192" i="49"/>
  <c r="B193" i="49" s="1"/>
  <c r="H192" i="49"/>
  <c r="G192" i="49"/>
  <c r="D192" i="49"/>
  <c r="C192" i="49"/>
  <c r="I192" i="48"/>
  <c r="B193" i="48" s="1"/>
  <c r="H192" i="48"/>
  <c r="G192" i="48"/>
  <c r="D192" i="48"/>
  <c r="C192" i="48"/>
  <c r="I192" i="47"/>
  <c r="B193" i="47" s="1"/>
  <c r="H192" i="47"/>
  <c r="G192" i="47"/>
  <c r="C192" i="47"/>
  <c r="D192" i="47"/>
  <c r="I141" i="35"/>
  <c r="B142" i="35" s="1"/>
  <c r="D141" i="35"/>
  <c r="C141" i="35"/>
  <c r="H141" i="35"/>
  <c r="G141" i="35"/>
  <c r="F64" i="64" l="1"/>
  <c r="F63" i="64"/>
  <c r="F66" i="63"/>
  <c r="F67" i="63" s="1"/>
  <c r="F65" i="63"/>
  <c r="I194" i="55"/>
  <c r="B195" i="55" s="1"/>
  <c r="H194" i="55"/>
  <c r="G194" i="55"/>
  <c r="D194" i="55"/>
  <c r="C194" i="55"/>
  <c r="H194" i="54"/>
  <c r="G194" i="54"/>
  <c r="D194" i="54"/>
  <c r="C194" i="54"/>
  <c r="I194" i="54"/>
  <c r="B195" i="54" s="1"/>
  <c r="G194" i="53"/>
  <c r="D194" i="53"/>
  <c r="I194" i="53"/>
  <c r="B195" i="53" s="1"/>
  <c r="H194" i="53"/>
  <c r="C194" i="53"/>
  <c r="G194" i="52"/>
  <c r="D194" i="52"/>
  <c r="C194" i="52"/>
  <c r="I194" i="52"/>
  <c r="B195" i="52" s="1"/>
  <c r="H194" i="52"/>
  <c r="D194" i="51"/>
  <c r="C194" i="51"/>
  <c r="I194" i="51"/>
  <c r="B195" i="51" s="1"/>
  <c r="H194" i="51"/>
  <c r="G194" i="51"/>
  <c r="H193" i="50"/>
  <c r="G193" i="50"/>
  <c r="D193" i="50"/>
  <c r="C193" i="50"/>
  <c r="I193" i="50"/>
  <c r="B194" i="50" s="1"/>
  <c r="I193" i="49"/>
  <c r="B194" i="49" s="1"/>
  <c r="H193" i="49"/>
  <c r="G193" i="49"/>
  <c r="C193" i="49"/>
  <c r="D193" i="49"/>
  <c r="I193" i="48"/>
  <c r="B194" i="48" s="1"/>
  <c r="H193" i="48"/>
  <c r="G193" i="48"/>
  <c r="C193" i="48"/>
  <c r="D193" i="48"/>
  <c r="I193" i="47"/>
  <c r="B194" i="47" s="1"/>
  <c r="G193" i="47"/>
  <c r="D193" i="47"/>
  <c r="C193" i="47"/>
  <c r="H193" i="47"/>
  <c r="D142" i="35"/>
  <c r="G142" i="35"/>
  <c r="H142" i="35"/>
  <c r="C142" i="35"/>
  <c r="I142" i="35"/>
  <c r="B143" i="35" s="1"/>
  <c r="F66" i="64" l="1"/>
  <c r="F67" i="64" s="1"/>
  <c r="F65" i="64"/>
  <c r="I195" i="55"/>
  <c r="B196" i="55" s="1"/>
  <c r="H195" i="55"/>
  <c r="G195" i="55"/>
  <c r="D195" i="55"/>
  <c r="C195" i="55"/>
  <c r="I195" i="54"/>
  <c r="B196" i="54" s="1"/>
  <c r="H195" i="54"/>
  <c r="G195" i="54"/>
  <c r="D195" i="54"/>
  <c r="C195" i="54"/>
  <c r="I195" i="53"/>
  <c r="B196" i="53" s="1"/>
  <c r="H195" i="53"/>
  <c r="D195" i="53"/>
  <c r="C195" i="53"/>
  <c r="G195" i="53"/>
  <c r="I195" i="52"/>
  <c r="B196" i="52" s="1"/>
  <c r="H195" i="52"/>
  <c r="G195" i="52"/>
  <c r="D195" i="52"/>
  <c r="C195" i="52"/>
  <c r="H195" i="51"/>
  <c r="G195" i="51"/>
  <c r="D195" i="51"/>
  <c r="C195" i="51"/>
  <c r="I195" i="51"/>
  <c r="B196" i="51" s="1"/>
  <c r="I194" i="50"/>
  <c r="B195" i="50" s="1"/>
  <c r="H194" i="50"/>
  <c r="G194" i="50"/>
  <c r="D194" i="50"/>
  <c r="C194" i="50"/>
  <c r="C194" i="49"/>
  <c r="I194" i="49"/>
  <c r="B195" i="49" s="1"/>
  <c r="G194" i="49"/>
  <c r="H194" i="49"/>
  <c r="D194" i="49"/>
  <c r="C194" i="48"/>
  <c r="I194" i="48"/>
  <c r="B195" i="48" s="1"/>
  <c r="G194" i="48"/>
  <c r="D194" i="48"/>
  <c r="H194" i="48"/>
  <c r="C194" i="47"/>
  <c r="I194" i="47"/>
  <c r="B195" i="47" s="1"/>
  <c r="H194" i="47"/>
  <c r="G194" i="47"/>
  <c r="D194" i="47"/>
  <c r="H143" i="35"/>
  <c r="C143" i="35"/>
  <c r="G143" i="35"/>
  <c r="I143" i="35"/>
  <c r="B144" i="35" s="1"/>
  <c r="D143" i="35"/>
  <c r="C196" i="55" l="1"/>
  <c r="I196" i="55"/>
  <c r="B197" i="55" s="1"/>
  <c r="H196" i="55"/>
  <c r="G196" i="55"/>
  <c r="D196" i="55"/>
  <c r="I196" i="54"/>
  <c r="B197" i="54" s="1"/>
  <c r="H196" i="54"/>
  <c r="G196" i="54"/>
  <c r="D196" i="54"/>
  <c r="C196" i="54"/>
  <c r="H196" i="53"/>
  <c r="G196" i="53"/>
  <c r="C196" i="53"/>
  <c r="D196" i="53"/>
  <c r="I196" i="53"/>
  <c r="B197" i="53" s="1"/>
  <c r="I196" i="52"/>
  <c r="B197" i="52" s="1"/>
  <c r="H196" i="52"/>
  <c r="G196" i="52"/>
  <c r="C196" i="52"/>
  <c r="D196" i="52"/>
  <c r="I196" i="51"/>
  <c r="B197" i="51" s="1"/>
  <c r="H196" i="51"/>
  <c r="G196" i="51"/>
  <c r="D196" i="51"/>
  <c r="C196" i="51"/>
  <c r="I195" i="50"/>
  <c r="B196" i="50" s="1"/>
  <c r="H195" i="50"/>
  <c r="G195" i="50"/>
  <c r="D195" i="50"/>
  <c r="C195" i="50"/>
  <c r="G195" i="49"/>
  <c r="D195" i="49"/>
  <c r="C195" i="49"/>
  <c r="I195" i="49"/>
  <c r="B196" i="49" s="1"/>
  <c r="H195" i="49"/>
  <c r="G195" i="48"/>
  <c r="D195" i="48"/>
  <c r="C195" i="48"/>
  <c r="I195" i="48"/>
  <c r="B196" i="48" s="1"/>
  <c r="H195" i="48"/>
  <c r="G195" i="47"/>
  <c r="D195" i="47"/>
  <c r="C195" i="47"/>
  <c r="I195" i="47"/>
  <c r="B196" i="47" s="1"/>
  <c r="H195" i="47"/>
  <c r="C144" i="35"/>
  <c r="G144" i="35"/>
  <c r="D144" i="35"/>
  <c r="I144" i="35"/>
  <c r="B145" i="35" s="1"/>
  <c r="H144" i="35"/>
  <c r="G197" i="55" l="1"/>
  <c r="D197" i="55"/>
  <c r="C197" i="55"/>
  <c r="I197" i="55"/>
  <c r="B198" i="55" s="1"/>
  <c r="H197" i="55"/>
  <c r="D197" i="54"/>
  <c r="C197" i="54"/>
  <c r="I197" i="54"/>
  <c r="B198" i="54" s="1"/>
  <c r="H197" i="54"/>
  <c r="G197" i="54"/>
  <c r="C197" i="53"/>
  <c r="I197" i="53"/>
  <c r="B198" i="53" s="1"/>
  <c r="G197" i="53"/>
  <c r="D197" i="53"/>
  <c r="H197" i="53"/>
  <c r="C197" i="52"/>
  <c r="I197" i="52"/>
  <c r="B198" i="52" s="1"/>
  <c r="G197" i="52"/>
  <c r="H197" i="52"/>
  <c r="D197" i="52"/>
  <c r="I197" i="51"/>
  <c r="B198" i="51" s="1"/>
  <c r="H197" i="51"/>
  <c r="G197" i="51"/>
  <c r="D197" i="51"/>
  <c r="C197" i="51"/>
  <c r="D196" i="50"/>
  <c r="C196" i="50"/>
  <c r="I196" i="50"/>
  <c r="B197" i="50" s="1"/>
  <c r="H196" i="50"/>
  <c r="G196" i="50"/>
  <c r="I196" i="49"/>
  <c r="B197" i="49" s="1"/>
  <c r="H196" i="49"/>
  <c r="G196" i="49"/>
  <c r="D196" i="49"/>
  <c r="C196" i="49"/>
  <c r="I196" i="48"/>
  <c r="B197" i="48" s="1"/>
  <c r="H196" i="48"/>
  <c r="G196" i="48"/>
  <c r="D196" i="48"/>
  <c r="C196" i="48"/>
  <c r="I196" i="47"/>
  <c r="B197" i="47" s="1"/>
  <c r="H196" i="47"/>
  <c r="G196" i="47"/>
  <c r="C196" i="47"/>
  <c r="D196" i="47"/>
  <c r="I145" i="35"/>
  <c r="B146" i="35" s="1"/>
  <c r="D145" i="35"/>
  <c r="C145" i="35"/>
  <c r="H145" i="35"/>
  <c r="G145" i="35"/>
  <c r="I198" i="55" l="1"/>
  <c r="B199" i="55" s="1"/>
  <c r="H198" i="55"/>
  <c r="G198" i="55"/>
  <c r="D198" i="55"/>
  <c r="C198" i="55"/>
  <c r="H198" i="54"/>
  <c r="G198" i="54"/>
  <c r="D198" i="54"/>
  <c r="C198" i="54"/>
  <c r="I198" i="54"/>
  <c r="B199" i="54" s="1"/>
  <c r="G198" i="53"/>
  <c r="D198" i="53"/>
  <c r="I198" i="53"/>
  <c r="B199" i="53" s="1"/>
  <c r="H198" i="53"/>
  <c r="C198" i="53"/>
  <c r="G198" i="52"/>
  <c r="D198" i="52"/>
  <c r="C198" i="52"/>
  <c r="I198" i="52"/>
  <c r="B199" i="52" s="1"/>
  <c r="H198" i="52"/>
  <c r="D198" i="51"/>
  <c r="C198" i="51"/>
  <c r="I198" i="51"/>
  <c r="B199" i="51" s="1"/>
  <c r="H198" i="51"/>
  <c r="G198" i="51"/>
  <c r="H197" i="50"/>
  <c r="G197" i="50"/>
  <c r="D197" i="50"/>
  <c r="C197" i="50"/>
  <c r="I197" i="50"/>
  <c r="B198" i="50" s="1"/>
  <c r="I197" i="49"/>
  <c r="B198" i="49" s="1"/>
  <c r="H197" i="49"/>
  <c r="G197" i="49"/>
  <c r="C197" i="49"/>
  <c r="D197" i="49"/>
  <c r="I197" i="48"/>
  <c r="B198" i="48" s="1"/>
  <c r="H197" i="48"/>
  <c r="G197" i="48"/>
  <c r="C197" i="48"/>
  <c r="D197" i="48"/>
  <c r="I197" i="47"/>
  <c r="B198" i="47" s="1"/>
  <c r="G197" i="47"/>
  <c r="H197" i="47"/>
  <c r="D197" i="47"/>
  <c r="C197" i="47"/>
  <c r="G146" i="35"/>
  <c r="D146" i="35"/>
  <c r="C146" i="35"/>
  <c r="H146" i="35"/>
  <c r="I146" i="35"/>
  <c r="B147" i="35" s="1"/>
  <c r="I199" i="55" l="1"/>
  <c r="B200" i="55" s="1"/>
  <c r="H199" i="55"/>
  <c r="G199" i="55"/>
  <c r="D199" i="55"/>
  <c r="C199" i="55"/>
  <c r="I199" i="54"/>
  <c r="B200" i="54" s="1"/>
  <c r="H199" i="54"/>
  <c r="G199" i="54"/>
  <c r="D199" i="54"/>
  <c r="C199" i="54"/>
  <c r="I199" i="53"/>
  <c r="B200" i="53" s="1"/>
  <c r="H199" i="53"/>
  <c r="D199" i="53"/>
  <c r="C199" i="53"/>
  <c r="G199" i="53"/>
  <c r="I199" i="52"/>
  <c r="B200" i="52" s="1"/>
  <c r="H199" i="52"/>
  <c r="G199" i="52"/>
  <c r="D199" i="52"/>
  <c r="C199" i="52"/>
  <c r="H199" i="51"/>
  <c r="G199" i="51"/>
  <c r="D199" i="51"/>
  <c r="C199" i="51"/>
  <c r="I199" i="51"/>
  <c r="B200" i="51" s="1"/>
  <c r="I198" i="50"/>
  <c r="B199" i="50" s="1"/>
  <c r="H198" i="50"/>
  <c r="G198" i="50"/>
  <c r="D198" i="50"/>
  <c r="C198" i="50"/>
  <c r="C198" i="49"/>
  <c r="I198" i="49"/>
  <c r="B199" i="49" s="1"/>
  <c r="G198" i="49"/>
  <c r="H198" i="49"/>
  <c r="D198" i="49"/>
  <c r="C198" i="48"/>
  <c r="I198" i="48"/>
  <c r="B199" i="48" s="1"/>
  <c r="G198" i="48"/>
  <c r="D198" i="48"/>
  <c r="H198" i="48"/>
  <c r="C198" i="47"/>
  <c r="I198" i="47"/>
  <c r="B199" i="47" s="1"/>
  <c r="H198" i="47"/>
  <c r="G198" i="47"/>
  <c r="D198" i="47"/>
  <c r="H147" i="35"/>
  <c r="I147" i="35"/>
  <c r="B148" i="35" s="1"/>
  <c r="C147" i="35"/>
  <c r="G147" i="35"/>
  <c r="D147" i="35"/>
  <c r="C200" i="55" l="1"/>
  <c r="I200" i="55"/>
  <c r="B201" i="55" s="1"/>
  <c r="H200" i="55"/>
  <c r="G200" i="55"/>
  <c r="D200" i="55"/>
  <c r="I200" i="54"/>
  <c r="B201" i="54" s="1"/>
  <c r="H200" i="54"/>
  <c r="G200" i="54"/>
  <c r="D200" i="54"/>
  <c r="C200" i="54"/>
  <c r="H200" i="53"/>
  <c r="G200" i="53"/>
  <c r="C200" i="53"/>
  <c r="I200" i="53"/>
  <c r="B201" i="53" s="1"/>
  <c r="D200" i="53"/>
  <c r="I200" i="52"/>
  <c r="B201" i="52" s="1"/>
  <c r="H200" i="52"/>
  <c r="G200" i="52"/>
  <c r="C200" i="52"/>
  <c r="D200" i="52"/>
  <c r="I200" i="51"/>
  <c r="B201" i="51" s="1"/>
  <c r="H200" i="51"/>
  <c r="G200" i="51"/>
  <c r="D200" i="51"/>
  <c r="C200" i="51"/>
  <c r="I199" i="50"/>
  <c r="B200" i="50" s="1"/>
  <c r="H199" i="50"/>
  <c r="G199" i="50"/>
  <c r="D199" i="50"/>
  <c r="C199" i="50"/>
  <c r="G199" i="49"/>
  <c r="D199" i="49"/>
  <c r="C199" i="49"/>
  <c r="I199" i="49"/>
  <c r="B200" i="49" s="1"/>
  <c r="H199" i="49"/>
  <c r="G199" i="48"/>
  <c r="D199" i="48"/>
  <c r="C199" i="48"/>
  <c r="I199" i="48"/>
  <c r="B200" i="48" s="1"/>
  <c r="H199" i="48"/>
  <c r="G199" i="47"/>
  <c r="D199" i="47"/>
  <c r="C199" i="47"/>
  <c r="I199" i="47"/>
  <c r="B200" i="47" s="1"/>
  <c r="H199" i="47"/>
  <c r="C148" i="35"/>
  <c r="G148" i="35"/>
  <c r="H148" i="35"/>
  <c r="I148" i="35"/>
  <c r="B149" i="35" s="1"/>
  <c r="D148" i="35"/>
  <c r="G201" i="55" l="1"/>
  <c r="D201" i="55"/>
  <c r="C201" i="55"/>
  <c r="I201" i="55"/>
  <c r="B202" i="55" s="1"/>
  <c r="H201" i="55"/>
  <c r="D201" i="54"/>
  <c r="C201" i="54"/>
  <c r="I201" i="54"/>
  <c r="B202" i="54" s="1"/>
  <c r="H201" i="54"/>
  <c r="G201" i="54"/>
  <c r="C201" i="53"/>
  <c r="I201" i="53"/>
  <c r="B202" i="53" s="1"/>
  <c r="G201" i="53"/>
  <c r="H201" i="53"/>
  <c r="D201" i="53"/>
  <c r="C201" i="52"/>
  <c r="I201" i="52"/>
  <c r="B202" i="52" s="1"/>
  <c r="G201" i="52"/>
  <c r="H201" i="52"/>
  <c r="D201" i="52"/>
  <c r="I201" i="51"/>
  <c r="B202" i="51" s="1"/>
  <c r="H201" i="51"/>
  <c r="G201" i="51"/>
  <c r="D201" i="51"/>
  <c r="C201" i="51"/>
  <c r="D200" i="50"/>
  <c r="C200" i="50"/>
  <c r="I200" i="50"/>
  <c r="B201" i="50" s="1"/>
  <c r="H200" i="50"/>
  <c r="G200" i="50"/>
  <c r="I200" i="49"/>
  <c r="B201" i="49" s="1"/>
  <c r="H200" i="49"/>
  <c r="G200" i="49"/>
  <c r="D200" i="49"/>
  <c r="C200" i="49"/>
  <c r="I200" i="48"/>
  <c r="B201" i="48" s="1"/>
  <c r="H200" i="48"/>
  <c r="G200" i="48"/>
  <c r="D200" i="48"/>
  <c r="C200" i="48"/>
  <c r="I200" i="47"/>
  <c r="B201" i="47" s="1"/>
  <c r="H200" i="47"/>
  <c r="G200" i="47"/>
  <c r="C200" i="47"/>
  <c r="D200" i="47"/>
  <c r="C149" i="35"/>
  <c r="I149" i="35"/>
  <c r="B150" i="35" s="1"/>
  <c r="H149" i="35"/>
  <c r="G149" i="35"/>
  <c r="D149" i="35"/>
  <c r="I202" i="55" l="1"/>
  <c r="B203" i="55" s="1"/>
  <c r="H202" i="55"/>
  <c r="G202" i="55"/>
  <c r="D202" i="55"/>
  <c r="C202" i="55"/>
  <c r="H202" i="54"/>
  <c r="G202" i="54"/>
  <c r="D202" i="54"/>
  <c r="C202" i="54"/>
  <c r="I202" i="54"/>
  <c r="B203" i="54" s="1"/>
  <c r="G202" i="53"/>
  <c r="D202" i="53"/>
  <c r="I202" i="53"/>
  <c r="B203" i="53" s="1"/>
  <c r="H202" i="53"/>
  <c r="C202" i="53"/>
  <c r="G202" i="52"/>
  <c r="D202" i="52"/>
  <c r="C202" i="52"/>
  <c r="I202" i="52"/>
  <c r="B203" i="52" s="1"/>
  <c r="H202" i="52"/>
  <c r="D202" i="51"/>
  <c r="C202" i="51"/>
  <c r="I202" i="51"/>
  <c r="B203" i="51" s="1"/>
  <c r="H202" i="51"/>
  <c r="G202" i="51"/>
  <c r="H201" i="50"/>
  <c r="G201" i="50"/>
  <c r="D201" i="50"/>
  <c r="C201" i="50"/>
  <c r="I201" i="50"/>
  <c r="B202" i="50" s="1"/>
  <c r="I201" i="49"/>
  <c r="B202" i="49" s="1"/>
  <c r="H201" i="49"/>
  <c r="G201" i="49"/>
  <c r="C201" i="49"/>
  <c r="D201" i="49"/>
  <c r="I201" i="48"/>
  <c r="B202" i="48" s="1"/>
  <c r="H201" i="48"/>
  <c r="G201" i="48"/>
  <c r="C201" i="48"/>
  <c r="D201" i="48"/>
  <c r="I201" i="47"/>
  <c r="B202" i="47" s="1"/>
  <c r="G201" i="47"/>
  <c r="D201" i="47"/>
  <c r="C201" i="47"/>
  <c r="H201" i="47"/>
  <c r="G150" i="35"/>
  <c r="C150" i="35"/>
  <c r="D150" i="35"/>
  <c r="H150" i="35"/>
  <c r="I150" i="35"/>
  <c r="B151" i="35" s="1"/>
  <c r="I203" i="55" l="1"/>
  <c r="B204" i="55" s="1"/>
  <c r="H203" i="55"/>
  <c r="G203" i="55"/>
  <c r="D203" i="55"/>
  <c r="C203" i="55"/>
  <c r="I203" i="54"/>
  <c r="B204" i="54" s="1"/>
  <c r="H203" i="54"/>
  <c r="G203" i="54"/>
  <c r="D203" i="54"/>
  <c r="C203" i="54"/>
  <c r="I203" i="53"/>
  <c r="B204" i="53" s="1"/>
  <c r="H203" i="53"/>
  <c r="D203" i="53"/>
  <c r="C203" i="53"/>
  <c r="G203" i="53"/>
  <c r="I203" i="52"/>
  <c r="B204" i="52" s="1"/>
  <c r="H203" i="52"/>
  <c r="G203" i="52"/>
  <c r="D203" i="52"/>
  <c r="C203" i="52"/>
  <c r="H203" i="51"/>
  <c r="G203" i="51"/>
  <c r="D203" i="51"/>
  <c r="C203" i="51"/>
  <c r="I203" i="51"/>
  <c r="B204" i="51" s="1"/>
  <c r="I202" i="50"/>
  <c r="B203" i="50" s="1"/>
  <c r="H202" i="50"/>
  <c r="G202" i="50"/>
  <c r="D202" i="50"/>
  <c r="C202" i="50"/>
  <c r="C202" i="49"/>
  <c r="I202" i="49"/>
  <c r="B203" i="49" s="1"/>
  <c r="G202" i="49"/>
  <c r="H202" i="49"/>
  <c r="D202" i="49"/>
  <c r="C202" i="48"/>
  <c r="I202" i="48"/>
  <c r="B203" i="48" s="1"/>
  <c r="G202" i="48"/>
  <c r="D202" i="48"/>
  <c r="H202" i="48"/>
  <c r="C202" i="47"/>
  <c r="I202" i="47"/>
  <c r="B203" i="47" s="1"/>
  <c r="H202" i="47"/>
  <c r="G202" i="47"/>
  <c r="D202" i="47"/>
  <c r="C151" i="35"/>
  <c r="I151" i="35"/>
  <c r="B152" i="35" s="1"/>
  <c r="G151" i="35"/>
  <c r="D151" i="35"/>
  <c r="H151" i="35"/>
  <c r="C204" i="55" l="1"/>
  <c r="I204" i="55"/>
  <c r="B205" i="55" s="1"/>
  <c r="H204" i="55"/>
  <c r="G204" i="55"/>
  <c r="D204" i="55"/>
  <c r="I204" i="54"/>
  <c r="B205" i="54" s="1"/>
  <c r="H204" i="54"/>
  <c r="G204" i="54"/>
  <c r="D204" i="54"/>
  <c r="C204" i="54"/>
  <c r="H204" i="53"/>
  <c r="G204" i="53"/>
  <c r="C204" i="53"/>
  <c r="D204" i="53"/>
  <c r="I204" i="53"/>
  <c r="B205" i="53" s="1"/>
  <c r="I204" i="52"/>
  <c r="B205" i="52" s="1"/>
  <c r="H204" i="52"/>
  <c r="G204" i="52"/>
  <c r="C204" i="52"/>
  <c r="D204" i="52"/>
  <c r="I204" i="51"/>
  <c r="B205" i="51" s="1"/>
  <c r="H204" i="51"/>
  <c r="G204" i="51"/>
  <c r="D204" i="51"/>
  <c r="C204" i="51"/>
  <c r="I203" i="50"/>
  <c r="B204" i="50" s="1"/>
  <c r="H203" i="50"/>
  <c r="G203" i="50"/>
  <c r="D203" i="50"/>
  <c r="C203" i="50"/>
  <c r="G203" i="49"/>
  <c r="D203" i="49"/>
  <c r="C203" i="49"/>
  <c r="I203" i="49"/>
  <c r="B204" i="49" s="1"/>
  <c r="H203" i="49"/>
  <c r="G203" i="48"/>
  <c r="D203" i="48"/>
  <c r="C203" i="48"/>
  <c r="I203" i="48"/>
  <c r="B204" i="48" s="1"/>
  <c r="H203" i="48"/>
  <c r="G203" i="47"/>
  <c r="D203" i="47"/>
  <c r="C203" i="47"/>
  <c r="I203" i="47"/>
  <c r="B204" i="47" s="1"/>
  <c r="H203" i="47"/>
  <c r="C152" i="35"/>
  <c r="H152" i="35"/>
  <c r="G152" i="35"/>
  <c r="D152" i="35"/>
  <c r="I152" i="35"/>
  <c r="B153" i="35" s="1"/>
  <c r="G205" i="55" l="1"/>
  <c r="D205" i="55"/>
  <c r="C205" i="55"/>
  <c r="I205" i="55"/>
  <c r="B206" i="55" s="1"/>
  <c r="H205" i="55"/>
  <c r="D205" i="54"/>
  <c r="C205" i="54"/>
  <c r="I205" i="54"/>
  <c r="B206" i="54" s="1"/>
  <c r="H205" i="54"/>
  <c r="G205" i="54"/>
  <c r="C205" i="53"/>
  <c r="I205" i="53"/>
  <c r="B206" i="53" s="1"/>
  <c r="G205" i="53"/>
  <c r="H205" i="53"/>
  <c r="D205" i="53"/>
  <c r="C205" i="52"/>
  <c r="I205" i="52"/>
  <c r="B206" i="52" s="1"/>
  <c r="G205" i="52"/>
  <c r="H205" i="52"/>
  <c r="D205" i="52"/>
  <c r="I205" i="51"/>
  <c r="B206" i="51" s="1"/>
  <c r="H205" i="51"/>
  <c r="G205" i="51"/>
  <c r="D205" i="51"/>
  <c r="C205" i="51"/>
  <c r="D204" i="50"/>
  <c r="C204" i="50"/>
  <c r="I204" i="50"/>
  <c r="B205" i="50" s="1"/>
  <c r="H204" i="50"/>
  <c r="G204" i="50"/>
  <c r="I204" i="49"/>
  <c r="B205" i="49" s="1"/>
  <c r="H204" i="49"/>
  <c r="G204" i="49"/>
  <c r="D204" i="49"/>
  <c r="C204" i="49"/>
  <c r="I204" i="48"/>
  <c r="B205" i="48" s="1"/>
  <c r="H204" i="48"/>
  <c r="G204" i="48"/>
  <c r="D204" i="48"/>
  <c r="C204" i="48"/>
  <c r="I204" i="47"/>
  <c r="B205" i="47" s="1"/>
  <c r="H204" i="47"/>
  <c r="G204" i="47"/>
  <c r="C204" i="47"/>
  <c r="D204" i="47"/>
  <c r="I153" i="35"/>
  <c r="B154" i="35" s="1"/>
  <c r="C153" i="35"/>
  <c r="H153" i="35"/>
  <c r="D153" i="35"/>
  <c r="G153" i="35"/>
  <c r="I206" i="55" l="1"/>
  <c r="B207" i="55" s="1"/>
  <c r="H206" i="55"/>
  <c r="G206" i="55"/>
  <c r="D206" i="55"/>
  <c r="C206" i="55"/>
  <c r="H206" i="54"/>
  <c r="G206" i="54"/>
  <c r="D206" i="54"/>
  <c r="C206" i="54"/>
  <c r="I206" i="54"/>
  <c r="B207" i="54" s="1"/>
  <c r="G206" i="53"/>
  <c r="D206" i="53"/>
  <c r="I206" i="53"/>
  <c r="B207" i="53" s="1"/>
  <c r="H206" i="53"/>
  <c r="C206" i="53"/>
  <c r="G206" i="52"/>
  <c r="D206" i="52"/>
  <c r="C206" i="52"/>
  <c r="I206" i="52"/>
  <c r="B207" i="52" s="1"/>
  <c r="H206" i="52"/>
  <c r="D206" i="51"/>
  <c r="C206" i="51"/>
  <c r="I206" i="51"/>
  <c r="B207" i="51" s="1"/>
  <c r="G206" i="51"/>
  <c r="H206" i="51"/>
  <c r="H205" i="50"/>
  <c r="G205" i="50"/>
  <c r="D205" i="50"/>
  <c r="C205" i="50"/>
  <c r="I205" i="50"/>
  <c r="B206" i="50" s="1"/>
  <c r="I205" i="49"/>
  <c r="B206" i="49" s="1"/>
  <c r="H205" i="49"/>
  <c r="G205" i="49"/>
  <c r="C205" i="49"/>
  <c r="D205" i="49"/>
  <c r="I205" i="48"/>
  <c r="B206" i="48" s="1"/>
  <c r="H205" i="48"/>
  <c r="G205" i="48"/>
  <c r="C205" i="48"/>
  <c r="D205" i="48"/>
  <c r="I205" i="47"/>
  <c r="B206" i="47" s="1"/>
  <c r="G205" i="47"/>
  <c r="H205" i="47"/>
  <c r="D205" i="47"/>
  <c r="C205" i="47"/>
  <c r="G154" i="35"/>
  <c r="D154" i="35"/>
  <c r="C154" i="35"/>
  <c r="I154" i="35"/>
  <c r="B155" i="35" s="1"/>
  <c r="H154" i="35"/>
  <c r="I207" i="55" l="1"/>
  <c r="B208" i="55" s="1"/>
  <c r="H207" i="55"/>
  <c r="G207" i="55"/>
  <c r="D207" i="55"/>
  <c r="C207" i="55"/>
  <c r="I207" i="54"/>
  <c r="B208" i="54" s="1"/>
  <c r="H207" i="54"/>
  <c r="G207" i="54"/>
  <c r="D207" i="54"/>
  <c r="C207" i="54"/>
  <c r="I207" i="53"/>
  <c r="B208" i="53" s="1"/>
  <c r="H207" i="53"/>
  <c r="D207" i="53"/>
  <c r="C207" i="53"/>
  <c r="G207" i="53"/>
  <c r="I207" i="52"/>
  <c r="B208" i="52" s="1"/>
  <c r="H207" i="52"/>
  <c r="G207" i="52"/>
  <c r="D207" i="52"/>
  <c r="C207" i="52"/>
  <c r="H207" i="51"/>
  <c r="G207" i="51"/>
  <c r="D207" i="51"/>
  <c r="C207" i="51"/>
  <c r="I207" i="51"/>
  <c r="B208" i="51" s="1"/>
  <c r="I206" i="50"/>
  <c r="B207" i="50" s="1"/>
  <c r="H206" i="50"/>
  <c r="G206" i="50"/>
  <c r="D206" i="50"/>
  <c r="C206" i="50"/>
  <c r="C206" i="49"/>
  <c r="I206" i="49"/>
  <c r="B207" i="49" s="1"/>
  <c r="G206" i="49"/>
  <c r="D206" i="49"/>
  <c r="H206" i="49"/>
  <c r="C206" i="48"/>
  <c r="I206" i="48"/>
  <c r="B207" i="48" s="1"/>
  <c r="G206" i="48"/>
  <c r="D206" i="48"/>
  <c r="H206" i="48"/>
  <c r="C206" i="47"/>
  <c r="I206" i="47"/>
  <c r="B207" i="47" s="1"/>
  <c r="H206" i="47"/>
  <c r="G206" i="47"/>
  <c r="D206" i="47"/>
  <c r="C155" i="35"/>
  <c r="H155" i="35"/>
  <c r="I155" i="35"/>
  <c r="B156" i="35" s="1"/>
  <c r="D155" i="35"/>
  <c r="G155" i="35"/>
  <c r="C208" i="55" l="1"/>
  <c r="I208" i="55"/>
  <c r="B209" i="55" s="1"/>
  <c r="H208" i="55"/>
  <c r="G208" i="55"/>
  <c r="D208" i="55"/>
  <c r="I208" i="54"/>
  <c r="B209" i="54" s="1"/>
  <c r="H208" i="54"/>
  <c r="G208" i="54"/>
  <c r="D208" i="54"/>
  <c r="C208" i="54"/>
  <c r="H208" i="53"/>
  <c r="G208" i="53"/>
  <c r="C208" i="53"/>
  <c r="I208" i="53"/>
  <c r="B209" i="53" s="1"/>
  <c r="D208" i="53"/>
  <c r="I208" i="52"/>
  <c r="B209" i="52" s="1"/>
  <c r="H208" i="52"/>
  <c r="G208" i="52"/>
  <c r="C208" i="52"/>
  <c r="D208" i="52"/>
  <c r="I208" i="51"/>
  <c r="B209" i="51" s="1"/>
  <c r="H208" i="51"/>
  <c r="G208" i="51"/>
  <c r="D208" i="51"/>
  <c r="C208" i="51"/>
  <c r="I207" i="50"/>
  <c r="B208" i="50" s="1"/>
  <c r="H207" i="50"/>
  <c r="G207" i="50"/>
  <c r="D207" i="50"/>
  <c r="C207" i="50"/>
  <c r="G207" i="49"/>
  <c r="D207" i="49"/>
  <c r="C207" i="49"/>
  <c r="I207" i="49"/>
  <c r="B208" i="49" s="1"/>
  <c r="H207" i="49"/>
  <c r="G207" i="48"/>
  <c r="D207" i="48"/>
  <c r="C207" i="48"/>
  <c r="I207" i="48"/>
  <c r="B208" i="48" s="1"/>
  <c r="H207" i="48"/>
  <c r="G207" i="47"/>
  <c r="D207" i="47"/>
  <c r="C207" i="47"/>
  <c r="I207" i="47"/>
  <c r="B208" i="47" s="1"/>
  <c r="H207" i="47"/>
  <c r="C156" i="35"/>
  <c r="G156" i="35"/>
  <c r="H156" i="35"/>
  <c r="I156" i="35"/>
  <c r="B157" i="35" s="1"/>
  <c r="D156" i="35"/>
  <c r="G209" i="55" l="1"/>
  <c r="D209" i="55"/>
  <c r="C209" i="55"/>
  <c r="I209" i="55"/>
  <c r="B210" i="55" s="1"/>
  <c r="H209" i="55"/>
  <c r="D209" i="54"/>
  <c r="C209" i="54"/>
  <c r="I209" i="54"/>
  <c r="B210" i="54" s="1"/>
  <c r="H209" i="54"/>
  <c r="G209" i="54"/>
  <c r="C209" i="53"/>
  <c r="I209" i="53"/>
  <c r="B210" i="53" s="1"/>
  <c r="G209" i="53"/>
  <c r="H209" i="53"/>
  <c r="D209" i="53"/>
  <c r="C209" i="52"/>
  <c r="I209" i="52"/>
  <c r="B210" i="52" s="1"/>
  <c r="G209" i="52"/>
  <c r="D209" i="52"/>
  <c r="H209" i="52"/>
  <c r="I209" i="51"/>
  <c r="B210" i="51" s="1"/>
  <c r="H209" i="51"/>
  <c r="G209" i="51"/>
  <c r="D209" i="51"/>
  <c r="C209" i="51"/>
  <c r="D208" i="50"/>
  <c r="C208" i="50"/>
  <c r="I208" i="50"/>
  <c r="B209" i="50" s="1"/>
  <c r="H208" i="50"/>
  <c r="G208" i="50"/>
  <c r="I208" i="49"/>
  <c r="B209" i="49" s="1"/>
  <c r="H208" i="49"/>
  <c r="G208" i="49"/>
  <c r="D208" i="49"/>
  <c r="C208" i="49"/>
  <c r="I208" i="48"/>
  <c r="B209" i="48" s="1"/>
  <c r="H208" i="48"/>
  <c r="G208" i="48"/>
  <c r="D208" i="48"/>
  <c r="C208" i="48"/>
  <c r="I208" i="47"/>
  <c r="B209" i="47" s="1"/>
  <c r="H208" i="47"/>
  <c r="G208" i="47"/>
  <c r="C208" i="47"/>
  <c r="D208" i="47"/>
  <c r="I157" i="35"/>
  <c r="B158" i="35" s="1"/>
  <c r="C157" i="35"/>
  <c r="H157" i="35"/>
  <c r="G157" i="35"/>
  <c r="D157" i="35"/>
  <c r="I210" i="55" l="1"/>
  <c r="B211" i="55" s="1"/>
  <c r="H210" i="55"/>
  <c r="G210" i="55"/>
  <c r="D210" i="55"/>
  <c r="C210" i="55"/>
  <c r="H210" i="54"/>
  <c r="G210" i="54"/>
  <c r="D210" i="54"/>
  <c r="C210" i="54"/>
  <c r="I210" i="54"/>
  <c r="B211" i="54" s="1"/>
  <c r="G210" i="53"/>
  <c r="D210" i="53"/>
  <c r="I210" i="53"/>
  <c r="B211" i="53" s="1"/>
  <c r="H210" i="53"/>
  <c r="C210" i="53"/>
  <c r="G210" i="52"/>
  <c r="D210" i="52"/>
  <c r="C210" i="52"/>
  <c r="I210" i="52"/>
  <c r="B211" i="52" s="1"/>
  <c r="H210" i="52"/>
  <c r="D210" i="51"/>
  <c r="C210" i="51"/>
  <c r="I210" i="51"/>
  <c r="B211" i="51" s="1"/>
  <c r="H210" i="51"/>
  <c r="G210" i="51"/>
  <c r="H209" i="50"/>
  <c r="G209" i="50"/>
  <c r="D209" i="50"/>
  <c r="C209" i="50"/>
  <c r="I209" i="50"/>
  <c r="B210" i="50" s="1"/>
  <c r="I209" i="49"/>
  <c r="B210" i="49" s="1"/>
  <c r="H209" i="49"/>
  <c r="G209" i="49"/>
  <c r="C209" i="49"/>
  <c r="D209" i="49"/>
  <c r="I209" i="48"/>
  <c r="B210" i="48" s="1"/>
  <c r="H209" i="48"/>
  <c r="G209" i="48"/>
  <c r="C209" i="48"/>
  <c r="D209" i="48"/>
  <c r="I209" i="47"/>
  <c r="B210" i="47" s="1"/>
  <c r="G209" i="47"/>
  <c r="D209" i="47"/>
  <c r="C209" i="47"/>
  <c r="H209" i="47"/>
  <c r="G158" i="35"/>
  <c r="D158" i="35"/>
  <c r="I158" i="35"/>
  <c r="B159" i="35" s="1"/>
  <c r="C158" i="35"/>
  <c r="H158" i="35"/>
  <c r="I211" i="55" l="1"/>
  <c r="B212" i="55" s="1"/>
  <c r="H211" i="55"/>
  <c r="G211" i="55"/>
  <c r="D211" i="55"/>
  <c r="C211" i="55"/>
  <c r="I211" i="54"/>
  <c r="B212" i="54" s="1"/>
  <c r="H211" i="54"/>
  <c r="G211" i="54"/>
  <c r="D211" i="54"/>
  <c r="C211" i="54"/>
  <c r="I211" i="53"/>
  <c r="B212" i="53" s="1"/>
  <c r="H211" i="53"/>
  <c r="D211" i="53"/>
  <c r="C211" i="53"/>
  <c r="G211" i="53"/>
  <c r="I211" i="52"/>
  <c r="B212" i="52" s="1"/>
  <c r="H211" i="52"/>
  <c r="G211" i="52"/>
  <c r="D211" i="52"/>
  <c r="C211" i="52"/>
  <c r="H211" i="51"/>
  <c r="G211" i="51"/>
  <c r="D211" i="51"/>
  <c r="C211" i="51"/>
  <c r="I211" i="51"/>
  <c r="B212" i="51" s="1"/>
  <c r="I210" i="50"/>
  <c r="B211" i="50" s="1"/>
  <c r="H210" i="50"/>
  <c r="G210" i="50"/>
  <c r="D210" i="50"/>
  <c r="C210" i="50"/>
  <c r="C210" i="49"/>
  <c r="I210" i="49"/>
  <c r="B211" i="49" s="1"/>
  <c r="G210" i="49"/>
  <c r="H210" i="49"/>
  <c r="D210" i="49"/>
  <c r="C210" i="48"/>
  <c r="I210" i="48"/>
  <c r="B211" i="48" s="1"/>
  <c r="G210" i="48"/>
  <c r="D210" i="48"/>
  <c r="H210" i="48"/>
  <c r="C210" i="47"/>
  <c r="I210" i="47"/>
  <c r="B211" i="47" s="1"/>
  <c r="H210" i="47"/>
  <c r="G210" i="47"/>
  <c r="D210" i="47"/>
  <c r="H159" i="35"/>
  <c r="C159" i="35"/>
  <c r="G159" i="35"/>
  <c r="D159" i="35"/>
  <c r="I159" i="35"/>
  <c r="B160" i="35" s="1"/>
  <c r="C212" i="55" l="1"/>
  <c r="I212" i="55"/>
  <c r="B213" i="55" s="1"/>
  <c r="H212" i="55"/>
  <c r="G212" i="55"/>
  <c r="D212" i="55"/>
  <c r="I212" i="54"/>
  <c r="B213" i="54" s="1"/>
  <c r="H212" i="54"/>
  <c r="G212" i="54"/>
  <c r="D212" i="54"/>
  <c r="C212" i="54"/>
  <c r="H212" i="53"/>
  <c r="G212" i="53"/>
  <c r="C212" i="53"/>
  <c r="I212" i="53"/>
  <c r="B213" i="53" s="1"/>
  <c r="D212" i="53"/>
  <c r="I212" i="52"/>
  <c r="B213" i="52" s="1"/>
  <c r="H212" i="52"/>
  <c r="G212" i="52"/>
  <c r="C212" i="52"/>
  <c r="D212" i="52"/>
  <c r="I212" i="51"/>
  <c r="B213" i="51" s="1"/>
  <c r="H212" i="51"/>
  <c r="G212" i="51"/>
  <c r="D212" i="51"/>
  <c r="C212" i="51"/>
  <c r="I211" i="50"/>
  <c r="B212" i="50" s="1"/>
  <c r="H211" i="50"/>
  <c r="G211" i="50"/>
  <c r="D211" i="50"/>
  <c r="C211" i="50"/>
  <c r="G211" i="49"/>
  <c r="D211" i="49"/>
  <c r="C211" i="49"/>
  <c r="I211" i="49"/>
  <c r="B212" i="49" s="1"/>
  <c r="H211" i="49"/>
  <c r="G211" i="48"/>
  <c r="D211" i="48"/>
  <c r="C211" i="48"/>
  <c r="I211" i="48"/>
  <c r="B212" i="48" s="1"/>
  <c r="H211" i="48"/>
  <c r="G211" i="47"/>
  <c r="D211" i="47"/>
  <c r="C211" i="47"/>
  <c r="I211" i="47"/>
  <c r="B212" i="47" s="1"/>
  <c r="H211" i="47"/>
  <c r="C160" i="35"/>
  <c r="G160" i="35"/>
  <c r="I160" i="35"/>
  <c r="B161" i="35" s="1"/>
  <c r="H160" i="35"/>
  <c r="D160" i="35"/>
  <c r="G213" i="55" l="1"/>
  <c r="D213" i="55"/>
  <c r="C213" i="55"/>
  <c r="I213" i="55"/>
  <c r="B214" i="55" s="1"/>
  <c r="H213" i="55"/>
  <c r="D213" i="54"/>
  <c r="C213" i="54"/>
  <c r="I213" i="54"/>
  <c r="B214" i="54" s="1"/>
  <c r="H213" i="54"/>
  <c r="G213" i="54"/>
  <c r="C213" i="53"/>
  <c r="I213" i="53"/>
  <c r="B214" i="53" s="1"/>
  <c r="G213" i="53"/>
  <c r="H213" i="53"/>
  <c r="D213" i="53"/>
  <c r="C213" i="52"/>
  <c r="I213" i="52"/>
  <c r="B214" i="52" s="1"/>
  <c r="G213" i="52"/>
  <c r="H213" i="52"/>
  <c r="D213" i="52"/>
  <c r="I213" i="51"/>
  <c r="B214" i="51" s="1"/>
  <c r="H213" i="51"/>
  <c r="G213" i="51"/>
  <c r="D213" i="51"/>
  <c r="C213" i="51"/>
  <c r="D212" i="50"/>
  <c r="C212" i="50"/>
  <c r="I212" i="50"/>
  <c r="B213" i="50" s="1"/>
  <c r="H212" i="50"/>
  <c r="G212" i="50"/>
  <c r="I212" i="49"/>
  <c r="B213" i="49" s="1"/>
  <c r="H212" i="49"/>
  <c r="G212" i="49"/>
  <c r="D212" i="49"/>
  <c r="C212" i="49"/>
  <c r="I212" i="48"/>
  <c r="B213" i="48" s="1"/>
  <c r="H212" i="48"/>
  <c r="G212" i="48"/>
  <c r="D212" i="48"/>
  <c r="C212" i="48"/>
  <c r="I212" i="47"/>
  <c r="B213" i="47" s="1"/>
  <c r="H212" i="47"/>
  <c r="G212" i="47"/>
  <c r="C212" i="47"/>
  <c r="D212" i="47"/>
  <c r="I161" i="35"/>
  <c r="B162" i="35" s="1"/>
  <c r="H161" i="35"/>
  <c r="D161" i="35"/>
  <c r="C161" i="35"/>
  <c r="G161" i="35"/>
  <c r="I214" i="55" l="1"/>
  <c r="B215" i="55" s="1"/>
  <c r="H214" i="55"/>
  <c r="G214" i="55"/>
  <c r="D214" i="55"/>
  <c r="C214" i="55"/>
  <c r="H214" i="54"/>
  <c r="G214" i="54"/>
  <c r="D214" i="54"/>
  <c r="C214" i="54"/>
  <c r="I214" i="54"/>
  <c r="B215" i="54" s="1"/>
  <c r="G214" i="53"/>
  <c r="D214" i="53"/>
  <c r="I214" i="53"/>
  <c r="B215" i="53" s="1"/>
  <c r="C214" i="53"/>
  <c r="H214" i="53"/>
  <c r="G214" i="52"/>
  <c r="D214" i="52"/>
  <c r="C214" i="52"/>
  <c r="I214" i="52"/>
  <c r="B215" i="52" s="1"/>
  <c r="H214" i="52"/>
  <c r="D214" i="51"/>
  <c r="C214" i="51"/>
  <c r="I214" i="51"/>
  <c r="B215" i="51" s="1"/>
  <c r="H214" i="51"/>
  <c r="G214" i="51"/>
  <c r="H213" i="50"/>
  <c r="G213" i="50"/>
  <c r="D213" i="50"/>
  <c r="C213" i="50"/>
  <c r="I213" i="50"/>
  <c r="B214" i="50" s="1"/>
  <c r="I213" i="49"/>
  <c r="B214" i="49" s="1"/>
  <c r="H213" i="49"/>
  <c r="G213" i="49"/>
  <c r="C213" i="49"/>
  <c r="D213" i="49"/>
  <c r="I213" i="48"/>
  <c r="B214" i="48" s="1"/>
  <c r="H213" i="48"/>
  <c r="G213" i="48"/>
  <c r="C213" i="48"/>
  <c r="D213" i="48"/>
  <c r="I213" i="47"/>
  <c r="B214" i="47" s="1"/>
  <c r="G213" i="47"/>
  <c r="H213" i="47"/>
  <c r="D213" i="47"/>
  <c r="C213" i="47"/>
  <c r="D162" i="35"/>
  <c r="G162" i="35"/>
  <c r="H162" i="35"/>
  <c r="C162" i="35"/>
  <c r="I162" i="35"/>
  <c r="B163" i="35" s="1"/>
  <c r="I215" i="55" l="1"/>
  <c r="B216" i="55" s="1"/>
  <c r="H215" i="55"/>
  <c r="G215" i="55"/>
  <c r="D215" i="55"/>
  <c r="C215" i="55"/>
  <c r="I215" i="54"/>
  <c r="B216" i="54" s="1"/>
  <c r="H215" i="54"/>
  <c r="G215" i="54"/>
  <c r="D215" i="54"/>
  <c r="C215" i="54"/>
  <c r="I215" i="53"/>
  <c r="B216" i="53" s="1"/>
  <c r="H215" i="53"/>
  <c r="D215" i="53"/>
  <c r="C215" i="53"/>
  <c r="G215" i="53"/>
  <c r="I215" i="52"/>
  <c r="B216" i="52" s="1"/>
  <c r="H215" i="52"/>
  <c r="G215" i="52"/>
  <c r="D215" i="52"/>
  <c r="C215" i="52"/>
  <c r="H215" i="51"/>
  <c r="G215" i="51"/>
  <c r="D215" i="51"/>
  <c r="C215" i="51"/>
  <c r="I215" i="51"/>
  <c r="B216" i="51" s="1"/>
  <c r="I214" i="50"/>
  <c r="B215" i="50" s="1"/>
  <c r="H214" i="50"/>
  <c r="G214" i="50"/>
  <c r="D214" i="50"/>
  <c r="C214" i="50"/>
  <c r="C214" i="49"/>
  <c r="I214" i="49"/>
  <c r="B215" i="49" s="1"/>
  <c r="G214" i="49"/>
  <c r="H214" i="49"/>
  <c r="D214" i="49"/>
  <c r="C214" i="48"/>
  <c r="I214" i="48"/>
  <c r="B215" i="48" s="1"/>
  <c r="G214" i="48"/>
  <c r="D214" i="48"/>
  <c r="H214" i="48"/>
  <c r="C214" i="47"/>
  <c r="I214" i="47"/>
  <c r="B215" i="47" s="1"/>
  <c r="H214" i="47"/>
  <c r="G214" i="47"/>
  <c r="D214" i="47"/>
  <c r="C163" i="35"/>
  <c r="I163" i="35"/>
  <c r="B164" i="35" s="1"/>
  <c r="G163" i="35"/>
  <c r="H163" i="35"/>
  <c r="D163" i="35"/>
  <c r="C216" i="55" l="1"/>
  <c r="I216" i="55"/>
  <c r="B217" i="55" s="1"/>
  <c r="H216" i="55"/>
  <c r="G216" i="55"/>
  <c r="D216" i="55"/>
  <c r="I216" i="54"/>
  <c r="B217" i="54" s="1"/>
  <c r="H216" i="54"/>
  <c r="G216" i="54"/>
  <c r="C216" i="54"/>
  <c r="D216" i="54"/>
  <c r="H216" i="53"/>
  <c r="G216" i="53"/>
  <c r="C216" i="53"/>
  <c r="I216" i="53"/>
  <c r="B217" i="53" s="1"/>
  <c r="D216" i="53"/>
  <c r="I216" i="52"/>
  <c r="B217" i="52" s="1"/>
  <c r="H216" i="52"/>
  <c r="G216" i="52"/>
  <c r="C216" i="52"/>
  <c r="D216" i="52"/>
  <c r="I216" i="51"/>
  <c r="B217" i="51" s="1"/>
  <c r="H216" i="51"/>
  <c r="G216" i="51"/>
  <c r="D216" i="51"/>
  <c r="C216" i="51"/>
  <c r="I215" i="50"/>
  <c r="B216" i="50" s="1"/>
  <c r="H215" i="50"/>
  <c r="G215" i="50"/>
  <c r="D215" i="50"/>
  <c r="C215" i="50"/>
  <c r="G215" i="49"/>
  <c r="D215" i="49"/>
  <c r="C215" i="49"/>
  <c r="I215" i="49"/>
  <c r="B216" i="49" s="1"/>
  <c r="H215" i="49"/>
  <c r="G215" i="48"/>
  <c r="D215" i="48"/>
  <c r="C215" i="48"/>
  <c r="I215" i="48"/>
  <c r="B216" i="48" s="1"/>
  <c r="H215" i="48"/>
  <c r="G215" i="47"/>
  <c r="D215" i="47"/>
  <c r="C215" i="47"/>
  <c r="I215" i="47"/>
  <c r="B216" i="47" s="1"/>
  <c r="H215" i="47"/>
  <c r="C164" i="35"/>
  <c r="G164" i="35"/>
  <c r="I164" i="35"/>
  <c r="B165" i="35" s="1"/>
  <c r="H164" i="35"/>
  <c r="D164" i="35"/>
  <c r="G217" i="55" l="1"/>
  <c r="D217" i="55"/>
  <c r="C217" i="55"/>
  <c r="I217" i="55"/>
  <c r="B218" i="55" s="1"/>
  <c r="H217" i="55"/>
  <c r="D217" i="54"/>
  <c r="C217" i="54"/>
  <c r="I217" i="54"/>
  <c r="B218" i="54" s="1"/>
  <c r="H217" i="54"/>
  <c r="G217" i="54"/>
  <c r="C217" i="53"/>
  <c r="I217" i="53"/>
  <c r="B218" i="53" s="1"/>
  <c r="G217" i="53"/>
  <c r="H217" i="53"/>
  <c r="D217" i="53"/>
  <c r="C217" i="52"/>
  <c r="I217" i="52"/>
  <c r="B218" i="52" s="1"/>
  <c r="G217" i="52"/>
  <c r="H217" i="52"/>
  <c r="D217" i="52"/>
  <c r="I217" i="51"/>
  <c r="B218" i="51" s="1"/>
  <c r="H217" i="51"/>
  <c r="G217" i="51"/>
  <c r="C217" i="51"/>
  <c r="D217" i="51"/>
  <c r="D216" i="50"/>
  <c r="C216" i="50"/>
  <c r="I216" i="50"/>
  <c r="B217" i="50" s="1"/>
  <c r="H216" i="50"/>
  <c r="G216" i="50"/>
  <c r="I216" i="49"/>
  <c r="B217" i="49" s="1"/>
  <c r="H216" i="49"/>
  <c r="G216" i="49"/>
  <c r="D216" i="49"/>
  <c r="C216" i="49"/>
  <c r="I216" i="48"/>
  <c r="B217" i="48" s="1"/>
  <c r="H216" i="48"/>
  <c r="G216" i="48"/>
  <c r="D216" i="48"/>
  <c r="C216" i="48"/>
  <c r="I216" i="47"/>
  <c r="B217" i="47" s="1"/>
  <c r="H216" i="47"/>
  <c r="G216" i="47"/>
  <c r="C216" i="47"/>
  <c r="D216" i="47"/>
  <c r="I165" i="35"/>
  <c r="B166" i="35" s="1"/>
  <c r="C165" i="35"/>
  <c r="G165" i="35"/>
  <c r="D165" i="35"/>
  <c r="H165" i="35"/>
  <c r="I218" i="55" l="1"/>
  <c r="B219" i="55" s="1"/>
  <c r="H218" i="55"/>
  <c r="G218" i="55"/>
  <c r="D218" i="55"/>
  <c r="C218" i="55"/>
  <c r="H218" i="54"/>
  <c r="G218" i="54"/>
  <c r="D218" i="54"/>
  <c r="C218" i="54"/>
  <c r="I218" i="54"/>
  <c r="B219" i="54" s="1"/>
  <c r="G218" i="53"/>
  <c r="D218" i="53"/>
  <c r="I218" i="53"/>
  <c r="B219" i="53" s="1"/>
  <c r="H218" i="53"/>
  <c r="C218" i="53"/>
  <c r="G218" i="52"/>
  <c r="D218" i="52"/>
  <c r="C218" i="52"/>
  <c r="I218" i="52"/>
  <c r="B219" i="52" s="1"/>
  <c r="H218" i="52"/>
  <c r="D218" i="51"/>
  <c r="C218" i="51"/>
  <c r="I218" i="51"/>
  <c r="B219" i="51" s="1"/>
  <c r="H218" i="51"/>
  <c r="G218" i="51"/>
  <c r="H217" i="50"/>
  <c r="G217" i="50"/>
  <c r="D217" i="50"/>
  <c r="C217" i="50"/>
  <c r="I217" i="50"/>
  <c r="B218" i="50" s="1"/>
  <c r="I217" i="49"/>
  <c r="B218" i="49" s="1"/>
  <c r="H217" i="49"/>
  <c r="G217" i="49"/>
  <c r="C217" i="49"/>
  <c r="D217" i="49"/>
  <c r="I217" i="48"/>
  <c r="B218" i="48" s="1"/>
  <c r="H217" i="48"/>
  <c r="G217" i="48"/>
  <c r="C217" i="48"/>
  <c r="D217" i="48"/>
  <c r="I217" i="47"/>
  <c r="B218" i="47" s="1"/>
  <c r="G217" i="47"/>
  <c r="D217" i="47"/>
  <c r="C217" i="47"/>
  <c r="H217" i="47"/>
  <c r="G166" i="35"/>
  <c r="D166" i="35"/>
  <c r="C166" i="35"/>
  <c r="I166" i="35"/>
  <c r="B167" i="35" s="1"/>
  <c r="H166" i="35"/>
  <c r="I219" i="55" l="1"/>
  <c r="B220" i="55" s="1"/>
  <c r="H219" i="55"/>
  <c r="G219" i="55"/>
  <c r="D219" i="55"/>
  <c r="C219" i="55"/>
  <c r="I219" i="54"/>
  <c r="B220" i="54" s="1"/>
  <c r="H219" i="54"/>
  <c r="G219" i="54"/>
  <c r="D219" i="54"/>
  <c r="C219" i="54"/>
  <c r="I219" i="53"/>
  <c r="B220" i="53" s="1"/>
  <c r="H219" i="53"/>
  <c r="D219" i="53"/>
  <c r="C219" i="53"/>
  <c r="G219" i="53"/>
  <c r="I219" i="52"/>
  <c r="B220" i="52" s="1"/>
  <c r="H219" i="52"/>
  <c r="G219" i="52"/>
  <c r="D219" i="52"/>
  <c r="C219" i="52"/>
  <c r="H219" i="51"/>
  <c r="G219" i="51"/>
  <c r="D219" i="51"/>
  <c r="C219" i="51"/>
  <c r="I219" i="51"/>
  <c r="B220" i="51" s="1"/>
  <c r="I218" i="50"/>
  <c r="B219" i="50" s="1"/>
  <c r="H218" i="50"/>
  <c r="G218" i="50"/>
  <c r="D218" i="50"/>
  <c r="C218" i="50"/>
  <c r="C218" i="49"/>
  <c r="I218" i="49"/>
  <c r="B219" i="49" s="1"/>
  <c r="G218" i="49"/>
  <c r="H218" i="49"/>
  <c r="D218" i="49"/>
  <c r="C218" i="48"/>
  <c r="I218" i="48"/>
  <c r="B219" i="48" s="1"/>
  <c r="G218" i="48"/>
  <c r="D218" i="48"/>
  <c r="H218" i="48"/>
  <c r="C218" i="47"/>
  <c r="I218" i="47"/>
  <c r="B219" i="47" s="1"/>
  <c r="H218" i="47"/>
  <c r="G218" i="47"/>
  <c r="D218" i="47"/>
  <c r="I167" i="35"/>
  <c r="B168" i="35" s="1"/>
  <c r="G167" i="35"/>
  <c r="D167" i="35"/>
  <c r="H167" i="35"/>
  <c r="C167" i="35"/>
  <c r="C220" i="55" l="1"/>
  <c r="I220" i="55"/>
  <c r="B221" i="55" s="1"/>
  <c r="H220" i="55"/>
  <c r="G220" i="55"/>
  <c r="D220" i="55"/>
  <c r="I220" i="54"/>
  <c r="B221" i="54" s="1"/>
  <c r="H220" i="54"/>
  <c r="G220" i="54"/>
  <c r="D220" i="54"/>
  <c r="C220" i="54"/>
  <c r="H220" i="53"/>
  <c r="G220" i="53"/>
  <c r="C220" i="53"/>
  <c r="I220" i="53"/>
  <c r="B221" i="53" s="1"/>
  <c r="D220" i="53"/>
  <c r="I220" i="52"/>
  <c r="B221" i="52" s="1"/>
  <c r="H220" i="52"/>
  <c r="G220" i="52"/>
  <c r="C220" i="52"/>
  <c r="D220" i="52"/>
  <c r="I220" i="51"/>
  <c r="B221" i="51" s="1"/>
  <c r="H220" i="51"/>
  <c r="G220" i="51"/>
  <c r="D220" i="51"/>
  <c r="C220" i="51"/>
  <c r="I219" i="50"/>
  <c r="B220" i="50" s="1"/>
  <c r="H219" i="50"/>
  <c r="G219" i="50"/>
  <c r="D219" i="50"/>
  <c r="C219" i="50"/>
  <c r="G219" i="49"/>
  <c r="D219" i="49"/>
  <c r="C219" i="49"/>
  <c r="I219" i="49"/>
  <c r="B220" i="49" s="1"/>
  <c r="H219" i="49"/>
  <c r="G219" i="48"/>
  <c r="D219" i="48"/>
  <c r="C219" i="48"/>
  <c r="I219" i="48"/>
  <c r="B220" i="48" s="1"/>
  <c r="H219" i="48"/>
  <c r="G219" i="47"/>
  <c r="D219" i="47"/>
  <c r="C219" i="47"/>
  <c r="I219" i="47"/>
  <c r="B220" i="47" s="1"/>
  <c r="H219" i="47"/>
  <c r="C168" i="35"/>
  <c r="G168" i="35"/>
  <c r="I168" i="35"/>
  <c r="B169" i="35" s="1"/>
  <c r="D168" i="35"/>
  <c r="H168" i="35"/>
  <c r="G221" i="55" l="1"/>
  <c r="D221" i="55"/>
  <c r="C221" i="55"/>
  <c r="I221" i="55"/>
  <c r="B222" i="55" s="1"/>
  <c r="H221" i="55"/>
  <c r="D221" i="54"/>
  <c r="C221" i="54"/>
  <c r="I221" i="54"/>
  <c r="B222" i="54" s="1"/>
  <c r="H221" i="54"/>
  <c r="G221" i="54"/>
  <c r="C221" i="53"/>
  <c r="I221" i="53"/>
  <c r="B222" i="53" s="1"/>
  <c r="G221" i="53"/>
  <c r="D221" i="53"/>
  <c r="H221" i="53"/>
  <c r="C221" i="52"/>
  <c r="I221" i="52"/>
  <c r="B222" i="52" s="1"/>
  <c r="G221" i="52"/>
  <c r="H221" i="52"/>
  <c r="D221" i="52"/>
  <c r="I221" i="51"/>
  <c r="B222" i="51" s="1"/>
  <c r="H221" i="51"/>
  <c r="G221" i="51"/>
  <c r="D221" i="51"/>
  <c r="C221" i="51"/>
  <c r="D220" i="50"/>
  <c r="C220" i="50"/>
  <c r="I220" i="50"/>
  <c r="B221" i="50" s="1"/>
  <c r="H220" i="50"/>
  <c r="G220" i="50"/>
  <c r="I220" i="49"/>
  <c r="B221" i="49" s="1"/>
  <c r="H220" i="49"/>
  <c r="G220" i="49"/>
  <c r="D220" i="49"/>
  <c r="C220" i="49"/>
  <c r="I220" i="48"/>
  <c r="B221" i="48" s="1"/>
  <c r="H220" i="48"/>
  <c r="G220" i="48"/>
  <c r="D220" i="48"/>
  <c r="C220" i="48"/>
  <c r="I220" i="47"/>
  <c r="B221" i="47" s="1"/>
  <c r="H220" i="47"/>
  <c r="G220" i="47"/>
  <c r="C220" i="47"/>
  <c r="D220" i="47"/>
  <c r="C169" i="35"/>
  <c r="I169" i="35"/>
  <c r="B170" i="35" s="1"/>
  <c r="H169" i="35"/>
  <c r="G169" i="35"/>
  <c r="D169" i="35"/>
  <c r="I222" i="55" l="1"/>
  <c r="B223" i="55" s="1"/>
  <c r="H222" i="55"/>
  <c r="G222" i="55"/>
  <c r="D222" i="55"/>
  <c r="C222" i="55"/>
  <c r="H222" i="54"/>
  <c r="G222" i="54"/>
  <c r="D222" i="54"/>
  <c r="C222" i="54"/>
  <c r="I222" i="54"/>
  <c r="B223" i="54" s="1"/>
  <c r="G222" i="53"/>
  <c r="D222" i="53"/>
  <c r="I222" i="53"/>
  <c r="B223" i="53" s="1"/>
  <c r="C222" i="53"/>
  <c r="H222" i="53"/>
  <c r="G222" i="52"/>
  <c r="D222" i="52"/>
  <c r="C222" i="52"/>
  <c r="I222" i="52"/>
  <c r="B223" i="52" s="1"/>
  <c r="H222" i="52"/>
  <c r="D222" i="51"/>
  <c r="C222" i="51"/>
  <c r="I222" i="51"/>
  <c r="B223" i="51" s="1"/>
  <c r="G222" i="51"/>
  <c r="H222" i="51"/>
  <c r="H221" i="50"/>
  <c r="G221" i="50"/>
  <c r="D221" i="50"/>
  <c r="C221" i="50"/>
  <c r="I221" i="50"/>
  <c r="B222" i="50" s="1"/>
  <c r="I221" i="49"/>
  <c r="B222" i="49" s="1"/>
  <c r="H221" i="49"/>
  <c r="G221" i="49"/>
  <c r="C221" i="49"/>
  <c r="D221" i="49"/>
  <c r="I221" i="48"/>
  <c r="B222" i="48" s="1"/>
  <c r="H221" i="48"/>
  <c r="G221" i="48"/>
  <c r="C221" i="48"/>
  <c r="D221" i="48"/>
  <c r="I221" i="47"/>
  <c r="B222" i="47" s="1"/>
  <c r="G221" i="47"/>
  <c r="H221" i="47"/>
  <c r="D221" i="47"/>
  <c r="C221" i="47"/>
  <c r="G170" i="35"/>
  <c r="D170" i="35"/>
  <c r="C170" i="35"/>
  <c r="H170" i="35"/>
  <c r="I170" i="35"/>
  <c r="B171" i="35" s="1"/>
  <c r="I223" i="55" l="1"/>
  <c r="B224" i="55" s="1"/>
  <c r="H223" i="55"/>
  <c r="G223" i="55"/>
  <c r="D223" i="55"/>
  <c r="C223" i="55"/>
  <c r="I223" i="54"/>
  <c r="B224" i="54" s="1"/>
  <c r="H223" i="54"/>
  <c r="G223" i="54"/>
  <c r="D223" i="54"/>
  <c r="C223" i="54"/>
  <c r="I223" i="53"/>
  <c r="B224" i="53" s="1"/>
  <c r="H223" i="53"/>
  <c r="D223" i="53"/>
  <c r="C223" i="53"/>
  <c r="G223" i="53"/>
  <c r="I223" i="52"/>
  <c r="B224" i="52" s="1"/>
  <c r="H223" i="52"/>
  <c r="G223" i="52"/>
  <c r="D223" i="52"/>
  <c r="C223" i="52"/>
  <c r="H223" i="51"/>
  <c r="G223" i="51"/>
  <c r="D223" i="51"/>
  <c r="C223" i="51"/>
  <c r="I223" i="51"/>
  <c r="B224" i="51" s="1"/>
  <c r="I222" i="50"/>
  <c r="B223" i="50" s="1"/>
  <c r="H222" i="50"/>
  <c r="G222" i="50"/>
  <c r="D222" i="50"/>
  <c r="C222" i="50"/>
  <c r="C222" i="49"/>
  <c r="I222" i="49"/>
  <c r="B223" i="49" s="1"/>
  <c r="G222" i="49"/>
  <c r="H222" i="49"/>
  <c r="D222" i="49"/>
  <c r="C222" i="48"/>
  <c r="I222" i="48"/>
  <c r="B223" i="48" s="1"/>
  <c r="G222" i="48"/>
  <c r="D222" i="48"/>
  <c r="H222" i="48"/>
  <c r="C222" i="47"/>
  <c r="I222" i="47"/>
  <c r="B223" i="47" s="1"/>
  <c r="H222" i="47"/>
  <c r="G222" i="47"/>
  <c r="D222" i="47"/>
  <c r="H171" i="35"/>
  <c r="C171" i="35"/>
  <c r="G171" i="35"/>
  <c r="D171" i="35"/>
  <c r="I171" i="35"/>
  <c r="B172" i="35" s="1"/>
  <c r="C224" i="55" l="1"/>
  <c r="I224" i="55"/>
  <c r="B225" i="55" s="1"/>
  <c r="H224" i="55"/>
  <c r="G224" i="55"/>
  <c r="D224" i="55"/>
  <c r="I224" i="54"/>
  <c r="B225" i="54" s="1"/>
  <c r="H224" i="54"/>
  <c r="G224" i="54"/>
  <c r="D224" i="54"/>
  <c r="C224" i="54"/>
  <c r="H224" i="53"/>
  <c r="G224" i="53"/>
  <c r="C224" i="53"/>
  <c r="I224" i="53"/>
  <c r="B225" i="53" s="1"/>
  <c r="D224" i="53"/>
  <c r="I224" i="52"/>
  <c r="B225" i="52" s="1"/>
  <c r="H224" i="52"/>
  <c r="G224" i="52"/>
  <c r="C224" i="52"/>
  <c r="D224" i="52"/>
  <c r="I224" i="51"/>
  <c r="B225" i="51" s="1"/>
  <c r="H224" i="51"/>
  <c r="G224" i="51"/>
  <c r="D224" i="51"/>
  <c r="C224" i="51"/>
  <c r="I223" i="50"/>
  <c r="B224" i="50" s="1"/>
  <c r="H223" i="50"/>
  <c r="G223" i="50"/>
  <c r="D223" i="50"/>
  <c r="C223" i="50"/>
  <c r="G223" i="49"/>
  <c r="D223" i="49"/>
  <c r="C223" i="49"/>
  <c r="I223" i="49"/>
  <c r="B224" i="49" s="1"/>
  <c r="H223" i="49"/>
  <c r="G223" i="48"/>
  <c r="D223" i="48"/>
  <c r="C223" i="48"/>
  <c r="I223" i="48"/>
  <c r="B224" i="48" s="1"/>
  <c r="H223" i="48"/>
  <c r="G223" i="47"/>
  <c r="D223" i="47"/>
  <c r="C223" i="47"/>
  <c r="I223" i="47"/>
  <c r="B224" i="47" s="1"/>
  <c r="H223" i="47"/>
  <c r="C172" i="35"/>
  <c r="G172" i="35"/>
  <c r="I172" i="35"/>
  <c r="B173" i="35" s="1"/>
  <c r="H172" i="35"/>
  <c r="D172" i="35"/>
  <c r="G225" i="55" l="1"/>
  <c r="D225" i="55"/>
  <c r="C225" i="55"/>
  <c r="I225" i="55"/>
  <c r="B226" i="55" s="1"/>
  <c r="H225" i="55"/>
  <c r="D225" i="54"/>
  <c r="C225" i="54"/>
  <c r="I225" i="54"/>
  <c r="B226" i="54" s="1"/>
  <c r="H225" i="54"/>
  <c r="G225" i="54"/>
  <c r="C225" i="53"/>
  <c r="I225" i="53"/>
  <c r="B226" i="53" s="1"/>
  <c r="G225" i="53"/>
  <c r="H225" i="53"/>
  <c r="D225" i="53"/>
  <c r="C225" i="52"/>
  <c r="I225" i="52"/>
  <c r="B226" i="52" s="1"/>
  <c r="G225" i="52"/>
  <c r="H225" i="52"/>
  <c r="D225" i="52"/>
  <c r="I225" i="51"/>
  <c r="B226" i="51" s="1"/>
  <c r="H225" i="51"/>
  <c r="G225" i="51"/>
  <c r="D225" i="51"/>
  <c r="C225" i="51"/>
  <c r="D224" i="50"/>
  <c r="C224" i="50"/>
  <c r="I224" i="50"/>
  <c r="B225" i="50" s="1"/>
  <c r="H224" i="50"/>
  <c r="G224" i="50"/>
  <c r="I224" i="49"/>
  <c r="B225" i="49" s="1"/>
  <c r="H224" i="49"/>
  <c r="G224" i="49"/>
  <c r="D224" i="49"/>
  <c r="C224" i="49"/>
  <c r="I224" i="48"/>
  <c r="B225" i="48" s="1"/>
  <c r="H224" i="48"/>
  <c r="G224" i="48"/>
  <c r="D224" i="48"/>
  <c r="C224" i="48"/>
  <c r="I224" i="47"/>
  <c r="B225" i="47" s="1"/>
  <c r="H224" i="47"/>
  <c r="G224" i="47"/>
  <c r="C224" i="47"/>
  <c r="D224" i="47"/>
  <c r="I173" i="35"/>
  <c r="B174" i="35" s="1"/>
  <c r="C173" i="35"/>
  <c r="H173" i="35"/>
  <c r="G173" i="35"/>
  <c r="D173" i="35"/>
  <c r="I226" i="55" l="1"/>
  <c r="B227" i="55" s="1"/>
  <c r="H226" i="55"/>
  <c r="G226" i="55"/>
  <c r="D226" i="55"/>
  <c r="C226" i="55"/>
  <c r="H226" i="54"/>
  <c r="G226" i="54"/>
  <c r="D226" i="54"/>
  <c r="C226" i="54"/>
  <c r="I226" i="54"/>
  <c r="B227" i="54" s="1"/>
  <c r="G226" i="53"/>
  <c r="D226" i="53"/>
  <c r="I226" i="53"/>
  <c r="B227" i="53" s="1"/>
  <c r="H226" i="53"/>
  <c r="C226" i="53"/>
  <c r="G226" i="52"/>
  <c r="D226" i="52"/>
  <c r="C226" i="52"/>
  <c r="I226" i="52"/>
  <c r="B227" i="52" s="1"/>
  <c r="H226" i="52"/>
  <c r="D226" i="51"/>
  <c r="C226" i="51"/>
  <c r="I226" i="51"/>
  <c r="B227" i="51" s="1"/>
  <c r="H226" i="51"/>
  <c r="G226" i="51"/>
  <c r="H225" i="50"/>
  <c r="G225" i="50"/>
  <c r="D225" i="50"/>
  <c r="C225" i="50"/>
  <c r="I225" i="50"/>
  <c r="B226" i="50" s="1"/>
  <c r="I225" i="49"/>
  <c r="B226" i="49" s="1"/>
  <c r="H225" i="49"/>
  <c r="G225" i="49"/>
  <c r="C225" i="49"/>
  <c r="D225" i="49"/>
  <c r="I225" i="48"/>
  <c r="B226" i="48" s="1"/>
  <c r="H225" i="48"/>
  <c r="G225" i="48"/>
  <c r="C225" i="48"/>
  <c r="D225" i="48"/>
  <c r="I225" i="47"/>
  <c r="B226" i="47" s="1"/>
  <c r="G225" i="47"/>
  <c r="D225" i="47"/>
  <c r="C225" i="47"/>
  <c r="H225" i="47"/>
  <c r="D174" i="35"/>
  <c r="G174" i="35"/>
  <c r="C174" i="35"/>
  <c r="H174" i="35"/>
  <c r="I174" i="35"/>
  <c r="B175" i="35" s="1"/>
  <c r="I227" i="55" l="1"/>
  <c r="B228" i="55" s="1"/>
  <c r="H227" i="55"/>
  <c r="G227" i="55"/>
  <c r="D227" i="55"/>
  <c r="C227" i="55"/>
  <c r="I227" i="54"/>
  <c r="B228" i="54" s="1"/>
  <c r="H227" i="54"/>
  <c r="G227" i="54"/>
  <c r="D227" i="54"/>
  <c r="C227" i="54"/>
  <c r="I227" i="53"/>
  <c r="B228" i="53" s="1"/>
  <c r="H227" i="53"/>
  <c r="D227" i="53"/>
  <c r="C227" i="53"/>
  <c r="G227" i="53"/>
  <c r="I227" i="52"/>
  <c r="B228" i="52" s="1"/>
  <c r="H227" i="52"/>
  <c r="G227" i="52"/>
  <c r="D227" i="52"/>
  <c r="C227" i="52"/>
  <c r="H227" i="51"/>
  <c r="G227" i="51"/>
  <c r="D227" i="51"/>
  <c r="C227" i="51"/>
  <c r="I227" i="51"/>
  <c r="B228" i="51" s="1"/>
  <c r="I226" i="50"/>
  <c r="B227" i="50" s="1"/>
  <c r="H226" i="50"/>
  <c r="G226" i="50"/>
  <c r="D226" i="50"/>
  <c r="C226" i="50"/>
  <c r="C226" i="49"/>
  <c r="I226" i="49"/>
  <c r="B227" i="49" s="1"/>
  <c r="G226" i="49"/>
  <c r="H226" i="49"/>
  <c r="D226" i="49"/>
  <c r="C226" i="48"/>
  <c r="I226" i="48"/>
  <c r="B227" i="48" s="1"/>
  <c r="G226" i="48"/>
  <c r="D226" i="48"/>
  <c r="H226" i="48"/>
  <c r="C226" i="47"/>
  <c r="I226" i="47"/>
  <c r="B227" i="47" s="1"/>
  <c r="H226" i="47"/>
  <c r="G226" i="47"/>
  <c r="D226" i="47"/>
  <c r="H175" i="35"/>
  <c r="G175" i="35"/>
  <c r="I175" i="35"/>
  <c r="B176" i="35" s="1"/>
  <c r="C175" i="35"/>
  <c r="D175" i="35"/>
  <c r="C228" i="55" l="1"/>
  <c r="I228" i="55"/>
  <c r="B229" i="55" s="1"/>
  <c r="H228" i="55"/>
  <c r="G228" i="55"/>
  <c r="D228" i="55"/>
  <c r="I228" i="54"/>
  <c r="B229" i="54" s="1"/>
  <c r="H228" i="54"/>
  <c r="G228" i="54"/>
  <c r="D228" i="54"/>
  <c r="C228" i="54"/>
  <c r="H228" i="53"/>
  <c r="G228" i="53"/>
  <c r="C228" i="53"/>
  <c r="D228" i="53"/>
  <c r="I228" i="53"/>
  <c r="B229" i="53" s="1"/>
  <c r="I228" i="52"/>
  <c r="B229" i="52" s="1"/>
  <c r="H228" i="52"/>
  <c r="G228" i="52"/>
  <c r="C228" i="52"/>
  <c r="D228" i="52"/>
  <c r="I228" i="51"/>
  <c r="B229" i="51" s="1"/>
  <c r="H228" i="51"/>
  <c r="G228" i="51"/>
  <c r="D228" i="51"/>
  <c r="C228" i="51"/>
  <c r="I227" i="50"/>
  <c r="B228" i="50" s="1"/>
  <c r="H227" i="50"/>
  <c r="G227" i="50"/>
  <c r="D227" i="50"/>
  <c r="C227" i="50"/>
  <c r="G227" i="49"/>
  <c r="D227" i="49"/>
  <c r="C227" i="49"/>
  <c r="I227" i="49"/>
  <c r="B228" i="49" s="1"/>
  <c r="H227" i="49"/>
  <c r="G227" i="48"/>
  <c r="D227" i="48"/>
  <c r="C227" i="48"/>
  <c r="I227" i="48"/>
  <c r="B228" i="48" s="1"/>
  <c r="H227" i="48"/>
  <c r="G227" i="47"/>
  <c r="D227" i="47"/>
  <c r="C227" i="47"/>
  <c r="I227" i="47"/>
  <c r="B228" i="47" s="1"/>
  <c r="H227" i="47"/>
  <c r="C176" i="35"/>
  <c r="G176" i="35"/>
  <c r="I176" i="35"/>
  <c r="B177" i="35" s="1"/>
  <c r="D176" i="35"/>
  <c r="H176" i="35"/>
  <c r="G229" i="55" l="1"/>
  <c r="D229" i="55"/>
  <c r="C229" i="55"/>
  <c r="I229" i="55"/>
  <c r="B230" i="55" s="1"/>
  <c r="H229" i="55"/>
  <c r="D229" i="54"/>
  <c r="C229" i="54"/>
  <c r="I229" i="54"/>
  <c r="B230" i="54" s="1"/>
  <c r="H229" i="54"/>
  <c r="G229" i="54"/>
  <c r="C229" i="53"/>
  <c r="I229" i="53"/>
  <c r="B230" i="53" s="1"/>
  <c r="G229" i="53"/>
  <c r="D229" i="53"/>
  <c r="H229" i="53"/>
  <c r="C229" i="52"/>
  <c r="I229" i="52"/>
  <c r="B230" i="52" s="1"/>
  <c r="G229" i="52"/>
  <c r="H229" i="52"/>
  <c r="D229" i="52"/>
  <c r="I229" i="51"/>
  <c r="B230" i="51" s="1"/>
  <c r="H229" i="51"/>
  <c r="G229" i="51"/>
  <c r="D229" i="51"/>
  <c r="C229" i="51"/>
  <c r="D228" i="50"/>
  <c r="C228" i="50"/>
  <c r="I228" i="50"/>
  <c r="B229" i="50" s="1"/>
  <c r="H228" i="50"/>
  <c r="G228" i="50"/>
  <c r="I228" i="49"/>
  <c r="B229" i="49" s="1"/>
  <c r="H228" i="49"/>
  <c r="G228" i="49"/>
  <c r="D228" i="49"/>
  <c r="C228" i="49"/>
  <c r="I228" i="48"/>
  <c r="B229" i="48" s="1"/>
  <c r="H228" i="48"/>
  <c r="G228" i="48"/>
  <c r="D228" i="48"/>
  <c r="C228" i="48"/>
  <c r="I228" i="47"/>
  <c r="B229" i="47" s="1"/>
  <c r="H228" i="47"/>
  <c r="G228" i="47"/>
  <c r="C228" i="47"/>
  <c r="D228" i="47"/>
  <c r="I177" i="35"/>
  <c r="B178" i="35" s="1"/>
  <c r="C177" i="35"/>
  <c r="H177" i="35"/>
  <c r="G177" i="35"/>
  <c r="D177" i="35"/>
  <c r="I230" i="55" l="1"/>
  <c r="B231" i="55" s="1"/>
  <c r="H230" i="55"/>
  <c r="G230" i="55"/>
  <c r="D230" i="55"/>
  <c r="C230" i="55"/>
  <c r="H230" i="54"/>
  <c r="G230" i="54"/>
  <c r="D230" i="54"/>
  <c r="C230" i="54"/>
  <c r="I230" i="54"/>
  <c r="B231" i="54" s="1"/>
  <c r="G230" i="53"/>
  <c r="D230" i="53"/>
  <c r="I230" i="53"/>
  <c r="B231" i="53" s="1"/>
  <c r="H230" i="53"/>
  <c r="C230" i="53"/>
  <c r="G230" i="52"/>
  <c r="D230" i="52"/>
  <c r="C230" i="52"/>
  <c r="I230" i="52"/>
  <c r="B231" i="52" s="1"/>
  <c r="H230" i="52"/>
  <c r="D230" i="51"/>
  <c r="C230" i="51"/>
  <c r="I230" i="51"/>
  <c r="B231" i="51" s="1"/>
  <c r="H230" i="51"/>
  <c r="G230" i="51"/>
  <c r="H229" i="50"/>
  <c r="G229" i="50"/>
  <c r="D229" i="50"/>
  <c r="C229" i="50"/>
  <c r="I229" i="50"/>
  <c r="B230" i="50" s="1"/>
  <c r="I229" i="49"/>
  <c r="B230" i="49" s="1"/>
  <c r="H229" i="49"/>
  <c r="G229" i="49"/>
  <c r="C229" i="49"/>
  <c r="D229" i="49"/>
  <c r="I229" i="48"/>
  <c r="B230" i="48" s="1"/>
  <c r="H229" i="48"/>
  <c r="G229" i="48"/>
  <c r="C229" i="48"/>
  <c r="D229" i="48"/>
  <c r="I229" i="47"/>
  <c r="B230" i="47" s="1"/>
  <c r="G229" i="47"/>
  <c r="H229" i="47"/>
  <c r="D229" i="47"/>
  <c r="C229" i="47"/>
  <c r="G178" i="35"/>
  <c r="D178" i="35"/>
  <c r="C178" i="35"/>
  <c r="H178" i="35"/>
  <c r="I178" i="35"/>
  <c r="B179" i="35" s="1"/>
  <c r="I231" i="55" l="1"/>
  <c r="B232" i="55" s="1"/>
  <c r="H231" i="55"/>
  <c r="G231" i="55"/>
  <c r="D231" i="55"/>
  <c r="C231" i="55"/>
  <c r="I231" i="54"/>
  <c r="B232" i="54" s="1"/>
  <c r="H231" i="54"/>
  <c r="G231" i="54"/>
  <c r="D231" i="54"/>
  <c r="C231" i="54"/>
  <c r="I231" i="53"/>
  <c r="B232" i="53" s="1"/>
  <c r="H231" i="53"/>
  <c r="G231" i="53"/>
  <c r="D231" i="53"/>
  <c r="C231" i="53"/>
  <c r="I231" i="52"/>
  <c r="B232" i="52" s="1"/>
  <c r="H231" i="52"/>
  <c r="G231" i="52"/>
  <c r="D231" i="52"/>
  <c r="C231" i="52"/>
  <c r="H231" i="51"/>
  <c r="G231" i="51"/>
  <c r="D231" i="51"/>
  <c r="C231" i="51"/>
  <c r="I231" i="51"/>
  <c r="B232" i="51" s="1"/>
  <c r="I230" i="50"/>
  <c r="B231" i="50" s="1"/>
  <c r="H230" i="50"/>
  <c r="G230" i="50"/>
  <c r="D230" i="50"/>
  <c r="C230" i="50"/>
  <c r="C230" i="49"/>
  <c r="I230" i="49"/>
  <c r="B231" i="49" s="1"/>
  <c r="G230" i="49"/>
  <c r="H230" i="49"/>
  <c r="D230" i="49"/>
  <c r="C230" i="48"/>
  <c r="I230" i="48"/>
  <c r="B231" i="48" s="1"/>
  <c r="G230" i="48"/>
  <c r="D230" i="48"/>
  <c r="H230" i="48"/>
  <c r="C230" i="47"/>
  <c r="I230" i="47"/>
  <c r="B231" i="47" s="1"/>
  <c r="H230" i="47"/>
  <c r="G230" i="47"/>
  <c r="D230" i="47"/>
  <c r="H179" i="35"/>
  <c r="C179" i="35"/>
  <c r="G179" i="35"/>
  <c r="D179" i="35"/>
  <c r="I179" i="35"/>
  <c r="B180" i="35" s="1"/>
  <c r="C232" i="55" l="1"/>
  <c r="I232" i="55"/>
  <c r="B233" i="55" s="1"/>
  <c r="H232" i="55"/>
  <c r="G232" i="55"/>
  <c r="D232" i="55"/>
  <c r="I232" i="54"/>
  <c r="B233" i="54" s="1"/>
  <c r="H232" i="54"/>
  <c r="G232" i="54"/>
  <c r="C232" i="54"/>
  <c r="D232" i="54"/>
  <c r="I232" i="53"/>
  <c r="B233" i="53" s="1"/>
  <c r="H232" i="53"/>
  <c r="G232" i="53"/>
  <c r="C232" i="53"/>
  <c r="D232" i="53"/>
  <c r="I232" i="52"/>
  <c r="B233" i="52" s="1"/>
  <c r="H232" i="52"/>
  <c r="G232" i="52"/>
  <c r="C232" i="52"/>
  <c r="D232" i="52"/>
  <c r="I232" i="51"/>
  <c r="B233" i="51" s="1"/>
  <c r="H232" i="51"/>
  <c r="G232" i="51"/>
  <c r="D232" i="51"/>
  <c r="C232" i="51"/>
  <c r="I231" i="50"/>
  <c r="B232" i="50" s="1"/>
  <c r="H231" i="50"/>
  <c r="G231" i="50"/>
  <c r="D231" i="50"/>
  <c r="C231" i="50"/>
  <c r="G231" i="49"/>
  <c r="D231" i="49"/>
  <c r="C231" i="49"/>
  <c r="I231" i="49"/>
  <c r="B232" i="49" s="1"/>
  <c r="H231" i="49"/>
  <c r="G231" i="48"/>
  <c r="D231" i="48"/>
  <c r="C231" i="48"/>
  <c r="I231" i="48"/>
  <c r="B232" i="48" s="1"/>
  <c r="H231" i="48"/>
  <c r="G231" i="47"/>
  <c r="D231" i="47"/>
  <c r="C231" i="47"/>
  <c r="I231" i="47"/>
  <c r="B232" i="47" s="1"/>
  <c r="H231" i="47"/>
  <c r="C180" i="35"/>
  <c r="G180" i="35"/>
  <c r="D180" i="35"/>
  <c r="I180" i="35"/>
  <c r="B181" i="35" s="1"/>
  <c r="H180" i="35"/>
  <c r="G233" i="55" l="1"/>
  <c r="D233" i="55"/>
  <c r="C233" i="55"/>
  <c r="I233" i="55"/>
  <c r="B234" i="55" s="1"/>
  <c r="H233" i="55"/>
  <c r="D233" i="54"/>
  <c r="C233" i="54"/>
  <c r="I233" i="54"/>
  <c r="B234" i="54" s="1"/>
  <c r="H233" i="54"/>
  <c r="G233" i="54"/>
  <c r="C233" i="53"/>
  <c r="I233" i="53"/>
  <c r="B234" i="53" s="1"/>
  <c r="G233" i="53"/>
  <c r="H233" i="53"/>
  <c r="D233" i="53"/>
  <c r="C233" i="52"/>
  <c r="I233" i="52"/>
  <c r="B234" i="52" s="1"/>
  <c r="G233" i="52"/>
  <c r="H233" i="52"/>
  <c r="D233" i="52"/>
  <c r="I233" i="51"/>
  <c r="B234" i="51" s="1"/>
  <c r="H233" i="51"/>
  <c r="G233" i="51"/>
  <c r="D233" i="51"/>
  <c r="C233" i="51"/>
  <c r="C232" i="50"/>
  <c r="I232" i="50"/>
  <c r="B233" i="50" s="1"/>
  <c r="H232" i="50"/>
  <c r="G232" i="50"/>
  <c r="D232" i="50"/>
  <c r="I232" i="49"/>
  <c r="B233" i="49" s="1"/>
  <c r="H232" i="49"/>
  <c r="G232" i="49"/>
  <c r="D232" i="49"/>
  <c r="C232" i="49"/>
  <c r="I232" i="48"/>
  <c r="B233" i="48" s="1"/>
  <c r="H232" i="48"/>
  <c r="G232" i="48"/>
  <c r="D232" i="48"/>
  <c r="C232" i="48"/>
  <c r="I232" i="47"/>
  <c r="B233" i="47" s="1"/>
  <c r="H232" i="47"/>
  <c r="G232" i="47"/>
  <c r="C232" i="47"/>
  <c r="D232" i="47"/>
  <c r="C181" i="35"/>
  <c r="I181" i="35"/>
  <c r="B182" i="35" s="1"/>
  <c r="H181" i="35"/>
  <c r="G181" i="35"/>
  <c r="D181" i="35"/>
  <c r="I234" i="55" l="1"/>
  <c r="B235" i="55" s="1"/>
  <c r="H234" i="55"/>
  <c r="G234" i="55"/>
  <c r="D234" i="55"/>
  <c r="C234" i="55"/>
  <c r="H234" i="54"/>
  <c r="G234" i="54"/>
  <c r="D234" i="54"/>
  <c r="C234" i="54"/>
  <c r="I234" i="54"/>
  <c r="B235" i="54" s="1"/>
  <c r="G234" i="53"/>
  <c r="D234" i="53"/>
  <c r="C234" i="53"/>
  <c r="I234" i="53"/>
  <c r="B235" i="53" s="1"/>
  <c r="H234" i="53"/>
  <c r="G234" i="52"/>
  <c r="D234" i="52"/>
  <c r="C234" i="52"/>
  <c r="I234" i="52"/>
  <c r="B235" i="52" s="1"/>
  <c r="H234" i="52"/>
  <c r="D234" i="51"/>
  <c r="C234" i="51"/>
  <c r="I234" i="51"/>
  <c r="B235" i="51" s="1"/>
  <c r="H234" i="51"/>
  <c r="G234" i="51"/>
  <c r="G233" i="50"/>
  <c r="D233" i="50"/>
  <c r="C233" i="50"/>
  <c r="I233" i="50"/>
  <c r="B234" i="50" s="1"/>
  <c r="H233" i="50"/>
  <c r="I233" i="49"/>
  <c r="B234" i="49" s="1"/>
  <c r="H233" i="49"/>
  <c r="G233" i="49"/>
  <c r="C233" i="49"/>
  <c r="D233" i="49"/>
  <c r="I233" i="48"/>
  <c r="B234" i="48" s="1"/>
  <c r="H233" i="48"/>
  <c r="G233" i="48"/>
  <c r="C233" i="48"/>
  <c r="D233" i="48"/>
  <c r="I233" i="47"/>
  <c r="B234" i="47" s="1"/>
  <c r="G233" i="47"/>
  <c r="D233" i="47"/>
  <c r="C233" i="47"/>
  <c r="H233" i="47"/>
  <c r="G182" i="35"/>
  <c r="D182" i="35"/>
  <c r="C182" i="35"/>
  <c r="H182" i="35"/>
  <c r="I182" i="35"/>
  <c r="B183" i="35" s="1"/>
  <c r="I235" i="55" l="1"/>
  <c r="B236" i="55" s="1"/>
  <c r="H235" i="55"/>
  <c r="G235" i="55"/>
  <c r="D235" i="55"/>
  <c r="C235" i="55"/>
  <c r="I235" i="54"/>
  <c r="B236" i="54" s="1"/>
  <c r="H235" i="54"/>
  <c r="G235" i="54"/>
  <c r="D235" i="54"/>
  <c r="C235" i="54"/>
  <c r="I235" i="53"/>
  <c r="B236" i="53" s="1"/>
  <c r="H235" i="53"/>
  <c r="G235" i="53"/>
  <c r="D235" i="53"/>
  <c r="C235" i="53"/>
  <c r="I235" i="52"/>
  <c r="B236" i="52" s="1"/>
  <c r="H235" i="52"/>
  <c r="G235" i="52"/>
  <c r="D235" i="52"/>
  <c r="C235" i="52"/>
  <c r="H235" i="51"/>
  <c r="G235" i="51"/>
  <c r="D235" i="51"/>
  <c r="C235" i="51"/>
  <c r="I235" i="51"/>
  <c r="B236" i="51" s="1"/>
  <c r="I234" i="50"/>
  <c r="B235" i="50" s="1"/>
  <c r="H234" i="50"/>
  <c r="G234" i="50"/>
  <c r="D234" i="50"/>
  <c r="C234" i="50"/>
  <c r="C234" i="49"/>
  <c r="I234" i="49"/>
  <c r="B235" i="49" s="1"/>
  <c r="G234" i="49"/>
  <c r="H234" i="49"/>
  <c r="D234" i="49"/>
  <c r="C234" i="48"/>
  <c r="I234" i="48"/>
  <c r="B235" i="48" s="1"/>
  <c r="G234" i="48"/>
  <c r="D234" i="48"/>
  <c r="H234" i="48"/>
  <c r="C234" i="47"/>
  <c r="I234" i="47"/>
  <c r="B235" i="47" s="1"/>
  <c r="H234" i="47"/>
  <c r="G234" i="47"/>
  <c r="D234" i="47"/>
  <c r="C183" i="35"/>
  <c r="I183" i="35"/>
  <c r="B184" i="35" s="1"/>
  <c r="G183" i="35"/>
  <c r="H183" i="35"/>
  <c r="D183" i="35"/>
  <c r="C236" i="55" l="1"/>
  <c r="I236" i="55"/>
  <c r="B237" i="55" s="1"/>
  <c r="H236" i="55"/>
  <c r="G236" i="55"/>
  <c r="D236" i="55"/>
  <c r="I236" i="54"/>
  <c r="B237" i="54" s="1"/>
  <c r="H236" i="54"/>
  <c r="G236" i="54"/>
  <c r="D236" i="54"/>
  <c r="C236" i="54"/>
  <c r="I236" i="53"/>
  <c r="B237" i="53" s="1"/>
  <c r="H236" i="53"/>
  <c r="G236" i="53"/>
  <c r="C236" i="53"/>
  <c r="D236" i="53"/>
  <c r="I236" i="52"/>
  <c r="B237" i="52" s="1"/>
  <c r="H236" i="52"/>
  <c r="G236" i="52"/>
  <c r="C236" i="52"/>
  <c r="D236" i="52"/>
  <c r="I236" i="51"/>
  <c r="B237" i="51" s="1"/>
  <c r="H236" i="51"/>
  <c r="G236" i="51"/>
  <c r="D236" i="51"/>
  <c r="C236" i="51"/>
  <c r="I235" i="50"/>
  <c r="B236" i="50" s="1"/>
  <c r="H235" i="50"/>
  <c r="G235" i="50"/>
  <c r="D235" i="50"/>
  <c r="C235" i="50"/>
  <c r="G235" i="49"/>
  <c r="D235" i="49"/>
  <c r="C235" i="49"/>
  <c r="I235" i="49"/>
  <c r="B236" i="49" s="1"/>
  <c r="H235" i="49"/>
  <c r="G235" i="48"/>
  <c r="D235" i="48"/>
  <c r="C235" i="48"/>
  <c r="I235" i="48"/>
  <c r="B236" i="48" s="1"/>
  <c r="H235" i="48"/>
  <c r="G235" i="47"/>
  <c r="D235" i="47"/>
  <c r="C235" i="47"/>
  <c r="I235" i="47"/>
  <c r="B236" i="47" s="1"/>
  <c r="H235" i="47"/>
  <c r="C184" i="35"/>
  <c r="D184" i="35"/>
  <c r="G184" i="35"/>
  <c r="H184" i="35"/>
  <c r="I184" i="35"/>
  <c r="B185" i="35" s="1"/>
  <c r="G237" i="55" l="1"/>
  <c r="D237" i="55"/>
  <c r="C237" i="55"/>
  <c r="I237" i="55"/>
  <c r="B238" i="55" s="1"/>
  <c r="H237" i="55"/>
  <c r="D237" i="54"/>
  <c r="C237" i="54"/>
  <c r="I237" i="54"/>
  <c r="B238" i="54" s="1"/>
  <c r="H237" i="54"/>
  <c r="G237" i="54"/>
  <c r="C237" i="53"/>
  <c r="I237" i="53"/>
  <c r="B238" i="53" s="1"/>
  <c r="G237" i="53"/>
  <c r="H237" i="53"/>
  <c r="D237" i="53"/>
  <c r="C237" i="52"/>
  <c r="I237" i="52"/>
  <c r="B238" i="52" s="1"/>
  <c r="G237" i="52"/>
  <c r="H237" i="52"/>
  <c r="D237" i="52"/>
  <c r="I237" i="51"/>
  <c r="B238" i="51" s="1"/>
  <c r="H237" i="51"/>
  <c r="G237" i="51"/>
  <c r="D237" i="51"/>
  <c r="C237" i="51"/>
  <c r="C236" i="50"/>
  <c r="I236" i="50"/>
  <c r="B237" i="50" s="1"/>
  <c r="H236" i="50"/>
  <c r="G236" i="50"/>
  <c r="D236" i="50"/>
  <c r="I236" i="49"/>
  <c r="B237" i="49" s="1"/>
  <c r="H236" i="49"/>
  <c r="G236" i="49"/>
  <c r="D236" i="49"/>
  <c r="C236" i="49"/>
  <c r="I236" i="48"/>
  <c r="B237" i="48" s="1"/>
  <c r="H236" i="48"/>
  <c r="G236" i="48"/>
  <c r="D236" i="48"/>
  <c r="C236" i="48"/>
  <c r="I236" i="47"/>
  <c r="B237" i="47" s="1"/>
  <c r="H236" i="47"/>
  <c r="G236" i="47"/>
  <c r="C236" i="47"/>
  <c r="D236" i="47"/>
  <c r="I185" i="35"/>
  <c r="B186" i="35" s="1"/>
  <c r="C185" i="35"/>
  <c r="H185" i="35"/>
  <c r="D185" i="35"/>
  <c r="G185" i="35"/>
  <c r="I238" i="55" l="1"/>
  <c r="B239" i="55" s="1"/>
  <c r="H238" i="55"/>
  <c r="G238" i="55"/>
  <c r="D238" i="55"/>
  <c r="C238" i="55"/>
  <c r="H238" i="54"/>
  <c r="G238" i="54"/>
  <c r="D238" i="54"/>
  <c r="C238" i="54"/>
  <c r="I238" i="54"/>
  <c r="B239" i="54" s="1"/>
  <c r="G238" i="53"/>
  <c r="D238" i="53"/>
  <c r="C238" i="53"/>
  <c r="I238" i="53"/>
  <c r="B239" i="53" s="1"/>
  <c r="H238" i="53"/>
  <c r="G238" i="52"/>
  <c r="D238" i="52"/>
  <c r="C238" i="52"/>
  <c r="I238" i="52"/>
  <c r="B239" i="52" s="1"/>
  <c r="H238" i="52"/>
  <c r="D238" i="51"/>
  <c r="C238" i="51"/>
  <c r="I238" i="51"/>
  <c r="B239" i="51" s="1"/>
  <c r="H238" i="51"/>
  <c r="G238" i="51"/>
  <c r="G237" i="50"/>
  <c r="D237" i="50"/>
  <c r="C237" i="50"/>
  <c r="I237" i="50"/>
  <c r="B238" i="50" s="1"/>
  <c r="H237" i="50"/>
  <c r="I237" i="49"/>
  <c r="B238" i="49" s="1"/>
  <c r="H237" i="49"/>
  <c r="G237" i="49"/>
  <c r="C237" i="49"/>
  <c r="D237" i="49"/>
  <c r="I237" i="48"/>
  <c r="B238" i="48" s="1"/>
  <c r="H237" i="48"/>
  <c r="G237" i="48"/>
  <c r="C237" i="48"/>
  <c r="D237" i="48"/>
  <c r="I237" i="47"/>
  <c r="B238" i="47" s="1"/>
  <c r="G237" i="47"/>
  <c r="H237" i="47"/>
  <c r="D237" i="47"/>
  <c r="C237" i="47"/>
  <c r="G186" i="35"/>
  <c r="D186" i="35"/>
  <c r="C186" i="35"/>
  <c r="I186" i="35"/>
  <c r="B187" i="35" s="1"/>
  <c r="H186" i="35"/>
  <c r="I239" i="55" l="1"/>
  <c r="B240" i="55" s="1"/>
  <c r="H239" i="55"/>
  <c r="G239" i="55"/>
  <c r="D239" i="55"/>
  <c r="C239" i="55"/>
  <c r="I239" i="54"/>
  <c r="B240" i="54" s="1"/>
  <c r="H239" i="54"/>
  <c r="G239" i="54"/>
  <c r="D239" i="54"/>
  <c r="C239" i="54"/>
  <c r="I239" i="53"/>
  <c r="B240" i="53" s="1"/>
  <c r="H239" i="53"/>
  <c r="G239" i="53"/>
  <c r="D239" i="53"/>
  <c r="C239" i="53"/>
  <c r="I239" i="52"/>
  <c r="B240" i="52" s="1"/>
  <c r="H239" i="52"/>
  <c r="G239" i="52"/>
  <c r="D239" i="52"/>
  <c r="C239" i="52"/>
  <c r="H239" i="51"/>
  <c r="G239" i="51"/>
  <c r="D239" i="51"/>
  <c r="C239" i="51"/>
  <c r="I239" i="51"/>
  <c r="B240" i="51" s="1"/>
  <c r="I238" i="50"/>
  <c r="B239" i="50" s="1"/>
  <c r="H238" i="50"/>
  <c r="G238" i="50"/>
  <c r="D238" i="50"/>
  <c r="C238" i="50"/>
  <c r="C238" i="49"/>
  <c r="I238" i="49"/>
  <c r="B239" i="49" s="1"/>
  <c r="G238" i="49"/>
  <c r="H238" i="49"/>
  <c r="D238" i="49"/>
  <c r="C238" i="48"/>
  <c r="I238" i="48"/>
  <c r="B239" i="48" s="1"/>
  <c r="G238" i="48"/>
  <c r="D238" i="48"/>
  <c r="H238" i="48"/>
  <c r="C238" i="47"/>
  <c r="I238" i="47"/>
  <c r="B239" i="47" s="1"/>
  <c r="H238" i="47"/>
  <c r="G238" i="47"/>
  <c r="D238" i="47"/>
  <c r="C187" i="35"/>
  <c r="H187" i="35"/>
  <c r="G187" i="35"/>
  <c r="I187" i="35"/>
  <c r="B188" i="35" s="1"/>
  <c r="D187" i="35"/>
  <c r="C240" i="55" l="1"/>
  <c r="I240" i="55"/>
  <c r="B241" i="55" s="1"/>
  <c r="H240" i="55"/>
  <c r="G240" i="55"/>
  <c r="D240" i="55"/>
  <c r="I240" i="54"/>
  <c r="B241" i="54" s="1"/>
  <c r="H240" i="54"/>
  <c r="G240" i="54"/>
  <c r="D240" i="54"/>
  <c r="C240" i="54"/>
  <c r="I240" i="53"/>
  <c r="B241" i="53" s="1"/>
  <c r="H240" i="53"/>
  <c r="G240" i="53"/>
  <c r="C240" i="53"/>
  <c r="D240" i="53"/>
  <c r="I240" i="52"/>
  <c r="B241" i="52" s="1"/>
  <c r="H240" i="52"/>
  <c r="G240" i="52"/>
  <c r="C240" i="52"/>
  <c r="D240" i="52"/>
  <c r="I240" i="51"/>
  <c r="B241" i="51" s="1"/>
  <c r="H240" i="51"/>
  <c r="G240" i="51"/>
  <c r="D240" i="51"/>
  <c r="C240" i="51"/>
  <c r="I239" i="50"/>
  <c r="B240" i="50" s="1"/>
  <c r="H239" i="50"/>
  <c r="G239" i="50"/>
  <c r="D239" i="50"/>
  <c r="C239" i="50"/>
  <c r="G239" i="49"/>
  <c r="D239" i="49"/>
  <c r="C239" i="49"/>
  <c r="I239" i="49"/>
  <c r="B240" i="49" s="1"/>
  <c r="H239" i="49"/>
  <c r="G239" i="48"/>
  <c r="D239" i="48"/>
  <c r="C239" i="48"/>
  <c r="I239" i="48"/>
  <c r="B240" i="48" s="1"/>
  <c r="H239" i="48"/>
  <c r="G239" i="47"/>
  <c r="D239" i="47"/>
  <c r="C239" i="47"/>
  <c r="I239" i="47"/>
  <c r="B240" i="47" s="1"/>
  <c r="H239" i="47"/>
  <c r="C188" i="35"/>
  <c r="G188" i="35"/>
  <c r="I188" i="35"/>
  <c r="B189" i="35" s="1"/>
  <c r="D188" i="35"/>
  <c r="H188" i="35"/>
  <c r="G241" i="55" l="1"/>
  <c r="D241" i="55"/>
  <c r="C241" i="55"/>
  <c r="I241" i="55"/>
  <c r="B242" i="55" s="1"/>
  <c r="H241" i="55"/>
  <c r="D241" i="54"/>
  <c r="C241" i="54"/>
  <c r="I241" i="54"/>
  <c r="B242" i="54" s="1"/>
  <c r="H241" i="54"/>
  <c r="G241" i="54"/>
  <c r="C241" i="53"/>
  <c r="I241" i="53"/>
  <c r="B242" i="53" s="1"/>
  <c r="G241" i="53"/>
  <c r="H241" i="53"/>
  <c r="D241" i="53"/>
  <c r="C241" i="52"/>
  <c r="I241" i="52"/>
  <c r="B242" i="52" s="1"/>
  <c r="G241" i="52"/>
  <c r="H241" i="52"/>
  <c r="D241" i="52"/>
  <c r="I241" i="51"/>
  <c r="B242" i="51" s="1"/>
  <c r="H241" i="51"/>
  <c r="G241" i="51"/>
  <c r="D241" i="51"/>
  <c r="C241" i="51"/>
  <c r="C240" i="50"/>
  <c r="I240" i="50"/>
  <c r="B241" i="50" s="1"/>
  <c r="H240" i="50"/>
  <c r="G240" i="50"/>
  <c r="D240" i="50"/>
  <c r="I240" i="49"/>
  <c r="B241" i="49" s="1"/>
  <c r="H240" i="49"/>
  <c r="G240" i="49"/>
  <c r="D240" i="49"/>
  <c r="C240" i="49"/>
  <c r="I240" i="48"/>
  <c r="B241" i="48" s="1"/>
  <c r="H240" i="48"/>
  <c r="G240" i="48"/>
  <c r="D240" i="48"/>
  <c r="C240" i="48"/>
  <c r="G240" i="47"/>
  <c r="I240" i="47"/>
  <c r="B241" i="47" s="1"/>
  <c r="H240" i="47"/>
  <c r="C240" i="47"/>
  <c r="D240" i="47"/>
  <c r="I189" i="35"/>
  <c r="B190" i="35" s="1"/>
  <c r="C189" i="35"/>
  <c r="H189" i="35"/>
  <c r="D189" i="35"/>
  <c r="G189" i="35"/>
  <c r="I242" i="55" l="1"/>
  <c r="B243" i="55" s="1"/>
  <c r="H242" i="55"/>
  <c r="G242" i="55"/>
  <c r="D242" i="55"/>
  <c r="C242" i="55"/>
  <c r="H242" i="54"/>
  <c r="G242" i="54"/>
  <c r="D242" i="54"/>
  <c r="C242" i="54"/>
  <c r="I242" i="54"/>
  <c r="B243" i="54" s="1"/>
  <c r="G242" i="53"/>
  <c r="D242" i="53"/>
  <c r="C242" i="53"/>
  <c r="I242" i="53"/>
  <c r="B243" i="53" s="1"/>
  <c r="H242" i="53"/>
  <c r="G242" i="52"/>
  <c r="D242" i="52"/>
  <c r="C242" i="52"/>
  <c r="I242" i="52"/>
  <c r="B243" i="52" s="1"/>
  <c r="H242" i="52"/>
  <c r="D242" i="51"/>
  <c r="C242" i="51"/>
  <c r="I242" i="51"/>
  <c r="B243" i="51" s="1"/>
  <c r="H242" i="51"/>
  <c r="G242" i="51"/>
  <c r="G241" i="50"/>
  <c r="D241" i="50"/>
  <c r="C241" i="50"/>
  <c r="I241" i="50"/>
  <c r="B242" i="50" s="1"/>
  <c r="H241" i="50"/>
  <c r="I241" i="49"/>
  <c r="B242" i="49" s="1"/>
  <c r="H241" i="49"/>
  <c r="G241" i="49"/>
  <c r="C241" i="49"/>
  <c r="D241" i="49"/>
  <c r="I241" i="48"/>
  <c r="B242" i="48" s="1"/>
  <c r="H241" i="48"/>
  <c r="G241" i="48"/>
  <c r="C241" i="48"/>
  <c r="D241" i="48"/>
  <c r="C241" i="47"/>
  <c r="I241" i="47"/>
  <c r="B242" i="47" s="1"/>
  <c r="H241" i="47"/>
  <c r="G241" i="47"/>
  <c r="D241" i="47"/>
  <c r="G190" i="35"/>
  <c r="D190" i="35"/>
  <c r="C190" i="35"/>
  <c r="I190" i="35"/>
  <c r="B191" i="35" s="1"/>
  <c r="H190" i="35"/>
  <c r="I243" i="55" l="1"/>
  <c r="B244" i="55" s="1"/>
  <c r="H243" i="55"/>
  <c r="G243" i="55"/>
  <c r="D243" i="55"/>
  <c r="C243" i="55"/>
  <c r="I243" i="54"/>
  <c r="B244" i="54" s="1"/>
  <c r="H243" i="54"/>
  <c r="G243" i="54"/>
  <c r="D243" i="54"/>
  <c r="C243" i="54"/>
  <c r="I243" i="53"/>
  <c r="B244" i="53" s="1"/>
  <c r="H243" i="53"/>
  <c r="G243" i="53"/>
  <c r="D243" i="53"/>
  <c r="C243" i="53"/>
  <c r="I243" i="52"/>
  <c r="B244" i="52" s="1"/>
  <c r="H243" i="52"/>
  <c r="G243" i="52"/>
  <c r="D243" i="52"/>
  <c r="C243" i="52"/>
  <c r="H243" i="51"/>
  <c r="G243" i="51"/>
  <c r="D243" i="51"/>
  <c r="C243" i="51"/>
  <c r="I243" i="51"/>
  <c r="B244" i="51" s="1"/>
  <c r="I242" i="50"/>
  <c r="B243" i="50" s="1"/>
  <c r="H242" i="50"/>
  <c r="G242" i="50"/>
  <c r="D242" i="50"/>
  <c r="C242" i="50"/>
  <c r="C242" i="49"/>
  <c r="I242" i="49"/>
  <c r="B243" i="49" s="1"/>
  <c r="G242" i="49"/>
  <c r="H242" i="49"/>
  <c r="D242" i="49"/>
  <c r="C242" i="48"/>
  <c r="I242" i="48"/>
  <c r="B243" i="48" s="1"/>
  <c r="G242" i="48"/>
  <c r="D242" i="48"/>
  <c r="H242" i="48"/>
  <c r="G242" i="47"/>
  <c r="I242" i="47"/>
  <c r="B243" i="47" s="1"/>
  <c r="H242" i="47"/>
  <c r="D242" i="47"/>
  <c r="C242" i="47"/>
  <c r="H191" i="35"/>
  <c r="C191" i="35"/>
  <c r="D191" i="35"/>
  <c r="I191" i="35"/>
  <c r="B192" i="35" s="1"/>
  <c r="G191" i="35"/>
  <c r="C244" i="55" l="1"/>
  <c r="I244" i="55"/>
  <c r="B245" i="55" s="1"/>
  <c r="H244" i="55"/>
  <c r="G244" i="55"/>
  <c r="D244" i="55"/>
  <c r="I244" i="54"/>
  <c r="B245" i="54" s="1"/>
  <c r="H244" i="54"/>
  <c r="G244" i="54"/>
  <c r="D244" i="54"/>
  <c r="C244" i="54"/>
  <c r="I244" i="53"/>
  <c r="B245" i="53" s="1"/>
  <c r="H244" i="53"/>
  <c r="G244" i="53"/>
  <c r="C244" i="53"/>
  <c r="D244" i="53"/>
  <c r="I244" i="52"/>
  <c r="B245" i="52" s="1"/>
  <c r="H244" i="52"/>
  <c r="G244" i="52"/>
  <c r="C244" i="52"/>
  <c r="D244" i="52"/>
  <c r="I244" i="51"/>
  <c r="B245" i="51" s="1"/>
  <c r="H244" i="51"/>
  <c r="G244" i="51"/>
  <c r="D244" i="51"/>
  <c r="C244" i="51"/>
  <c r="I243" i="50"/>
  <c r="B244" i="50" s="1"/>
  <c r="H243" i="50"/>
  <c r="G243" i="50"/>
  <c r="D243" i="50"/>
  <c r="C243" i="50"/>
  <c r="G243" i="49"/>
  <c r="D243" i="49"/>
  <c r="C243" i="49"/>
  <c r="I243" i="49"/>
  <c r="B244" i="49" s="1"/>
  <c r="H243" i="49"/>
  <c r="G243" i="48"/>
  <c r="D243" i="48"/>
  <c r="C243" i="48"/>
  <c r="I243" i="48"/>
  <c r="B244" i="48" s="1"/>
  <c r="H243" i="48"/>
  <c r="I243" i="47"/>
  <c r="B244" i="47" s="1"/>
  <c r="C243" i="47"/>
  <c r="H243" i="47"/>
  <c r="G243" i="47"/>
  <c r="D243" i="47"/>
  <c r="C192" i="35"/>
  <c r="G192" i="35"/>
  <c r="D192" i="35"/>
  <c r="H192" i="35"/>
  <c r="I192" i="35"/>
  <c r="B193" i="35" s="1"/>
  <c r="G245" i="55" l="1"/>
  <c r="D245" i="55"/>
  <c r="C245" i="55"/>
  <c r="I245" i="55"/>
  <c r="B246" i="55" s="1"/>
  <c r="H245" i="55"/>
  <c r="D245" i="54"/>
  <c r="C245" i="54"/>
  <c r="I245" i="54"/>
  <c r="B246" i="54" s="1"/>
  <c r="H245" i="54"/>
  <c r="G245" i="54"/>
  <c r="C245" i="53"/>
  <c r="I245" i="53"/>
  <c r="B246" i="53" s="1"/>
  <c r="G245" i="53"/>
  <c r="H245" i="53"/>
  <c r="D245" i="53"/>
  <c r="C245" i="52"/>
  <c r="I245" i="52"/>
  <c r="B246" i="52" s="1"/>
  <c r="G245" i="52"/>
  <c r="H245" i="52"/>
  <c r="D245" i="52"/>
  <c r="I245" i="51"/>
  <c r="B246" i="51" s="1"/>
  <c r="H245" i="51"/>
  <c r="G245" i="51"/>
  <c r="D245" i="51"/>
  <c r="C245" i="51"/>
  <c r="C244" i="50"/>
  <c r="I244" i="50"/>
  <c r="B245" i="50" s="1"/>
  <c r="H244" i="50"/>
  <c r="G244" i="50"/>
  <c r="D244" i="50"/>
  <c r="I244" i="49"/>
  <c r="B245" i="49" s="1"/>
  <c r="H244" i="49"/>
  <c r="G244" i="49"/>
  <c r="D244" i="49"/>
  <c r="C244" i="49"/>
  <c r="I244" i="48"/>
  <c r="B245" i="48" s="1"/>
  <c r="H244" i="48"/>
  <c r="G244" i="48"/>
  <c r="D244" i="48"/>
  <c r="C244" i="48"/>
  <c r="G244" i="47"/>
  <c r="H244" i="47"/>
  <c r="D244" i="47"/>
  <c r="C244" i="47"/>
  <c r="I244" i="47"/>
  <c r="B245" i="47" s="1"/>
  <c r="I193" i="35"/>
  <c r="B194" i="35" s="1"/>
  <c r="H193" i="35"/>
  <c r="G193" i="35"/>
  <c r="D193" i="35"/>
  <c r="C193" i="35"/>
  <c r="I246" i="55" l="1"/>
  <c r="B247" i="55" s="1"/>
  <c r="H246" i="55"/>
  <c r="G246" i="55"/>
  <c r="D246" i="55"/>
  <c r="C246" i="55"/>
  <c r="H246" i="54"/>
  <c r="G246" i="54"/>
  <c r="D246" i="54"/>
  <c r="C246" i="54"/>
  <c r="I246" i="54"/>
  <c r="B247" i="54" s="1"/>
  <c r="G246" i="53"/>
  <c r="D246" i="53"/>
  <c r="C246" i="53"/>
  <c r="I246" i="53"/>
  <c r="B247" i="53" s="1"/>
  <c r="H246" i="53"/>
  <c r="G246" i="52"/>
  <c r="D246" i="52"/>
  <c r="C246" i="52"/>
  <c r="I246" i="52"/>
  <c r="B247" i="52" s="1"/>
  <c r="H246" i="52"/>
  <c r="D246" i="51"/>
  <c r="C246" i="51"/>
  <c r="I246" i="51"/>
  <c r="B247" i="51" s="1"/>
  <c r="H246" i="51"/>
  <c r="G246" i="51"/>
  <c r="G245" i="50"/>
  <c r="D245" i="50"/>
  <c r="C245" i="50"/>
  <c r="I245" i="50"/>
  <c r="B246" i="50" s="1"/>
  <c r="H245" i="50"/>
  <c r="I245" i="49"/>
  <c r="B246" i="49" s="1"/>
  <c r="H245" i="49"/>
  <c r="G245" i="49"/>
  <c r="C245" i="49"/>
  <c r="D245" i="49"/>
  <c r="I245" i="48"/>
  <c r="B246" i="48" s="1"/>
  <c r="H245" i="48"/>
  <c r="G245" i="48"/>
  <c r="C245" i="48"/>
  <c r="D245" i="48"/>
  <c r="C245" i="47"/>
  <c r="I245" i="47"/>
  <c r="B246" i="47" s="1"/>
  <c r="G245" i="47"/>
  <c r="D245" i="47"/>
  <c r="H245" i="47"/>
  <c r="D194" i="35"/>
  <c r="G194" i="35"/>
  <c r="H194" i="35"/>
  <c r="I194" i="35"/>
  <c r="B195" i="35" s="1"/>
  <c r="C194" i="35"/>
  <c r="I247" i="55" l="1"/>
  <c r="B248" i="55" s="1"/>
  <c r="H247" i="55"/>
  <c r="G247" i="55"/>
  <c r="D247" i="55"/>
  <c r="C247" i="55"/>
  <c r="I247" i="54"/>
  <c r="B248" i="54" s="1"/>
  <c r="H247" i="54"/>
  <c r="G247" i="54"/>
  <c r="D247" i="54"/>
  <c r="C247" i="54"/>
  <c r="I247" i="53"/>
  <c r="B248" i="53" s="1"/>
  <c r="H247" i="53"/>
  <c r="G247" i="53"/>
  <c r="D247" i="53"/>
  <c r="C247" i="53"/>
  <c r="I247" i="52"/>
  <c r="B248" i="52" s="1"/>
  <c r="H247" i="52"/>
  <c r="G247" i="52"/>
  <c r="D247" i="52"/>
  <c r="C247" i="52"/>
  <c r="H247" i="51"/>
  <c r="G247" i="51"/>
  <c r="D247" i="51"/>
  <c r="C247" i="51"/>
  <c r="I247" i="51"/>
  <c r="B248" i="51" s="1"/>
  <c r="I246" i="50"/>
  <c r="B247" i="50" s="1"/>
  <c r="H246" i="50"/>
  <c r="G246" i="50"/>
  <c r="D246" i="50"/>
  <c r="C246" i="50"/>
  <c r="C246" i="49"/>
  <c r="I246" i="49"/>
  <c r="B247" i="49" s="1"/>
  <c r="G246" i="49"/>
  <c r="H246" i="49"/>
  <c r="D246" i="49"/>
  <c r="C246" i="48"/>
  <c r="I246" i="48"/>
  <c r="B247" i="48" s="1"/>
  <c r="G246" i="48"/>
  <c r="D246" i="48"/>
  <c r="H246" i="48"/>
  <c r="G246" i="47"/>
  <c r="D246" i="47"/>
  <c r="C246" i="47"/>
  <c r="I246" i="47"/>
  <c r="B247" i="47" s="1"/>
  <c r="H246" i="47"/>
  <c r="C195" i="35"/>
  <c r="I195" i="35"/>
  <c r="B196" i="35" s="1"/>
  <c r="D195" i="35"/>
  <c r="H195" i="35"/>
  <c r="G195" i="35"/>
  <c r="C248" i="55" l="1"/>
  <c r="I248" i="55"/>
  <c r="B249" i="55" s="1"/>
  <c r="H248" i="55"/>
  <c r="G248" i="55"/>
  <c r="D248" i="55"/>
  <c r="I248" i="54"/>
  <c r="B249" i="54" s="1"/>
  <c r="H248" i="54"/>
  <c r="G248" i="54"/>
  <c r="D248" i="54"/>
  <c r="C248" i="54"/>
  <c r="I248" i="53"/>
  <c r="B249" i="53" s="1"/>
  <c r="H248" i="53"/>
  <c r="G248" i="53"/>
  <c r="C248" i="53"/>
  <c r="D248" i="53"/>
  <c r="I248" i="52"/>
  <c r="B249" i="52" s="1"/>
  <c r="H248" i="52"/>
  <c r="G248" i="52"/>
  <c r="C248" i="52"/>
  <c r="D248" i="52"/>
  <c r="I248" i="51"/>
  <c r="B249" i="51" s="1"/>
  <c r="H248" i="51"/>
  <c r="G248" i="51"/>
  <c r="D248" i="51"/>
  <c r="C248" i="51"/>
  <c r="I247" i="50"/>
  <c r="B248" i="50" s="1"/>
  <c r="H247" i="50"/>
  <c r="G247" i="50"/>
  <c r="D247" i="50"/>
  <c r="C247" i="50"/>
  <c r="G247" i="49"/>
  <c r="D247" i="49"/>
  <c r="C247" i="49"/>
  <c r="I247" i="49"/>
  <c r="B248" i="49" s="1"/>
  <c r="H247" i="49"/>
  <c r="G247" i="48"/>
  <c r="D247" i="48"/>
  <c r="C247" i="48"/>
  <c r="I247" i="48"/>
  <c r="B248" i="48" s="1"/>
  <c r="H247" i="48"/>
  <c r="I247" i="47"/>
  <c r="B248" i="47" s="1"/>
  <c r="C247" i="47"/>
  <c r="H247" i="47"/>
  <c r="D247" i="47"/>
  <c r="G247" i="47"/>
  <c r="C196" i="35"/>
  <c r="G196" i="35"/>
  <c r="H196" i="35"/>
  <c r="D196" i="35"/>
  <c r="I196" i="35"/>
  <c r="B197" i="35" s="1"/>
  <c r="G249" i="55" l="1"/>
  <c r="D249" i="55"/>
  <c r="C249" i="55"/>
  <c r="I249" i="55"/>
  <c r="B250" i="55" s="1"/>
  <c r="H249" i="55"/>
  <c r="D249" i="54"/>
  <c r="C249" i="54"/>
  <c r="I249" i="54"/>
  <c r="B250" i="54" s="1"/>
  <c r="H249" i="54"/>
  <c r="G249" i="54"/>
  <c r="C249" i="53"/>
  <c r="I249" i="53"/>
  <c r="B250" i="53" s="1"/>
  <c r="G249" i="53"/>
  <c r="H249" i="53"/>
  <c r="D249" i="53"/>
  <c r="C249" i="52"/>
  <c r="I249" i="52"/>
  <c r="B250" i="52" s="1"/>
  <c r="G249" i="52"/>
  <c r="H249" i="52"/>
  <c r="D249" i="52"/>
  <c r="I249" i="51"/>
  <c r="B250" i="51" s="1"/>
  <c r="H249" i="51"/>
  <c r="G249" i="51"/>
  <c r="C249" i="51"/>
  <c r="D249" i="51"/>
  <c r="C248" i="50"/>
  <c r="I248" i="50"/>
  <c r="B249" i="50" s="1"/>
  <c r="H248" i="50"/>
  <c r="G248" i="50"/>
  <c r="D248" i="50"/>
  <c r="I248" i="49"/>
  <c r="B249" i="49" s="1"/>
  <c r="H248" i="49"/>
  <c r="G248" i="49"/>
  <c r="D248" i="49"/>
  <c r="C248" i="49"/>
  <c r="I248" i="48"/>
  <c r="B249" i="48" s="1"/>
  <c r="H248" i="48"/>
  <c r="G248" i="48"/>
  <c r="D248" i="48"/>
  <c r="C248" i="48"/>
  <c r="G248" i="47"/>
  <c r="C248" i="47"/>
  <c r="I248" i="47"/>
  <c r="B249" i="47" s="1"/>
  <c r="H248" i="47"/>
  <c r="D248" i="47"/>
  <c r="I197" i="35"/>
  <c r="B198" i="35" s="1"/>
  <c r="C197" i="35"/>
  <c r="H197" i="35"/>
  <c r="D197" i="35"/>
  <c r="G197" i="35"/>
  <c r="I250" i="55" l="1"/>
  <c r="B251" i="55" s="1"/>
  <c r="H250" i="55"/>
  <c r="G250" i="55"/>
  <c r="D250" i="55"/>
  <c r="C250" i="55"/>
  <c r="H250" i="54"/>
  <c r="G250" i="54"/>
  <c r="D250" i="54"/>
  <c r="C250" i="54"/>
  <c r="I250" i="54"/>
  <c r="B251" i="54" s="1"/>
  <c r="G250" i="53"/>
  <c r="D250" i="53"/>
  <c r="C250" i="53"/>
  <c r="I250" i="53"/>
  <c r="B251" i="53" s="1"/>
  <c r="H250" i="53"/>
  <c r="G250" i="52"/>
  <c r="D250" i="52"/>
  <c r="C250" i="52"/>
  <c r="I250" i="52"/>
  <c r="B251" i="52" s="1"/>
  <c r="H250" i="52"/>
  <c r="D250" i="51"/>
  <c r="C250" i="51"/>
  <c r="I250" i="51"/>
  <c r="B251" i="51" s="1"/>
  <c r="H250" i="51"/>
  <c r="G250" i="51"/>
  <c r="G249" i="50"/>
  <c r="D249" i="50"/>
  <c r="C249" i="50"/>
  <c r="I249" i="50"/>
  <c r="B250" i="50" s="1"/>
  <c r="H249" i="50"/>
  <c r="I249" i="49"/>
  <c r="B250" i="49" s="1"/>
  <c r="H249" i="49"/>
  <c r="G249" i="49"/>
  <c r="C249" i="49"/>
  <c r="D249" i="49"/>
  <c r="I249" i="48"/>
  <c r="B250" i="48" s="1"/>
  <c r="H249" i="48"/>
  <c r="G249" i="48"/>
  <c r="C249" i="48"/>
  <c r="D249" i="48"/>
  <c r="C249" i="47"/>
  <c r="I249" i="47"/>
  <c r="B250" i="47" s="1"/>
  <c r="H249" i="47"/>
  <c r="G249" i="47"/>
  <c r="D249" i="47"/>
  <c r="G198" i="35"/>
  <c r="D198" i="35"/>
  <c r="I198" i="35"/>
  <c r="B199" i="35" s="1"/>
  <c r="H198" i="35"/>
  <c r="C198" i="35"/>
  <c r="I251" i="55" l="1"/>
  <c r="B252" i="55" s="1"/>
  <c r="H251" i="55"/>
  <c r="G251" i="55"/>
  <c r="D251" i="55"/>
  <c r="C251" i="55"/>
  <c r="I251" i="54"/>
  <c r="B252" i="54" s="1"/>
  <c r="H251" i="54"/>
  <c r="G251" i="54"/>
  <c r="D251" i="54"/>
  <c r="C251" i="54"/>
  <c r="I251" i="53"/>
  <c r="B252" i="53" s="1"/>
  <c r="H251" i="53"/>
  <c r="G251" i="53"/>
  <c r="D251" i="53"/>
  <c r="C251" i="53"/>
  <c r="I251" i="52"/>
  <c r="B252" i="52" s="1"/>
  <c r="H251" i="52"/>
  <c r="G251" i="52"/>
  <c r="D251" i="52"/>
  <c r="C251" i="52"/>
  <c r="H251" i="51"/>
  <c r="G251" i="51"/>
  <c r="D251" i="51"/>
  <c r="C251" i="51"/>
  <c r="I251" i="51"/>
  <c r="B252" i="51" s="1"/>
  <c r="I250" i="50"/>
  <c r="B251" i="50" s="1"/>
  <c r="H250" i="50"/>
  <c r="G250" i="50"/>
  <c r="D250" i="50"/>
  <c r="C250" i="50"/>
  <c r="C250" i="49"/>
  <c r="I250" i="49"/>
  <c r="B251" i="49" s="1"/>
  <c r="G250" i="49"/>
  <c r="H250" i="49"/>
  <c r="D250" i="49"/>
  <c r="C250" i="48"/>
  <c r="I250" i="48"/>
  <c r="B251" i="48" s="1"/>
  <c r="G250" i="48"/>
  <c r="D250" i="48"/>
  <c r="H250" i="48"/>
  <c r="G250" i="47"/>
  <c r="I250" i="47"/>
  <c r="B251" i="47" s="1"/>
  <c r="H250" i="47"/>
  <c r="D250" i="47"/>
  <c r="C250" i="47"/>
  <c r="I199" i="35"/>
  <c r="B200" i="35" s="1"/>
  <c r="H199" i="35"/>
  <c r="C199" i="35"/>
  <c r="D199" i="35"/>
  <c r="G199" i="35"/>
  <c r="C252" i="55" l="1"/>
  <c r="I252" i="55"/>
  <c r="B253" i="55" s="1"/>
  <c r="H252" i="55"/>
  <c r="G252" i="55"/>
  <c r="D252" i="55"/>
  <c r="I252" i="54"/>
  <c r="B253" i="54" s="1"/>
  <c r="H252" i="54"/>
  <c r="G252" i="54"/>
  <c r="D252" i="54"/>
  <c r="C252" i="54"/>
  <c r="I252" i="53"/>
  <c r="B253" i="53" s="1"/>
  <c r="H252" i="53"/>
  <c r="G252" i="53"/>
  <c r="C252" i="53"/>
  <c r="D252" i="53"/>
  <c r="I252" i="52"/>
  <c r="B253" i="52" s="1"/>
  <c r="H252" i="52"/>
  <c r="G252" i="52"/>
  <c r="C252" i="52"/>
  <c r="D252" i="52"/>
  <c r="I252" i="51"/>
  <c r="B253" i="51" s="1"/>
  <c r="H252" i="51"/>
  <c r="G252" i="51"/>
  <c r="D252" i="51"/>
  <c r="C252" i="51"/>
  <c r="I251" i="50"/>
  <c r="B252" i="50" s="1"/>
  <c r="H251" i="50"/>
  <c r="G251" i="50"/>
  <c r="D251" i="50"/>
  <c r="C251" i="50"/>
  <c r="G251" i="49"/>
  <c r="D251" i="49"/>
  <c r="C251" i="49"/>
  <c r="I251" i="49"/>
  <c r="B252" i="49" s="1"/>
  <c r="H251" i="49"/>
  <c r="G251" i="48"/>
  <c r="D251" i="48"/>
  <c r="C251" i="48"/>
  <c r="I251" i="48"/>
  <c r="B252" i="48" s="1"/>
  <c r="H251" i="48"/>
  <c r="I251" i="47"/>
  <c r="B252" i="47" s="1"/>
  <c r="C251" i="47"/>
  <c r="H251" i="47"/>
  <c r="G251" i="47"/>
  <c r="D251" i="47"/>
  <c r="C200" i="35"/>
  <c r="G200" i="35"/>
  <c r="D200" i="35"/>
  <c r="I200" i="35"/>
  <c r="B201" i="35" s="1"/>
  <c r="H200" i="35"/>
  <c r="G253" i="55" l="1"/>
  <c r="D253" i="55"/>
  <c r="C253" i="55"/>
  <c r="I253" i="55"/>
  <c r="B254" i="55" s="1"/>
  <c r="H253" i="55"/>
  <c r="D253" i="54"/>
  <c r="C253" i="54"/>
  <c r="I253" i="54"/>
  <c r="B254" i="54" s="1"/>
  <c r="H253" i="54"/>
  <c r="G253" i="54"/>
  <c r="C253" i="53"/>
  <c r="I253" i="53"/>
  <c r="B254" i="53" s="1"/>
  <c r="G253" i="53"/>
  <c r="H253" i="53"/>
  <c r="D253" i="53"/>
  <c r="C253" i="52"/>
  <c r="I253" i="52"/>
  <c r="B254" i="52" s="1"/>
  <c r="G253" i="52"/>
  <c r="H253" i="52"/>
  <c r="D253" i="52"/>
  <c r="I253" i="51"/>
  <c r="B254" i="51" s="1"/>
  <c r="H253" i="51"/>
  <c r="G253" i="51"/>
  <c r="D253" i="51"/>
  <c r="C253" i="51"/>
  <c r="C252" i="50"/>
  <c r="I252" i="50"/>
  <c r="B253" i="50" s="1"/>
  <c r="H252" i="50"/>
  <c r="G252" i="50"/>
  <c r="D252" i="50"/>
  <c r="I252" i="49"/>
  <c r="B253" i="49" s="1"/>
  <c r="H252" i="49"/>
  <c r="G252" i="49"/>
  <c r="D252" i="49"/>
  <c r="C252" i="49"/>
  <c r="I252" i="48"/>
  <c r="B253" i="48" s="1"/>
  <c r="H252" i="48"/>
  <c r="G252" i="48"/>
  <c r="D252" i="48"/>
  <c r="C252" i="48"/>
  <c r="G252" i="47"/>
  <c r="H252" i="47"/>
  <c r="D252" i="47"/>
  <c r="C252" i="47"/>
  <c r="I252" i="47"/>
  <c r="B253" i="47" s="1"/>
  <c r="C201" i="35"/>
  <c r="I201" i="35"/>
  <c r="B202" i="35" s="1"/>
  <c r="H201" i="35"/>
  <c r="G201" i="35"/>
  <c r="D201" i="35"/>
  <c r="I254" i="55" l="1"/>
  <c r="B255" i="55" s="1"/>
  <c r="H254" i="55"/>
  <c r="G254" i="55"/>
  <c r="D254" i="55"/>
  <c r="C254" i="55"/>
  <c r="H254" i="54"/>
  <c r="G254" i="54"/>
  <c r="D254" i="54"/>
  <c r="C254" i="54"/>
  <c r="I254" i="54"/>
  <c r="B255" i="54" s="1"/>
  <c r="G254" i="53"/>
  <c r="D254" i="53"/>
  <c r="C254" i="53"/>
  <c r="I254" i="53"/>
  <c r="B255" i="53" s="1"/>
  <c r="H254" i="53"/>
  <c r="G254" i="52"/>
  <c r="D254" i="52"/>
  <c r="C254" i="52"/>
  <c r="I254" i="52"/>
  <c r="B255" i="52" s="1"/>
  <c r="H254" i="52"/>
  <c r="D254" i="51"/>
  <c r="C254" i="51"/>
  <c r="I254" i="51"/>
  <c r="B255" i="51" s="1"/>
  <c r="G254" i="51"/>
  <c r="H254" i="51"/>
  <c r="G253" i="50"/>
  <c r="D253" i="50"/>
  <c r="C253" i="50"/>
  <c r="I253" i="50"/>
  <c r="B254" i="50" s="1"/>
  <c r="H253" i="50"/>
  <c r="I253" i="49"/>
  <c r="B254" i="49" s="1"/>
  <c r="H253" i="49"/>
  <c r="G253" i="49"/>
  <c r="C253" i="49"/>
  <c r="D253" i="49"/>
  <c r="I253" i="48"/>
  <c r="B254" i="48" s="1"/>
  <c r="H253" i="48"/>
  <c r="G253" i="48"/>
  <c r="C253" i="48"/>
  <c r="D253" i="48"/>
  <c r="C253" i="47"/>
  <c r="I253" i="47"/>
  <c r="B254" i="47" s="1"/>
  <c r="G253" i="47"/>
  <c r="D253" i="47"/>
  <c r="H253" i="47"/>
  <c r="G202" i="35"/>
  <c r="D202" i="35"/>
  <c r="I202" i="35"/>
  <c r="B203" i="35" s="1"/>
  <c r="C202" i="35"/>
  <c r="H202" i="35"/>
  <c r="I255" i="55" l="1"/>
  <c r="B256" i="55" s="1"/>
  <c r="H255" i="55"/>
  <c r="G255" i="55"/>
  <c r="D255" i="55"/>
  <c r="C255" i="55"/>
  <c r="I255" i="54"/>
  <c r="B256" i="54" s="1"/>
  <c r="H255" i="54"/>
  <c r="G255" i="54"/>
  <c r="D255" i="54"/>
  <c r="C255" i="54"/>
  <c r="I255" i="53"/>
  <c r="B256" i="53" s="1"/>
  <c r="H255" i="53"/>
  <c r="G255" i="53"/>
  <c r="D255" i="53"/>
  <c r="C255" i="53"/>
  <c r="I255" i="52"/>
  <c r="B256" i="52" s="1"/>
  <c r="H255" i="52"/>
  <c r="G255" i="52"/>
  <c r="D255" i="52"/>
  <c r="C255" i="52"/>
  <c r="H255" i="51"/>
  <c r="G255" i="51"/>
  <c r="D255" i="51"/>
  <c r="C255" i="51"/>
  <c r="I255" i="51"/>
  <c r="B256" i="51" s="1"/>
  <c r="I254" i="50"/>
  <c r="B255" i="50" s="1"/>
  <c r="H254" i="50"/>
  <c r="G254" i="50"/>
  <c r="D254" i="50"/>
  <c r="C254" i="50"/>
  <c r="C254" i="49"/>
  <c r="I254" i="49"/>
  <c r="B255" i="49" s="1"/>
  <c r="G254" i="49"/>
  <c r="H254" i="49"/>
  <c r="D254" i="49"/>
  <c r="C254" i="48"/>
  <c r="I254" i="48"/>
  <c r="B255" i="48" s="1"/>
  <c r="G254" i="48"/>
  <c r="D254" i="48"/>
  <c r="H254" i="48"/>
  <c r="G254" i="47"/>
  <c r="I254" i="47"/>
  <c r="B255" i="47" s="1"/>
  <c r="D254" i="47"/>
  <c r="H254" i="47"/>
  <c r="C254" i="47"/>
  <c r="H203" i="35"/>
  <c r="C203" i="35"/>
  <c r="G203" i="35"/>
  <c r="I203" i="35"/>
  <c r="B204" i="35" s="1"/>
  <c r="D203" i="35"/>
  <c r="C256" i="55" l="1"/>
  <c r="I256" i="55"/>
  <c r="B257" i="55" s="1"/>
  <c r="H256" i="55"/>
  <c r="G256" i="55"/>
  <c r="D256" i="55"/>
  <c r="I256" i="54"/>
  <c r="B257" i="54" s="1"/>
  <c r="H256" i="54"/>
  <c r="G256" i="54"/>
  <c r="D256" i="54"/>
  <c r="C256" i="54"/>
  <c r="I256" i="53"/>
  <c r="B257" i="53" s="1"/>
  <c r="H256" i="53"/>
  <c r="G256" i="53"/>
  <c r="C256" i="53"/>
  <c r="D256" i="53"/>
  <c r="I256" i="52"/>
  <c r="B257" i="52" s="1"/>
  <c r="H256" i="52"/>
  <c r="G256" i="52"/>
  <c r="C256" i="52"/>
  <c r="D256" i="52"/>
  <c r="I256" i="51"/>
  <c r="B257" i="51" s="1"/>
  <c r="H256" i="51"/>
  <c r="G256" i="51"/>
  <c r="D256" i="51"/>
  <c r="C256" i="51"/>
  <c r="I255" i="50"/>
  <c r="B256" i="50" s="1"/>
  <c r="H255" i="50"/>
  <c r="G255" i="50"/>
  <c r="D255" i="50"/>
  <c r="C255" i="50"/>
  <c r="G255" i="49"/>
  <c r="D255" i="49"/>
  <c r="C255" i="49"/>
  <c r="I255" i="49"/>
  <c r="B256" i="49" s="1"/>
  <c r="H255" i="49"/>
  <c r="G255" i="48"/>
  <c r="D255" i="48"/>
  <c r="C255" i="48"/>
  <c r="I255" i="48"/>
  <c r="B256" i="48" s="1"/>
  <c r="H255" i="48"/>
  <c r="I255" i="47"/>
  <c r="B256" i="47" s="1"/>
  <c r="C255" i="47"/>
  <c r="D255" i="47"/>
  <c r="H255" i="47"/>
  <c r="G255" i="47"/>
  <c r="C204" i="35"/>
  <c r="G204" i="35"/>
  <c r="H204" i="35"/>
  <c r="D204" i="35"/>
  <c r="I204" i="35"/>
  <c r="B205" i="35" s="1"/>
  <c r="G257" i="55" l="1"/>
  <c r="D257" i="55"/>
  <c r="C257" i="55"/>
  <c r="I257" i="55"/>
  <c r="B258" i="55" s="1"/>
  <c r="H257" i="55"/>
  <c r="D257" i="54"/>
  <c r="C257" i="54"/>
  <c r="I257" i="54"/>
  <c r="B258" i="54" s="1"/>
  <c r="H257" i="54"/>
  <c r="G257" i="54"/>
  <c r="C257" i="53"/>
  <c r="I257" i="53"/>
  <c r="B258" i="53" s="1"/>
  <c r="G257" i="53"/>
  <c r="H257" i="53"/>
  <c r="D257" i="53"/>
  <c r="C257" i="52"/>
  <c r="I257" i="52"/>
  <c r="B258" i="52" s="1"/>
  <c r="G257" i="52"/>
  <c r="H257" i="52"/>
  <c r="D257" i="52"/>
  <c r="I257" i="51"/>
  <c r="B258" i="51" s="1"/>
  <c r="H257" i="51"/>
  <c r="G257" i="51"/>
  <c r="D257" i="51"/>
  <c r="C257" i="51"/>
  <c r="C256" i="50"/>
  <c r="I256" i="50"/>
  <c r="B257" i="50" s="1"/>
  <c r="H256" i="50"/>
  <c r="G256" i="50"/>
  <c r="D256" i="50"/>
  <c r="I256" i="49"/>
  <c r="B257" i="49" s="1"/>
  <c r="H256" i="49"/>
  <c r="G256" i="49"/>
  <c r="D256" i="49"/>
  <c r="C256" i="49"/>
  <c r="I256" i="48"/>
  <c r="B257" i="48" s="1"/>
  <c r="H256" i="48"/>
  <c r="G256" i="48"/>
  <c r="D256" i="48"/>
  <c r="C256" i="48"/>
  <c r="G256" i="47"/>
  <c r="I256" i="47"/>
  <c r="B257" i="47" s="1"/>
  <c r="H256" i="47"/>
  <c r="C256" i="47"/>
  <c r="D256" i="47"/>
  <c r="I205" i="35"/>
  <c r="B206" i="35" s="1"/>
  <c r="C205" i="35"/>
  <c r="D205" i="35"/>
  <c r="H205" i="35"/>
  <c r="G205" i="35"/>
  <c r="I258" i="55" l="1"/>
  <c r="B259" i="55" s="1"/>
  <c r="H258" i="55"/>
  <c r="G258" i="55"/>
  <c r="D258" i="55"/>
  <c r="C258" i="55"/>
  <c r="H258" i="54"/>
  <c r="G258" i="54"/>
  <c r="D258" i="54"/>
  <c r="C258" i="54"/>
  <c r="I258" i="54"/>
  <c r="B259" i="54" s="1"/>
  <c r="G258" i="53"/>
  <c r="D258" i="53"/>
  <c r="C258" i="53"/>
  <c r="I258" i="53"/>
  <c r="B259" i="53" s="1"/>
  <c r="H258" i="53"/>
  <c r="G258" i="52"/>
  <c r="D258" i="52"/>
  <c r="C258" i="52"/>
  <c r="I258" i="52"/>
  <c r="B259" i="52" s="1"/>
  <c r="H258" i="52"/>
  <c r="D258" i="51"/>
  <c r="C258" i="51"/>
  <c r="I258" i="51"/>
  <c r="B259" i="51" s="1"/>
  <c r="H258" i="51"/>
  <c r="G258" i="51"/>
  <c r="G257" i="50"/>
  <c r="D257" i="50"/>
  <c r="C257" i="50"/>
  <c r="I257" i="50"/>
  <c r="B258" i="50" s="1"/>
  <c r="H257" i="50"/>
  <c r="I257" i="49"/>
  <c r="B258" i="49" s="1"/>
  <c r="H257" i="49"/>
  <c r="G257" i="49"/>
  <c r="C257" i="49"/>
  <c r="D257" i="49"/>
  <c r="I257" i="48"/>
  <c r="B258" i="48" s="1"/>
  <c r="H257" i="48"/>
  <c r="G257" i="48"/>
  <c r="C257" i="48"/>
  <c r="D257" i="48"/>
  <c r="C257" i="47"/>
  <c r="I257" i="47"/>
  <c r="B258" i="47" s="1"/>
  <c r="H257" i="47"/>
  <c r="G257" i="47"/>
  <c r="D257" i="47"/>
  <c r="D206" i="35"/>
  <c r="G206" i="35"/>
  <c r="H206" i="35"/>
  <c r="C206" i="35"/>
  <c r="I206" i="35"/>
  <c r="B207" i="35" s="1"/>
  <c r="I259" i="55" l="1"/>
  <c r="B260" i="55" s="1"/>
  <c r="H259" i="55"/>
  <c r="G259" i="55"/>
  <c r="D259" i="55"/>
  <c r="C259" i="55"/>
  <c r="I259" i="54"/>
  <c r="B260" i="54" s="1"/>
  <c r="H259" i="54"/>
  <c r="G259" i="54"/>
  <c r="D259" i="54"/>
  <c r="C259" i="54"/>
  <c r="H259" i="53"/>
  <c r="G259" i="53"/>
  <c r="D259" i="53"/>
  <c r="C259" i="53"/>
  <c r="I259" i="53"/>
  <c r="B260" i="53" s="1"/>
  <c r="I259" i="52"/>
  <c r="B260" i="52" s="1"/>
  <c r="H259" i="52"/>
  <c r="G259" i="52"/>
  <c r="D259" i="52"/>
  <c r="C259" i="52"/>
  <c r="H259" i="51"/>
  <c r="G259" i="51"/>
  <c r="D259" i="51"/>
  <c r="C259" i="51"/>
  <c r="I259" i="51"/>
  <c r="B260" i="51" s="1"/>
  <c r="I258" i="50"/>
  <c r="B259" i="50" s="1"/>
  <c r="H258" i="50"/>
  <c r="G258" i="50"/>
  <c r="D258" i="50"/>
  <c r="C258" i="50"/>
  <c r="C258" i="49"/>
  <c r="I258" i="49"/>
  <c r="B259" i="49" s="1"/>
  <c r="G258" i="49"/>
  <c r="H258" i="49"/>
  <c r="D258" i="49"/>
  <c r="C258" i="48"/>
  <c r="I258" i="48"/>
  <c r="B259" i="48" s="1"/>
  <c r="G258" i="48"/>
  <c r="D258" i="48"/>
  <c r="H258" i="48"/>
  <c r="G258" i="47"/>
  <c r="I258" i="47"/>
  <c r="B259" i="47" s="1"/>
  <c r="H258" i="47"/>
  <c r="D258" i="47"/>
  <c r="C258" i="47"/>
  <c r="H207" i="35"/>
  <c r="C207" i="35"/>
  <c r="G207" i="35"/>
  <c r="D207" i="35"/>
  <c r="I207" i="35"/>
  <c r="B208" i="35" s="1"/>
  <c r="C260" i="55" l="1"/>
  <c r="I260" i="55"/>
  <c r="B261" i="55" s="1"/>
  <c r="H260" i="55"/>
  <c r="G260" i="55"/>
  <c r="D260" i="55"/>
  <c r="I260" i="54"/>
  <c r="B261" i="54" s="1"/>
  <c r="H260" i="54"/>
  <c r="G260" i="54"/>
  <c r="D260" i="54"/>
  <c r="C260" i="54"/>
  <c r="I260" i="53"/>
  <c r="B261" i="53" s="1"/>
  <c r="H260" i="53"/>
  <c r="G260" i="53"/>
  <c r="D260" i="53"/>
  <c r="C260" i="53"/>
  <c r="I260" i="52"/>
  <c r="B261" i="52" s="1"/>
  <c r="H260" i="52"/>
  <c r="G260" i="52"/>
  <c r="C260" i="52"/>
  <c r="D260" i="52"/>
  <c r="I260" i="51"/>
  <c r="B261" i="51" s="1"/>
  <c r="H260" i="51"/>
  <c r="G260" i="51"/>
  <c r="D260" i="51"/>
  <c r="C260" i="51"/>
  <c r="I259" i="50"/>
  <c r="B260" i="50" s="1"/>
  <c r="H259" i="50"/>
  <c r="G259" i="50"/>
  <c r="D259" i="50"/>
  <c r="C259" i="50"/>
  <c r="G259" i="49"/>
  <c r="D259" i="49"/>
  <c r="C259" i="49"/>
  <c r="I259" i="49"/>
  <c r="B260" i="49" s="1"/>
  <c r="H259" i="49"/>
  <c r="G259" i="48"/>
  <c r="D259" i="48"/>
  <c r="C259" i="48"/>
  <c r="I259" i="48"/>
  <c r="B260" i="48" s="1"/>
  <c r="H259" i="48"/>
  <c r="I259" i="47"/>
  <c r="B260" i="47" s="1"/>
  <c r="C259" i="47"/>
  <c r="H259" i="47"/>
  <c r="G259" i="47"/>
  <c r="D259" i="47"/>
  <c r="C208" i="35"/>
  <c r="G208" i="35"/>
  <c r="H208" i="35"/>
  <c r="D208" i="35"/>
  <c r="I208" i="35"/>
  <c r="B209" i="35" s="1"/>
  <c r="G261" i="55" l="1"/>
  <c r="D261" i="55"/>
  <c r="C261" i="55"/>
  <c r="I261" i="55"/>
  <c r="B262" i="55" s="1"/>
  <c r="H261" i="55"/>
  <c r="D261" i="54"/>
  <c r="C261" i="54"/>
  <c r="I261" i="54"/>
  <c r="B262" i="54" s="1"/>
  <c r="H261" i="54"/>
  <c r="G261" i="54"/>
  <c r="D261" i="53"/>
  <c r="I261" i="53"/>
  <c r="B262" i="53" s="1"/>
  <c r="G261" i="53"/>
  <c r="C261" i="53"/>
  <c r="H261" i="53"/>
  <c r="C261" i="52"/>
  <c r="I261" i="52"/>
  <c r="B262" i="52" s="1"/>
  <c r="G261" i="52"/>
  <c r="H261" i="52"/>
  <c r="D261" i="52"/>
  <c r="I261" i="51"/>
  <c r="B262" i="51" s="1"/>
  <c r="H261" i="51"/>
  <c r="G261" i="51"/>
  <c r="D261" i="51"/>
  <c r="C261" i="51"/>
  <c r="C260" i="50"/>
  <c r="I260" i="50"/>
  <c r="B261" i="50" s="1"/>
  <c r="H260" i="50"/>
  <c r="G260" i="50"/>
  <c r="D260" i="50"/>
  <c r="I260" i="49"/>
  <c r="B261" i="49" s="1"/>
  <c r="H260" i="49"/>
  <c r="G260" i="49"/>
  <c r="D260" i="49"/>
  <c r="C260" i="49"/>
  <c r="I260" i="48"/>
  <c r="B261" i="48" s="1"/>
  <c r="H260" i="48"/>
  <c r="G260" i="48"/>
  <c r="D260" i="48"/>
  <c r="C260" i="48"/>
  <c r="G260" i="47"/>
  <c r="H260" i="47"/>
  <c r="D260" i="47"/>
  <c r="C260" i="47"/>
  <c r="I260" i="47"/>
  <c r="B261" i="47" s="1"/>
  <c r="I209" i="35"/>
  <c r="B210" i="35" s="1"/>
  <c r="C209" i="35"/>
  <c r="G209" i="35"/>
  <c r="D209" i="35"/>
  <c r="H209" i="35"/>
  <c r="I262" i="55" l="1"/>
  <c r="B263" i="55" s="1"/>
  <c r="H262" i="55"/>
  <c r="G262" i="55"/>
  <c r="D262" i="55"/>
  <c r="C262" i="55"/>
  <c r="H262" i="54"/>
  <c r="G262" i="54"/>
  <c r="D262" i="54"/>
  <c r="C262" i="54"/>
  <c r="I262" i="54"/>
  <c r="B263" i="54" s="1"/>
  <c r="H262" i="53"/>
  <c r="D262" i="53"/>
  <c r="C262" i="53"/>
  <c r="G262" i="53"/>
  <c r="I262" i="53"/>
  <c r="B263" i="53" s="1"/>
  <c r="G262" i="52"/>
  <c r="D262" i="52"/>
  <c r="C262" i="52"/>
  <c r="I262" i="52"/>
  <c r="B263" i="52" s="1"/>
  <c r="H262" i="52"/>
  <c r="D262" i="51"/>
  <c r="C262" i="51"/>
  <c r="I262" i="51"/>
  <c r="B263" i="51" s="1"/>
  <c r="H262" i="51"/>
  <c r="G262" i="51"/>
  <c r="G261" i="50"/>
  <c r="D261" i="50"/>
  <c r="C261" i="50"/>
  <c r="I261" i="50"/>
  <c r="B262" i="50" s="1"/>
  <c r="H261" i="50"/>
  <c r="I261" i="49"/>
  <c r="B262" i="49" s="1"/>
  <c r="H261" i="49"/>
  <c r="G261" i="49"/>
  <c r="C261" i="49"/>
  <c r="D261" i="49"/>
  <c r="I261" i="48"/>
  <c r="B262" i="48" s="1"/>
  <c r="H261" i="48"/>
  <c r="G261" i="48"/>
  <c r="C261" i="48"/>
  <c r="D261" i="48"/>
  <c r="C261" i="47"/>
  <c r="I261" i="47"/>
  <c r="B262" i="47" s="1"/>
  <c r="G261" i="47"/>
  <c r="H261" i="47"/>
  <c r="D261" i="47"/>
  <c r="G210" i="35"/>
  <c r="D210" i="35"/>
  <c r="H210" i="35"/>
  <c r="C210" i="35"/>
  <c r="I210" i="35"/>
  <c r="B211" i="35" s="1"/>
  <c r="I263" i="55" l="1"/>
  <c r="B264" i="55" s="1"/>
  <c r="H263" i="55"/>
  <c r="G263" i="55"/>
  <c r="D263" i="55"/>
  <c r="C263" i="55"/>
  <c r="I263" i="54"/>
  <c r="B264" i="54" s="1"/>
  <c r="H263" i="54"/>
  <c r="G263" i="54"/>
  <c r="D263" i="54"/>
  <c r="C263" i="54"/>
  <c r="H263" i="53"/>
  <c r="G263" i="53"/>
  <c r="D263" i="53"/>
  <c r="C263" i="53"/>
  <c r="I263" i="53"/>
  <c r="B264" i="53" s="1"/>
  <c r="I263" i="52"/>
  <c r="B264" i="52" s="1"/>
  <c r="H263" i="52"/>
  <c r="G263" i="52"/>
  <c r="D263" i="52"/>
  <c r="C263" i="52"/>
  <c r="H263" i="51"/>
  <c r="G263" i="51"/>
  <c r="D263" i="51"/>
  <c r="C263" i="51"/>
  <c r="I263" i="51"/>
  <c r="B264" i="51" s="1"/>
  <c r="I262" i="50"/>
  <c r="B263" i="50" s="1"/>
  <c r="H262" i="50"/>
  <c r="G262" i="50"/>
  <c r="D262" i="50"/>
  <c r="C262" i="50"/>
  <c r="C262" i="49"/>
  <c r="I262" i="49"/>
  <c r="B263" i="49" s="1"/>
  <c r="G262" i="49"/>
  <c r="H262" i="49"/>
  <c r="D262" i="49"/>
  <c r="C262" i="48"/>
  <c r="I262" i="48"/>
  <c r="B263" i="48" s="1"/>
  <c r="G262" i="48"/>
  <c r="D262" i="48"/>
  <c r="H262" i="48"/>
  <c r="G262" i="47"/>
  <c r="D262" i="47"/>
  <c r="C262" i="47"/>
  <c r="I262" i="47"/>
  <c r="B263" i="47" s="1"/>
  <c r="H262" i="47"/>
  <c r="H211" i="35"/>
  <c r="C211" i="35"/>
  <c r="I211" i="35"/>
  <c r="B212" i="35" s="1"/>
  <c r="G211" i="35"/>
  <c r="D211" i="35"/>
  <c r="C264" i="55" l="1"/>
  <c r="I264" i="55"/>
  <c r="B265" i="55" s="1"/>
  <c r="H264" i="55"/>
  <c r="G264" i="55"/>
  <c r="D264" i="55"/>
  <c r="I264" i="54"/>
  <c r="B265" i="54" s="1"/>
  <c r="H264" i="54"/>
  <c r="G264" i="54"/>
  <c r="D264" i="54"/>
  <c r="C264" i="54"/>
  <c r="I264" i="53"/>
  <c r="B265" i="53" s="1"/>
  <c r="H264" i="53"/>
  <c r="G264" i="53"/>
  <c r="D264" i="53"/>
  <c r="C264" i="53"/>
  <c r="I264" i="52"/>
  <c r="B265" i="52" s="1"/>
  <c r="H264" i="52"/>
  <c r="G264" i="52"/>
  <c r="C264" i="52"/>
  <c r="D264" i="52"/>
  <c r="I264" i="51"/>
  <c r="B265" i="51" s="1"/>
  <c r="H264" i="51"/>
  <c r="G264" i="51"/>
  <c r="D264" i="51"/>
  <c r="C264" i="51"/>
  <c r="I263" i="50"/>
  <c r="B264" i="50" s="1"/>
  <c r="H263" i="50"/>
  <c r="G263" i="50"/>
  <c r="D263" i="50"/>
  <c r="C263" i="50"/>
  <c r="G263" i="49"/>
  <c r="D263" i="49"/>
  <c r="C263" i="49"/>
  <c r="I263" i="49"/>
  <c r="B264" i="49" s="1"/>
  <c r="H263" i="49"/>
  <c r="G263" i="48"/>
  <c r="D263" i="48"/>
  <c r="C263" i="48"/>
  <c r="I263" i="48"/>
  <c r="B264" i="48" s="1"/>
  <c r="H263" i="48"/>
  <c r="I263" i="47"/>
  <c r="B264" i="47" s="1"/>
  <c r="C263" i="47"/>
  <c r="H263" i="47"/>
  <c r="D263" i="47"/>
  <c r="G263" i="47"/>
  <c r="C212" i="35"/>
  <c r="G212" i="35"/>
  <c r="I212" i="35"/>
  <c r="B213" i="35" s="1"/>
  <c r="D212" i="35"/>
  <c r="H212" i="35"/>
  <c r="G265" i="55" l="1"/>
  <c r="H265" i="55"/>
  <c r="D265" i="55"/>
  <c r="C265" i="55"/>
  <c r="I265" i="55"/>
  <c r="B266" i="55" s="1"/>
  <c r="D265" i="54"/>
  <c r="C265" i="54"/>
  <c r="I265" i="54"/>
  <c r="B266" i="54" s="1"/>
  <c r="H265" i="54"/>
  <c r="G265" i="54"/>
  <c r="D265" i="53"/>
  <c r="I265" i="53"/>
  <c r="B266" i="53" s="1"/>
  <c r="C265" i="53"/>
  <c r="H265" i="53"/>
  <c r="G265" i="53"/>
  <c r="C265" i="52"/>
  <c r="I265" i="52"/>
  <c r="B266" i="52" s="1"/>
  <c r="G265" i="52"/>
  <c r="H265" i="52"/>
  <c r="D265" i="52"/>
  <c r="I265" i="51"/>
  <c r="B266" i="51" s="1"/>
  <c r="H265" i="51"/>
  <c r="G265" i="51"/>
  <c r="C265" i="51"/>
  <c r="D265" i="51"/>
  <c r="C264" i="50"/>
  <c r="I264" i="50"/>
  <c r="B265" i="50" s="1"/>
  <c r="H264" i="50"/>
  <c r="G264" i="50"/>
  <c r="D264" i="50"/>
  <c r="I264" i="49"/>
  <c r="B265" i="49" s="1"/>
  <c r="H264" i="49"/>
  <c r="G264" i="49"/>
  <c r="D264" i="49"/>
  <c r="C264" i="49"/>
  <c r="I264" i="48"/>
  <c r="B265" i="48" s="1"/>
  <c r="H264" i="48"/>
  <c r="G264" i="48"/>
  <c r="D264" i="48"/>
  <c r="C264" i="48"/>
  <c r="G264" i="47"/>
  <c r="C264" i="47"/>
  <c r="I264" i="47"/>
  <c r="B265" i="47" s="1"/>
  <c r="H264" i="47"/>
  <c r="D264" i="47"/>
  <c r="C213" i="35"/>
  <c r="I213" i="35"/>
  <c r="B214" i="35" s="1"/>
  <c r="G213" i="35"/>
  <c r="D213" i="35"/>
  <c r="H213" i="35"/>
  <c r="I266" i="55" l="1"/>
  <c r="B267" i="55" s="1"/>
  <c r="H266" i="55"/>
  <c r="G266" i="55"/>
  <c r="C266" i="55"/>
  <c r="D266" i="55"/>
  <c r="H266" i="54"/>
  <c r="G266" i="54"/>
  <c r="D266" i="54"/>
  <c r="C266" i="54"/>
  <c r="I266" i="54"/>
  <c r="B267" i="54" s="1"/>
  <c r="H266" i="53"/>
  <c r="D266" i="53"/>
  <c r="C266" i="53"/>
  <c r="I266" i="53"/>
  <c r="B267" i="53" s="1"/>
  <c r="G266" i="53"/>
  <c r="G266" i="52"/>
  <c r="D266" i="52"/>
  <c r="C266" i="52"/>
  <c r="I266" i="52"/>
  <c r="B267" i="52" s="1"/>
  <c r="H266" i="52"/>
  <c r="D266" i="51"/>
  <c r="C266" i="51"/>
  <c r="I266" i="51"/>
  <c r="B267" i="51" s="1"/>
  <c r="H266" i="51"/>
  <c r="G266" i="51"/>
  <c r="G265" i="50"/>
  <c r="D265" i="50"/>
  <c r="C265" i="50"/>
  <c r="I265" i="50"/>
  <c r="B266" i="50" s="1"/>
  <c r="H265" i="50"/>
  <c r="I265" i="49"/>
  <c r="B266" i="49" s="1"/>
  <c r="H265" i="49"/>
  <c r="G265" i="49"/>
  <c r="C265" i="49"/>
  <c r="D265" i="49"/>
  <c r="I265" i="48"/>
  <c r="B266" i="48" s="1"/>
  <c r="H265" i="48"/>
  <c r="G265" i="48"/>
  <c r="C265" i="48"/>
  <c r="D265" i="48"/>
  <c r="C265" i="47"/>
  <c r="I265" i="47"/>
  <c r="B266" i="47" s="1"/>
  <c r="H265" i="47"/>
  <c r="G265" i="47"/>
  <c r="D265" i="47"/>
  <c r="G214" i="35"/>
  <c r="D214" i="35"/>
  <c r="H214" i="35"/>
  <c r="I214" i="35"/>
  <c r="B215" i="35" s="1"/>
  <c r="C214" i="35"/>
  <c r="C267" i="55" l="1"/>
  <c r="I267" i="55"/>
  <c r="B268" i="55" s="1"/>
  <c r="G267" i="55"/>
  <c r="D267" i="55"/>
  <c r="H267" i="55"/>
  <c r="I267" i="54"/>
  <c r="B268" i="54" s="1"/>
  <c r="H267" i="54"/>
  <c r="G267" i="54"/>
  <c r="D267" i="54"/>
  <c r="C267" i="54"/>
  <c r="H267" i="53"/>
  <c r="G267" i="53"/>
  <c r="D267" i="53"/>
  <c r="C267" i="53"/>
  <c r="I267" i="53"/>
  <c r="B268" i="53" s="1"/>
  <c r="I267" i="52"/>
  <c r="B268" i="52" s="1"/>
  <c r="H267" i="52"/>
  <c r="G267" i="52"/>
  <c r="D267" i="52"/>
  <c r="C267" i="52"/>
  <c r="H267" i="51"/>
  <c r="G267" i="51"/>
  <c r="D267" i="51"/>
  <c r="C267" i="51"/>
  <c r="I267" i="51"/>
  <c r="B268" i="51" s="1"/>
  <c r="I266" i="50"/>
  <c r="B267" i="50" s="1"/>
  <c r="H266" i="50"/>
  <c r="G266" i="50"/>
  <c r="D266" i="50"/>
  <c r="C266" i="50"/>
  <c r="C266" i="49"/>
  <c r="I266" i="49"/>
  <c r="B267" i="49" s="1"/>
  <c r="G266" i="49"/>
  <c r="H266" i="49"/>
  <c r="D266" i="49"/>
  <c r="C266" i="48"/>
  <c r="I266" i="48"/>
  <c r="B267" i="48" s="1"/>
  <c r="G266" i="48"/>
  <c r="D266" i="48"/>
  <c r="H266" i="48"/>
  <c r="G266" i="47"/>
  <c r="I266" i="47"/>
  <c r="B267" i="47" s="1"/>
  <c r="H266" i="47"/>
  <c r="D266" i="47"/>
  <c r="C266" i="47"/>
  <c r="C215" i="35"/>
  <c r="I215" i="35"/>
  <c r="B216" i="35" s="1"/>
  <c r="D215" i="35"/>
  <c r="H215" i="35"/>
  <c r="G215" i="35"/>
  <c r="G268" i="55" l="1"/>
  <c r="D268" i="55"/>
  <c r="C268" i="55"/>
  <c r="I268" i="55"/>
  <c r="B269" i="55" s="1"/>
  <c r="H268" i="55"/>
  <c r="I268" i="54"/>
  <c r="B269" i="54" s="1"/>
  <c r="H268" i="54"/>
  <c r="G268" i="54"/>
  <c r="D268" i="54"/>
  <c r="C268" i="54"/>
  <c r="I268" i="53"/>
  <c r="B269" i="53" s="1"/>
  <c r="H268" i="53"/>
  <c r="G268" i="53"/>
  <c r="D268" i="53"/>
  <c r="C268" i="53"/>
  <c r="I268" i="52"/>
  <c r="B269" i="52" s="1"/>
  <c r="H268" i="52"/>
  <c r="G268" i="52"/>
  <c r="C268" i="52"/>
  <c r="D268" i="52"/>
  <c r="I268" i="51"/>
  <c r="B269" i="51" s="1"/>
  <c r="H268" i="51"/>
  <c r="G268" i="51"/>
  <c r="D268" i="51"/>
  <c r="C268" i="51"/>
  <c r="I267" i="50"/>
  <c r="B268" i="50" s="1"/>
  <c r="H267" i="50"/>
  <c r="G267" i="50"/>
  <c r="D267" i="50"/>
  <c r="C267" i="50"/>
  <c r="G267" i="49"/>
  <c r="D267" i="49"/>
  <c r="C267" i="49"/>
  <c r="I267" i="49"/>
  <c r="B268" i="49" s="1"/>
  <c r="H267" i="49"/>
  <c r="G267" i="48"/>
  <c r="D267" i="48"/>
  <c r="C267" i="48"/>
  <c r="I267" i="48"/>
  <c r="B268" i="48" s="1"/>
  <c r="H267" i="48"/>
  <c r="I267" i="47"/>
  <c r="B268" i="47" s="1"/>
  <c r="C267" i="47"/>
  <c r="H267" i="47"/>
  <c r="G267" i="47"/>
  <c r="D267" i="47"/>
  <c r="C216" i="35"/>
  <c r="G216" i="35"/>
  <c r="D216" i="35"/>
  <c r="I216" i="35"/>
  <c r="B217" i="35" s="1"/>
  <c r="H216" i="35"/>
  <c r="I269" i="55" l="1"/>
  <c r="B270" i="55" s="1"/>
  <c r="H269" i="55"/>
  <c r="G269" i="55"/>
  <c r="D269" i="55"/>
  <c r="C269" i="55"/>
  <c r="D269" i="54"/>
  <c r="C269" i="54"/>
  <c r="I269" i="54"/>
  <c r="B270" i="54" s="1"/>
  <c r="H269" i="54"/>
  <c r="G269" i="54"/>
  <c r="D269" i="53"/>
  <c r="I269" i="53"/>
  <c r="B270" i="53" s="1"/>
  <c r="G269" i="53"/>
  <c r="H269" i="53"/>
  <c r="C269" i="53"/>
  <c r="C269" i="52"/>
  <c r="I269" i="52"/>
  <c r="B270" i="52" s="1"/>
  <c r="G269" i="52"/>
  <c r="H269" i="52"/>
  <c r="D269" i="52"/>
  <c r="I269" i="51"/>
  <c r="B270" i="51" s="1"/>
  <c r="H269" i="51"/>
  <c r="G269" i="51"/>
  <c r="D269" i="51"/>
  <c r="C269" i="51"/>
  <c r="C268" i="50"/>
  <c r="I268" i="50"/>
  <c r="B269" i="50" s="1"/>
  <c r="H268" i="50"/>
  <c r="G268" i="50"/>
  <c r="D268" i="50"/>
  <c r="I268" i="49"/>
  <c r="B269" i="49" s="1"/>
  <c r="H268" i="49"/>
  <c r="G268" i="49"/>
  <c r="D268" i="49"/>
  <c r="C268" i="49"/>
  <c r="I268" i="48"/>
  <c r="B269" i="48" s="1"/>
  <c r="H268" i="48"/>
  <c r="G268" i="48"/>
  <c r="D268" i="48"/>
  <c r="C268" i="48"/>
  <c r="G268" i="47"/>
  <c r="H268" i="47"/>
  <c r="I268" i="47"/>
  <c r="B269" i="47" s="1"/>
  <c r="D268" i="47"/>
  <c r="C268" i="47"/>
  <c r="I217" i="35"/>
  <c r="B218" i="35" s="1"/>
  <c r="C217" i="35"/>
  <c r="G217" i="35"/>
  <c r="H217" i="35"/>
  <c r="D217" i="35"/>
  <c r="I270" i="55" l="1"/>
  <c r="B271" i="55" s="1"/>
  <c r="H270" i="55"/>
  <c r="G270" i="55"/>
  <c r="C270" i="55"/>
  <c r="D270" i="55"/>
  <c r="H270" i="54"/>
  <c r="G270" i="54"/>
  <c r="D270" i="54"/>
  <c r="C270" i="54"/>
  <c r="I270" i="54"/>
  <c r="B271" i="54" s="1"/>
  <c r="H270" i="53"/>
  <c r="D270" i="53"/>
  <c r="C270" i="53"/>
  <c r="I270" i="53"/>
  <c r="B271" i="53" s="1"/>
  <c r="G270" i="53"/>
  <c r="G270" i="52"/>
  <c r="D270" i="52"/>
  <c r="C270" i="52"/>
  <c r="I270" i="52"/>
  <c r="B271" i="52" s="1"/>
  <c r="H270" i="52"/>
  <c r="D270" i="51"/>
  <c r="C270" i="51"/>
  <c r="I270" i="51"/>
  <c r="B271" i="51" s="1"/>
  <c r="H270" i="51"/>
  <c r="G270" i="51"/>
  <c r="G269" i="50"/>
  <c r="D269" i="50"/>
  <c r="C269" i="50"/>
  <c r="I269" i="50"/>
  <c r="B270" i="50" s="1"/>
  <c r="H269" i="50"/>
  <c r="I269" i="49"/>
  <c r="B270" i="49" s="1"/>
  <c r="H269" i="49"/>
  <c r="G269" i="49"/>
  <c r="C269" i="49"/>
  <c r="D269" i="49"/>
  <c r="I269" i="48"/>
  <c r="B270" i="48" s="1"/>
  <c r="H269" i="48"/>
  <c r="G269" i="48"/>
  <c r="C269" i="48"/>
  <c r="D269" i="48"/>
  <c r="C269" i="47"/>
  <c r="I269" i="47"/>
  <c r="B270" i="47" s="1"/>
  <c r="G269" i="47"/>
  <c r="D269" i="47"/>
  <c r="H269" i="47"/>
  <c r="G218" i="35"/>
  <c r="D218" i="35"/>
  <c r="H218" i="35"/>
  <c r="I218" i="35"/>
  <c r="B219" i="35" s="1"/>
  <c r="C218" i="35"/>
  <c r="C271" i="55" l="1"/>
  <c r="I271" i="55"/>
  <c r="B272" i="55" s="1"/>
  <c r="G271" i="55"/>
  <c r="D271" i="55"/>
  <c r="H271" i="55"/>
  <c r="I271" i="54"/>
  <c r="B272" i="54" s="1"/>
  <c r="H271" i="54"/>
  <c r="G271" i="54"/>
  <c r="D271" i="54"/>
  <c r="C271" i="54"/>
  <c r="H271" i="53"/>
  <c r="G271" i="53"/>
  <c r="D271" i="53"/>
  <c r="C271" i="53"/>
  <c r="I271" i="53"/>
  <c r="B272" i="53" s="1"/>
  <c r="I271" i="52"/>
  <c r="B272" i="52" s="1"/>
  <c r="H271" i="52"/>
  <c r="G271" i="52"/>
  <c r="D271" i="52"/>
  <c r="C271" i="52"/>
  <c r="H271" i="51"/>
  <c r="G271" i="51"/>
  <c r="D271" i="51"/>
  <c r="C271" i="51"/>
  <c r="I271" i="51"/>
  <c r="B272" i="51" s="1"/>
  <c r="I270" i="50"/>
  <c r="B271" i="50" s="1"/>
  <c r="H270" i="50"/>
  <c r="G270" i="50"/>
  <c r="D270" i="50"/>
  <c r="C270" i="50"/>
  <c r="C270" i="49"/>
  <c r="I270" i="49"/>
  <c r="B271" i="49" s="1"/>
  <c r="G270" i="49"/>
  <c r="D270" i="49"/>
  <c r="H270" i="49"/>
  <c r="C270" i="48"/>
  <c r="I270" i="48"/>
  <c r="B271" i="48" s="1"/>
  <c r="G270" i="48"/>
  <c r="D270" i="48"/>
  <c r="H270" i="48"/>
  <c r="G270" i="47"/>
  <c r="I270" i="47"/>
  <c r="B271" i="47" s="1"/>
  <c r="D270" i="47"/>
  <c r="C270" i="47"/>
  <c r="H270" i="47"/>
  <c r="C219" i="35"/>
  <c r="D219" i="35"/>
  <c r="H219" i="35"/>
  <c r="I219" i="35"/>
  <c r="B220" i="35" s="1"/>
  <c r="G219" i="35"/>
  <c r="G272" i="55" l="1"/>
  <c r="D272" i="55"/>
  <c r="C272" i="55"/>
  <c r="I272" i="55"/>
  <c r="B273" i="55" s="1"/>
  <c r="H272" i="55"/>
  <c r="I272" i="54"/>
  <c r="B273" i="54" s="1"/>
  <c r="H272" i="54"/>
  <c r="G272" i="54"/>
  <c r="D272" i="54"/>
  <c r="C272" i="54"/>
  <c r="I272" i="53"/>
  <c r="B273" i="53" s="1"/>
  <c r="H272" i="53"/>
  <c r="G272" i="53"/>
  <c r="C272" i="53"/>
  <c r="D272" i="53"/>
  <c r="I272" i="52"/>
  <c r="B273" i="52" s="1"/>
  <c r="H272" i="52"/>
  <c r="G272" i="52"/>
  <c r="C272" i="52"/>
  <c r="D272" i="52"/>
  <c r="I272" i="51"/>
  <c r="B273" i="51" s="1"/>
  <c r="H272" i="51"/>
  <c r="G272" i="51"/>
  <c r="D272" i="51"/>
  <c r="C272" i="51"/>
  <c r="I271" i="50"/>
  <c r="B272" i="50" s="1"/>
  <c r="H271" i="50"/>
  <c r="G271" i="50"/>
  <c r="D271" i="50"/>
  <c r="C271" i="50"/>
  <c r="G271" i="49"/>
  <c r="D271" i="49"/>
  <c r="C271" i="49"/>
  <c r="I271" i="49"/>
  <c r="B272" i="49" s="1"/>
  <c r="H271" i="49"/>
  <c r="G271" i="48"/>
  <c r="D271" i="48"/>
  <c r="C271" i="48"/>
  <c r="I271" i="48"/>
  <c r="B272" i="48" s="1"/>
  <c r="H271" i="48"/>
  <c r="I271" i="47"/>
  <c r="B272" i="47" s="1"/>
  <c r="C271" i="47"/>
  <c r="D271" i="47"/>
  <c r="H271" i="47"/>
  <c r="G271" i="47"/>
  <c r="C220" i="35"/>
  <c r="G220" i="35"/>
  <c r="D220" i="35"/>
  <c r="H220" i="35"/>
  <c r="I220" i="35"/>
  <c r="B221" i="35" s="1"/>
  <c r="I273" i="55" l="1"/>
  <c r="B274" i="55" s="1"/>
  <c r="H273" i="55"/>
  <c r="G273" i="55"/>
  <c r="D273" i="55"/>
  <c r="C273" i="55"/>
  <c r="D273" i="54"/>
  <c r="C273" i="54"/>
  <c r="I273" i="54"/>
  <c r="B274" i="54" s="1"/>
  <c r="H273" i="54"/>
  <c r="G273" i="54"/>
  <c r="D273" i="53"/>
  <c r="I273" i="53"/>
  <c r="B274" i="53" s="1"/>
  <c r="H273" i="53"/>
  <c r="C273" i="53"/>
  <c r="G273" i="53"/>
  <c r="C273" i="52"/>
  <c r="I273" i="52"/>
  <c r="B274" i="52" s="1"/>
  <c r="G273" i="52"/>
  <c r="D273" i="52"/>
  <c r="H273" i="52"/>
  <c r="I273" i="51"/>
  <c r="B274" i="51" s="1"/>
  <c r="H273" i="51"/>
  <c r="G273" i="51"/>
  <c r="D273" i="51"/>
  <c r="C273" i="51"/>
  <c r="C272" i="50"/>
  <c r="I272" i="50"/>
  <c r="B273" i="50" s="1"/>
  <c r="H272" i="50"/>
  <c r="G272" i="50"/>
  <c r="D272" i="50"/>
  <c r="I272" i="49"/>
  <c r="B273" i="49" s="1"/>
  <c r="H272" i="49"/>
  <c r="G272" i="49"/>
  <c r="D272" i="49"/>
  <c r="C272" i="49"/>
  <c r="I272" i="48"/>
  <c r="B273" i="48" s="1"/>
  <c r="G272" i="48"/>
  <c r="H272" i="48"/>
  <c r="D272" i="48"/>
  <c r="C272" i="48"/>
  <c r="G272" i="47"/>
  <c r="I272" i="47"/>
  <c r="B273" i="47" s="1"/>
  <c r="H272" i="47"/>
  <c r="C272" i="47"/>
  <c r="D272" i="47"/>
  <c r="I221" i="35"/>
  <c r="B222" i="35" s="1"/>
  <c r="C221" i="35"/>
  <c r="G221" i="35"/>
  <c r="H221" i="35"/>
  <c r="D221" i="35"/>
  <c r="I274" i="55" l="1"/>
  <c r="B275" i="55" s="1"/>
  <c r="H274" i="55"/>
  <c r="G274" i="55"/>
  <c r="C274" i="55"/>
  <c r="D274" i="55"/>
  <c r="H274" i="54"/>
  <c r="G274" i="54"/>
  <c r="D274" i="54"/>
  <c r="C274" i="54"/>
  <c r="I274" i="54"/>
  <c r="B275" i="54" s="1"/>
  <c r="H274" i="53"/>
  <c r="D274" i="53"/>
  <c r="C274" i="53"/>
  <c r="I274" i="53"/>
  <c r="B275" i="53" s="1"/>
  <c r="G274" i="53"/>
  <c r="G274" i="52"/>
  <c r="D274" i="52"/>
  <c r="C274" i="52"/>
  <c r="I274" i="52"/>
  <c r="B275" i="52" s="1"/>
  <c r="H274" i="52"/>
  <c r="D274" i="51"/>
  <c r="C274" i="51"/>
  <c r="I274" i="51"/>
  <c r="B275" i="51" s="1"/>
  <c r="H274" i="51"/>
  <c r="G274" i="51"/>
  <c r="G273" i="50"/>
  <c r="D273" i="50"/>
  <c r="C273" i="50"/>
  <c r="I273" i="50"/>
  <c r="B274" i="50" s="1"/>
  <c r="H273" i="50"/>
  <c r="I273" i="49"/>
  <c r="B274" i="49" s="1"/>
  <c r="H273" i="49"/>
  <c r="G273" i="49"/>
  <c r="C273" i="49"/>
  <c r="D273" i="49"/>
  <c r="I273" i="48"/>
  <c r="B274" i="48" s="1"/>
  <c r="D273" i="48"/>
  <c r="C273" i="48"/>
  <c r="H273" i="48"/>
  <c r="G273" i="48"/>
  <c r="C273" i="47"/>
  <c r="I273" i="47"/>
  <c r="B274" i="47" s="1"/>
  <c r="H273" i="47"/>
  <c r="G273" i="47"/>
  <c r="D273" i="47"/>
  <c r="G222" i="35"/>
  <c r="D222" i="35"/>
  <c r="I222" i="35"/>
  <c r="B223" i="35" s="1"/>
  <c r="C222" i="35"/>
  <c r="H222" i="35"/>
  <c r="C275" i="55" l="1"/>
  <c r="I275" i="55"/>
  <c r="B276" i="55" s="1"/>
  <c r="G275" i="55"/>
  <c r="D275" i="55"/>
  <c r="H275" i="55"/>
  <c r="I275" i="54"/>
  <c r="B276" i="54" s="1"/>
  <c r="H275" i="54"/>
  <c r="G275" i="54"/>
  <c r="D275" i="54"/>
  <c r="C275" i="54"/>
  <c r="H275" i="53"/>
  <c r="G275" i="53"/>
  <c r="D275" i="53"/>
  <c r="C275" i="53"/>
  <c r="I275" i="53"/>
  <c r="B276" i="53" s="1"/>
  <c r="I275" i="52"/>
  <c r="B276" i="52" s="1"/>
  <c r="H275" i="52"/>
  <c r="G275" i="52"/>
  <c r="D275" i="52"/>
  <c r="C275" i="52"/>
  <c r="H275" i="51"/>
  <c r="G275" i="51"/>
  <c r="D275" i="51"/>
  <c r="C275" i="51"/>
  <c r="I275" i="51"/>
  <c r="B276" i="51" s="1"/>
  <c r="I274" i="50"/>
  <c r="B275" i="50" s="1"/>
  <c r="H274" i="50"/>
  <c r="G274" i="50"/>
  <c r="D274" i="50"/>
  <c r="C274" i="50"/>
  <c r="C274" i="49"/>
  <c r="I274" i="49"/>
  <c r="B275" i="49" s="1"/>
  <c r="G274" i="49"/>
  <c r="H274" i="49"/>
  <c r="D274" i="49"/>
  <c r="D274" i="48"/>
  <c r="C274" i="48"/>
  <c r="H274" i="48"/>
  <c r="G274" i="48"/>
  <c r="I274" i="48"/>
  <c r="B275" i="48" s="1"/>
  <c r="G274" i="47"/>
  <c r="I274" i="47"/>
  <c r="B275" i="47" s="1"/>
  <c r="H274" i="47"/>
  <c r="D274" i="47"/>
  <c r="C274" i="47"/>
  <c r="H223" i="35"/>
  <c r="D223" i="35"/>
  <c r="C223" i="35"/>
  <c r="G223" i="35"/>
  <c r="I223" i="35"/>
  <c r="B224" i="35" s="1"/>
  <c r="G276" i="55" l="1"/>
  <c r="D276" i="55"/>
  <c r="C276" i="55"/>
  <c r="I276" i="55"/>
  <c r="B277" i="55" s="1"/>
  <c r="H276" i="55"/>
  <c r="I276" i="54"/>
  <c r="B277" i="54" s="1"/>
  <c r="H276" i="54"/>
  <c r="G276" i="54"/>
  <c r="D276" i="54"/>
  <c r="C276" i="54"/>
  <c r="I276" i="53"/>
  <c r="B277" i="53" s="1"/>
  <c r="H276" i="53"/>
  <c r="G276" i="53"/>
  <c r="D276" i="53"/>
  <c r="C276" i="53"/>
  <c r="I276" i="52"/>
  <c r="B277" i="52" s="1"/>
  <c r="H276" i="52"/>
  <c r="G276" i="52"/>
  <c r="C276" i="52"/>
  <c r="D276" i="52"/>
  <c r="I276" i="51"/>
  <c r="B277" i="51" s="1"/>
  <c r="H276" i="51"/>
  <c r="G276" i="51"/>
  <c r="D276" i="51"/>
  <c r="C276" i="51"/>
  <c r="I275" i="50"/>
  <c r="B276" i="50" s="1"/>
  <c r="H275" i="50"/>
  <c r="G275" i="50"/>
  <c r="D275" i="50"/>
  <c r="C275" i="50"/>
  <c r="G275" i="49"/>
  <c r="D275" i="49"/>
  <c r="C275" i="49"/>
  <c r="I275" i="49"/>
  <c r="B276" i="49" s="1"/>
  <c r="H275" i="49"/>
  <c r="H275" i="48"/>
  <c r="G275" i="48"/>
  <c r="C275" i="48"/>
  <c r="I275" i="48"/>
  <c r="B276" i="48" s="1"/>
  <c r="D275" i="48"/>
  <c r="I275" i="47"/>
  <c r="B276" i="47" s="1"/>
  <c r="C275" i="47"/>
  <c r="H275" i="47"/>
  <c r="G275" i="47"/>
  <c r="D275" i="47"/>
  <c r="C224" i="35"/>
  <c r="G224" i="35"/>
  <c r="D224" i="35"/>
  <c r="H224" i="35"/>
  <c r="I224" i="35"/>
  <c r="B225" i="35" s="1"/>
  <c r="I277" i="55" l="1"/>
  <c r="B278" i="55" s="1"/>
  <c r="H277" i="55"/>
  <c r="G277" i="55"/>
  <c r="D277" i="55"/>
  <c r="C277" i="55"/>
  <c r="D277" i="54"/>
  <c r="C277" i="54"/>
  <c r="I277" i="54"/>
  <c r="B278" i="54" s="1"/>
  <c r="H277" i="54"/>
  <c r="G277" i="54"/>
  <c r="D277" i="53"/>
  <c r="I277" i="53"/>
  <c r="B278" i="53" s="1"/>
  <c r="H277" i="53"/>
  <c r="G277" i="53"/>
  <c r="C277" i="53"/>
  <c r="C277" i="52"/>
  <c r="I277" i="52"/>
  <c r="B278" i="52" s="1"/>
  <c r="G277" i="52"/>
  <c r="H277" i="52"/>
  <c r="D277" i="52"/>
  <c r="I277" i="51"/>
  <c r="B278" i="51" s="1"/>
  <c r="H277" i="51"/>
  <c r="G277" i="51"/>
  <c r="D277" i="51"/>
  <c r="C277" i="51"/>
  <c r="C276" i="50"/>
  <c r="I276" i="50"/>
  <c r="B277" i="50" s="1"/>
  <c r="H276" i="50"/>
  <c r="G276" i="50"/>
  <c r="D276" i="50"/>
  <c r="I276" i="49"/>
  <c r="B277" i="49" s="1"/>
  <c r="H276" i="49"/>
  <c r="G276" i="49"/>
  <c r="D276" i="49"/>
  <c r="C276" i="49"/>
  <c r="I276" i="48"/>
  <c r="B277" i="48" s="1"/>
  <c r="G276" i="48"/>
  <c r="H276" i="48"/>
  <c r="D276" i="48"/>
  <c r="C276" i="48"/>
  <c r="G276" i="47"/>
  <c r="H276" i="47"/>
  <c r="D276" i="47"/>
  <c r="C276" i="47"/>
  <c r="I276" i="47"/>
  <c r="B277" i="47" s="1"/>
  <c r="I225" i="35"/>
  <c r="B226" i="35" s="1"/>
  <c r="C225" i="35"/>
  <c r="G225" i="35"/>
  <c r="D225" i="35"/>
  <c r="H225" i="35"/>
  <c r="I278" i="55" l="1"/>
  <c r="B279" i="55" s="1"/>
  <c r="H278" i="55"/>
  <c r="G278" i="55"/>
  <c r="C278" i="55"/>
  <c r="D278" i="55"/>
  <c r="H278" i="54"/>
  <c r="G278" i="54"/>
  <c r="D278" i="54"/>
  <c r="C278" i="54"/>
  <c r="I278" i="54"/>
  <c r="B279" i="54" s="1"/>
  <c r="H278" i="53"/>
  <c r="D278" i="53"/>
  <c r="C278" i="53"/>
  <c r="I278" i="53"/>
  <c r="B279" i="53" s="1"/>
  <c r="G278" i="53"/>
  <c r="G278" i="52"/>
  <c r="D278" i="52"/>
  <c r="C278" i="52"/>
  <c r="I278" i="52"/>
  <c r="B279" i="52" s="1"/>
  <c r="H278" i="52"/>
  <c r="D278" i="51"/>
  <c r="C278" i="51"/>
  <c r="I278" i="51"/>
  <c r="B279" i="51" s="1"/>
  <c r="H278" i="51"/>
  <c r="G278" i="51"/>
  <c r="G277" i="50"/>
  <c r="D277" i="50"/>
  <c r="C277" i="50"/>
  <c r="I277" i="50"/>
  <c r="B278" i="50" s="1"/>
  <c r="H277" i="50"/>
  <c r="I277" i="49"/>
  <c r="B278" i="49" s="1"/>
  <c r="H277" i="49"/>
  <c r="G277" i="49"/>
  <c r="C277" i="49"/>
  <c r="D277" i="49"/>
  <c r="I277" i="48"/>
  <c r="B278" i="48" s="1"/>
  <c r="D277" i="48"/>
  <c r="C277" i="48"/>
  <c r="H277" i="48"/>
  <c r="G277" i="48"/>
  <c r="C277" i="47"/>
  <c r="I277" i="47"/>
  <c r="B278" i="47" s="1"/>
  <c r="G277" i="47"/>
  <c r="D277" i="47"/>
  <c r="H277" i="47"/>
  <c r="D226" i="35"/>
  <c r="G226" i="35"/>
  <c r="I226" i="35"/>
  <c r="B227" i="35" s="1"/>
  <c r="C226" i="35"/>
  <c r="H226" i="35"/>
  <c r="C279" i="55" l="1"/>
  <c r="I279" i="55"/>
  <c r="B280" i="55" s="1"/>
  <c r="G279" i="55"/>
  <c r="D279" i="55"/>
  <c r="H279" i="55"/>
  <c r="I279" i="54"/>
  <c r="B280" i="54" s="1"/>
  <c r="H279" i="54"/>
  <c r="G279" i="54"/>
  <c r="D279" i="54"/>
  <c r="C279" i="54"/>
  <c r="H279" i="53"/>
  <c r="G279" i="53"/>
  <c r="D279" i="53"/>
  <c r="C279" i="53"/>
  <c r="I279" i="53"/>
  <c r="B280" i="53" s="1"/>
  <c r="I279" i="52"/>
  <c r="B280" i="52" s="1"/>
  <c r="H279" i="52"/>
  <c r="G279" i="52"/>
  <c r="D279" i="52"/>
  <c r="C279" i="52"/>
  <c r="H279" i="51"/>
  <c r="G279" i="51"/>
  <c r="D279" i="51"/>
  <c r="C279" i="51"/>
  <c r="I279" i="51"/>
  <c r="B280" i="51" s="1"/>
  <c r="I278" i="50"/>
  <c r="B279" i="50" s="1"/>
  <c r="H278" i="50"/>
  <c r="G278" i="50"/>
  <c r="D278" i="50"/>
  <c r="C278" i="50"/>
  <c r="C278" i="49"/>
  <c r="I278" i="49"/>
  <c r="B279" i="49" s="1"/>
  <c r="G278" i="49"/>
  <c r="H278" i="49"/>
  <c r="D278" i="49"/>
  <c r="D278" i="48"/>
  <c r="C278" i="48"/>
  <c r="H278" i="48"/>
  <c r="G278" i="48"/>
  <c r="I278" i="48"/>
  <c r="B279" i="48" s="1"/>
  <c r="G278" i="47"/>
  <c r="D278" i="47"/>
  <c r="C278" i="47"/>
  <c r="I278" i="47"/>
  <c r="B279" i="47" s="1"/>
  <c r="H278" i="47"/>
  <c r="C227" i="35"/>
  <c r="I227" i="35"/>
  <c r="B228" i="35" s="1"/>
  <c r="G227" i="35"/>
  <c r="D227" i="35"/>
  <c r="H227" i="35"/>
  <c r="G280" i="55" l="1"/>
  <c r="D280" i="55"/>
  <c r="C280" i="55"/>
  <c r="I280" i="55"/>
  <c r="B281" i="55" s="1"/>
  <c r="H280" i="55"/>
  <c r="I280" i="54"/>
  <c r="B281" i="54" s="1"/>
  <c r="H280" i="54"/>
  <c r="G280" i="54"/>
  <c r="D280" i="54"/>
  <c r="C280" i="54"/>
  <c r="I280" i="53"/>
  <c r="B281" i="53" s="1"/>
  <c r="H280" i="53"/>
  <c r="G280" i="53"/>
  <c r="C280" i="53"/>
  <c r="D280" i="53"/>
  <c r="I280" i="52"/>
  <c r="B281" i="52" s="1"/>
  <c r="H280" i="52"/>
  <c r="G280" i="52"/>
  <c r="C280" i="52"/>
  <c r="D280" i="52"/>
  <c r="I280" i="51"/>
  <c r="B281" i="51" s="1"/>
  <c r="H280" i="51"/>
  <c r="G280" i="51"/>
  <c r="D280" i="51"/>
  <c r="C280" i="51"/>
  <c r="I279" i="50"/>
  <c r="B280" i="50" s="1"/>
  <c r="H279" i="50"/>
  <c r="G279" i="50"/>
  <c r="D279" i="50"/>
  <c r="C279" i="50"/>
  <c r="G279" i="49"/>
  <c r="D279" i="49"/>
  <c r="C279" i="49"/>
  <c r="I279" i="49"/>
  <c r="B280" i="49" s="1"/>
  <c r="H279" i="49"/>
  <c r="H279" i="48"/>
  <c r="G279" i="48"/>
  <c r="C279" i="48"/>
  <c r="I279" i="48"/>
  <c r="B280" i="48" s="1"/>
  <c r="D279" i="48"/>
  <c r="I279" i="47"/>
  <c r="B280" i="47" s="1"/>
  <c r="C279" i="47"/>
  <c r="H279" i="47"/>
  <c r="D279" i="47"/>
  <c r="G279" i="47"/>
  <c r="C228" i="35"/>
  <c r="G228" i="35"/>
  <c r="H228" i="35"/>
  <c r="D228" i="35"/>
  <c r="I228" i="35"/>
  <c r="B229" i="35" s="1"/>
  <c r="I281" i="55" l="1"/>
  <c r="B282" i="55" s="1"/>
  <c r="H281" i="55"/>
  <c r="G281" i="55"/>
  <c r="D281" i="55"/>
  <c r="C281" i="55"/>
  <c r="D281" i="54"/>
  <c r="C281" i="54"/>
  <c r="I281" i="54"/>
  <c r="B282" i="54" s="1"/>
  <c r="H281" i="54"/>
  <c r="G281" i="54"/>
  <c r="D281" i="53"/>
  <c r="I281" i="53"/>
  <c r="B282" i="53" s="1"/>
  <c r="H281" i="53"/>
  <c r="G281" i="53"/>
  <c r="C281" i="53"/>
  <c r="C281" i="52"/>
  <c r="I281" i="52"/>
  <c r="B282" i="52" s="1"/>
  <c r="G281" i="52"/>
  <c r="H281" i="52"/>
  <c r="D281" i="52"/>
  <c r="I281" i="51"/>
  <c r="B282" i="51" s="1"/>
  <c r="H281" i="51"/>
  <c r="G281" i="51"/>
  <c r="D281" i="51"/>
  <c r="C281" i="51"/>
  <c r="C280" i="50"/>
  <c r="I280" i="50"/>
  <c r="B281" i="50" s="1"/>
  <c r="H280" i="50"/>
  <c r="G280" i="50"/>
  <c r="D280" i="50"/>
  <c r="I280" i="49"/>
  <c r="B281" i="49" s="1"/>
  <c r="H280" i="49"/>
  <c r="G280" i="49"/>
  <c r="D280" i="49"/>
  <c r="C280" i="49"/>
  <c r="I280" i="48"/>
  <c r="B281" i="48" s="1"/>
  <c r="G280" i="48"/>
  <c r="H280" i="48"/>
  <c r="D280" i="48"/>
  <c r="C280" i="48"/>
  <c r="G280" i="47"/>
  <c r="C280" i="47"/>
  <c r="I280" i="47"/>
  <c r="B281" i="47" s="1"/>
  <c r="H280" i="47"/>
  <c r="D280" i="47"/>
  <c r="I229" i="35"/>
  <c r="B230" i="35" s="1"/>
  <c r="C229" i="35"/>
  <c r="G229" i="35"/>
  <c r="H229" i="35"/>
  <c r="D229" i="35"/>
  <c r="I282" i="55" l="1"/>
  <c r="B283" i="55" s="1"/>
  <c r="H282" i="55"/>
  <c r="G282" i="55"/>
  <c r="C282" i="55"/>
  <c r="D282" i="55"/>
  <c r="H282" i="54"/>
  <c r="G282" i="54"/>
  <c r="D282" i="54"/>
  <c r="C282" i="54"/>
  <c r="I282" i="54"/>
  <c r="B283" i="54" s="1"/>
  <c r="H282" i="53"/>
  <c r="D282" i="53"/>
  <c r="C282" i="53"/>
  <c r="I282" i="53"/>
  <c r="B283" i="53" s="1"/>
  <c r="G282" i="53"/>
  <c r="G282" i="52"/>
  <c r="D282" i="52"/>
  <c r="C282" i="52"/>
  <c r="I282" i="52"/>
  <c r="B283" i="52" s="1"/>
  <c r="H282" i="52"/>
  <c r="D282" i="51"/>
  <c r="C282" i="51"/>
  <c r="I282" i="51"/>
  <c r="B283" i="51" s="1"/>
  <c r="H282" i="51"/>
  <c r="G282" i="51"/>
  <c r="G281" i="50"/>
  <c r="D281" i="50"/>
  <c r="C281" i="50"/>
  <c r="I281" i="50"/>
  <c r="B282" i="50" s="1"/>
  <c r="H281" i="50"/>
  <c r="I281" i="49"/>
  <c r="B282" i="49" s="1"/>
  <c r="H281" i="49"/>
  <c r="G281" i="49"/>
  <c r="C281" i="49"/>
  <c r="D281" i="49"/>
  <c r="I281" i="48"/>
  <c r="B282" i="48" s="1"/>
  <c r="D281" i="48"/>
  <c r="C281" i="48"/>
  <c r="G281" i="48"/>
  <c r="H281" i="48"/>
  <c r="C281" i="47"/>
  <c r="I281" i="47"/>
  <c r="B282" i="47" s="1"/>
  <c r="H281" i="47"/>
  <c r="G281" i="47"/>
  <c r="D281" i="47"/>
  <c r="G230" i="35"/>
  <c r="D230" i="35"/>
  <c r="I230" i="35"/>
  <c r="B231" i="35" s="1"/>
  <c r="H230" i="35"/>
  <c r="C230" i="35"/>
  <c r="C283" i="55" l="1"/>
  <c r="I283" i="55"/>
  <c r="B284" i="55" s="1"/>
  <c r="G283" i="55"/>
  <c r="D283" i="55"/>
  <c r="H283" i="55"/>
  <c r="I283" i="54"/>
  <c r="B284" i="54" s="1"/>
  <c r="H283" i="54"/>
  <c r="G283" i="54"/>
  <c r="D283" i="54"/>
  <c r="C283" i="54"/>
  <c r="H283" i="53"/>
  <c r="G283" i="53"/>
  <c r="D283" i="53"/>
  <c r="C283" i="53"/>
  <c r="I283" i="53"/>
  <c r="B284" i="53" s="1"/>
  <c r="I283" i="52"/>
  <c r="B284" i="52" s="1"/>
  <c r="H283" i="52"/>
  <c r="G283" i="52"/>
  <c r="D283" i="52"/>
  <c r="C283" i="52"/>
  <c r="H283" i="51"/>
  <c r="G283" i="51"/>
  <c r="D283" i="51"/>
  <c r="C283" i="51"/>
  <c r="I283" i="51"/>
  <c r="B284" i="51" s="1"/>
  <c r="I282" i="50"/>
  <c r="B283" i="50" s="1"/>
  <c r="H282" i="50"/>
  <c r="G282" i="50"/>
  <c r="D282" i="50"/>
  <c r="C282" i="50"/>
  <c r="C282" i="49"/>
  <c r="I282" i="49"/>
  <c r="B283" i="49" s="1"/>
  <c r="G282" i="49"/>
  <c r="H282" i="49"/>
  <c r="D282" i="49"/>
  <c r="D282" i="48"/>
  <c r="C282" i="48"/>
  <c r="H282" i="48"/>
  <c r="G282" i="48"/>
  <c r="I282" i="48"/>
  <c r="B283" i="48" s="1"/>
  <c r="G282" i="47"/>
  <c r="I282" i="47"/>
  <c r="B283" i="47" s="1"/>
  <c r="H282" i="47"/>
  <c r="D282" i="47"/>
  <c r="C282" i="47"/>
  <c r="I231" i="35"/>
  <c r="B232" i="35" s="1"/>
  <c r="G231" i="35"/>
  <c r="D231" i="35"/>
  <c r="H231" i="35"/>
  <c r="C231" i="35"/>
  <c r="G284" i="55" l="1"/>
  <c r="D284" i="55"/>
  <c r="C284" i="55"/>
  <c r="I284" i="55"/>
  <c r="B285" i="55" s="1"/>
  <c r="H284" i="55"/>
  <c r="I284" i="54"/>
  <c r="B285" i="54" s="1"/>
  <c r="H284" i="54"/>
  <c r="G284" i="54"/>
  <c r="D284" i="54"/>
  <c r="C284" i="54"/>
  <c r="I284" i="53"/>
  <c r="B285" i="53" s="1"/>
  <c r="H284" i="53"/>
  <c r="G284" i="53"/>
  <c r="D284" i="53"/>
  <c r="C284" i="53"/>
  <c r="I284" i="52"/>
  <c r="B285" i="52" s="1"/>
  <c r="H284" i="52"/>
  <c r="G284" i="52"/>
  <c r="C284" i="52"/>
  <c r="D284" i="52"/>
  <c r="I284" i="51"/>
  <c r="B285" i="51" s="1"/>
  <c r="H284" i="51"/>
  <c r="G284" i="51"/>
  <c r="D284" i="51"/>
  <c r="C284" i="51"/>
  <c r="I283" i="50"/>
  <c r="B284" i="50" s="1"/>
  <c r="H283" i="50"/>
  <c r="G283" i="50"/>
  <c r="D283" i="50"/>
  <c r="C283" i="50"/>
  <c r="G283" i="49"/>
  <c r="D283" i="49"/>
  <c r="C283" i="49"/>
  <c r="I283" i="49"/>
  <c r="B284" i="49" s="1"/>
  <c r="H283" i="49"/>
  <c r="H283" i="48"/>
  <c r="G283" i="48"/>
  <c r="D283" i="48"/>
  <c r="C283" i="48"/>
  <c r="I283" i="48"/>
  <c r="B284" i="48" s="1"/>
  <c r="I283" i="47"/>
  <c r="B284" i="47" s="1"/>
  <c r="C283" i="47"/>
  <c r="H283" i="47"/>
  <c r="G283" i="47"/>
  <c r="D283" i="47"/>
  <c r="C232" i="35"/>
  <c r="G232" i="35"/>
  <c r="H232" i="35"/>
  <c r="D232" i="35"/>
  <c r="I232" i="35"/>
  <c r="B233" i="35" s="1"/>
  <c r="I285" i="55" l="1"/>
  <c r="B286" i="55" s="1"/>
  <c r="H285" i="55"/>
  <c r="G285" i="55"/>
  <c r="D285" i="55"/>
  <c r="C285" i="55"/>
  <c r="D285" i="54"/>
  <c r="C285" i="54"/>
  <c r="I285" i="54"/>
  <c r="B286" i="54" s="1"/>
  <c r="H285" i="54"/>
  <c r="G285" i="54"/>
  <c r="D285" i="53"/>
  <c r="I285" i="53"/>
  <c r="B286" i="53" s="1"/>
  <c r="H285" i="53"/>
  <c r="G285" i="53"/>
  <c r="C285" i="53"/>
  <c r="C285" i="52"/>
  <c r="I285" i="52"/>
  <c r="B286" i="52" s="1"/>
  <c r="G285" i="52"/>
  <c r="H285" i="52"/>
  <c r="D285" i="52"/>
  <c r="I285" i="51"/>
  <c r="B286" i="51" s="1"/>
  <c r="H285" i="51"/>
  <c r="G285" i="51"/>
  <c r="D285" i="51"/>
  <c r="C285" i="51"/>
  <c r="C284" i="50"/>
  <c r="I284" i="50"/>
  <c r="B285" i="50" s="1"/>
  <c r="H284" i="50"/>
  <c r="G284" i="50"/>
  <c r="D284" i="50"/>
  <c r="I284" i="49"/>
  <c r="B285" i="49" s="1"/>
  <c r="H284" i="49"/>
  <c r="G284" i="49"/>
  <c r="D284" i="49"/>
  <c r="C284" i="49"/>
  <c r="I284" i="48"/>
  <c r="B285" i="48" s="1"/>
  <c r="H284" i="48"/>
  <c r="G284" i="48"/>
  <c r="D284" i="48"/>
  <c r="C284" i="48"/>
  <c r="I284" i="47"/>
  <c r="B285" i="47" s="1"/>
  <c r="G284" i="47"/>
  <c r="H284" i="47"/>
  <c r="D284" i="47"/>
  <c r="C284" i="47"/>
  <c r="I233" i="35"/>
  <c r="B234" i="35" s="1"/>
  <c r="C233" i="35"/>
  <c r="D233" i="35"/>
  <c r="G233" i="35"/>
  <c r="H233" i="35"/>
  <c r="I286" i="55" l="1"/>
  <c r="B287" i="55" s="1"/>
  <c r="H286" i="55"/>
  <c r="G286" i="55"/>
  <c r="C286" i="55"/>
  <c r="D286" i="55"/>
  <c r="H286" i="54"/>
  <c r="G286" i="54"/>
  <c r="D286" i="54"/>
  <c r="C286" i="54"/>
  <c r="I286" i="54"/>
  <c r="B287" i="54" s="1"/>
  <c r="H286" i="53"/>
  <c r="D286" i="53"/>
  <c r="C286" i="53"/>
  <c r="G286" i="53"/>
  <c r="I286" i="53"/>
  <c r="B287" i="53" s="1"/>
  <c r="G286" i="52"/>
  <c r="D286" i="52"/>
  <c r="C286" i="52"/>
  <c r="I286" i="52"/>
  <c r="B287" i="52" s="1"/>
  <c r="H286" i="52"/>
  <c r="D286" i="51"/>
  <c r="C286" i="51"/>
  <c r="I286" i="51"/>
  <c r="B287" i="51" s="1"/>
  <c r="H286" i="51"/>
  <c r="G286" i="51"/>
  <c r="G285" i="50"/>
  <c r="D285" i="50"/>
  <c r="C285" i="50"/>
  <c r="I285" i="50"/>
  <c r="B286" i="50" s="1"/>
  <c r="H285" i="50"/>
  <c r="I285" i="49"/>
  <c r="B286" i="49" s="1"/>
  <c r="H285" i="49"/>
  <c r="D285" i="49"/>
  <c r="G285" i="49"/>
  <c r="C285" i="49"/>
  <c r="I285" i="48"/>
  <c r="B286" i="48" s="1"/>
  <c r="D285" i="48"/>
  <c r="C285" i="48"/>
  <c r="H285" i="48"/>
  <c r="G285" i="48"/>
  <c r="C285" i="47"/>
  <c r="I285" i="47"/>
  <c r="B286" i="47" s="1"/>
  <c r="H285" i="47"/>
  <c r="G285" i="47"/>
  <c r="D285" i="47"/>
  <c r="G234" i="35"/>
  <c r="D234" i="35"/>
  <c r="I234" i="35"/>
  <c r="B235" i="35" s="1"/>
  <c r="H234" i="35"/>
  <c r="C234" i="35"/>
  <c r="C287" i="55" l="1"/>
  <c r="I287" i="55"/>
  <c r="B288" i="55" s="1"/>
  <c r="G287" i="55"/>
  <c r="D287" i="55"/>
  <c r="H287" i="55"/>
  <c r="I287" i="54"/>
  <c r="B288" i="54" s="1"/>
  <c r="H287" i="54"/>
  <c r="G287" i="54"/>
  <c r="D287" i="54"/>
  <c r="C287" i="54"/>
  <c r="H287" i="53"/>
  <c r="G287" i="53"/>
  <c r="D287" i="53"/>
  <c r="C287" i="53"/>
  <c r="I287" i="53"/>
  <c r="B288" i="53" s="1"/>
  <c r="I287" i="52"/>
  <c r="B288" i="52" s="1"/>
  <c r="H287" i="52"/>
  <c r="G287" i="52"/>
  <c r="D287" i="52"/>
  <c r="C287" i="52"/>
  <c r="H287" i="51"/>
  <c r="G287" i="51"/>
  <c r="D287" i="51"/>
  <c r="C287" i="51"/>
  <c r="I287" i="51"/>
  <c r="B288" i="51" s="1"/>
  <c r="I286" i="50"/>
  <c r="B287" i="50" s="1"/>
  <c r="H286" i="50"/>
  <c r="G286" i="50"/>
  <c r="D286" i="50"/>
  <c r="C286" i="50"/>
  <c r="D286" i="49"/>
  <c r="C286" i="49"/>
  <c r="H286" i="49"/>
  <c r="I286" i="49"/>
  <c r="B287" i="49" s="1"/>
  <c r="G286" i="49"/>
  <c r="D286" i="48"/>
  <c r="C286" i="48"/>
  <c r="H286" i="48"/>
  <c r="G286" i="48"/>
  <c r="I286" i="48"/>
  <c r="B287" i="48" s="1"/>
  <c r="G286" i="47"/>
  <c r="D286" i="47"/>
  <c r="C286" i="47"/>
  <c r="I286" i="47"/>
  <c r="B287" i="47" s="1"/>
  <c r="H286" i="47"/>
  <c r="I235" i="35"/>
  <c r="B236" i="35" s="1"/>
  <c r="C235" i="35"/>
  <c r="H235" i="35"/>
  <c r="G235" i="35"/>
  <c r="D235" i="35"/>
  <c r="G288" i="55" l="1"/>
  <c r="D288" i="55"/>
  <c r="C288" i="55"/>
  <c r="I288" i="55"/>
  <c r="B289" i="55" s="1"/>
  <c r="H288" i="55"/>
  <c r="I288" i="54"/>
  <c r="B289" i="54" s="1"/>
  <c r="H288" i="54"/>
  <c r="G288" i="54"/>
  <c r="D288" i="54"/>
  <c r="C288" i="54"/>
  <c r="I288" i="53"/>
  <c r="B289" i="53" s="1"/>
  <c r="H288" i="53"/>
  <c r="G288" i="53"/>
  <c r="D288" i="53"/>
  <c r="C288" i="53"/>
  <c r="I288" i="52"/>
  <c r="B289" i="52" s="1"/>
  <c r="H288" i="52"/>
  <c r="G288" i="52"/>
  <c r="C288" i="52"/>
  <c r="D288" i="52"/>
  <c r="I288" i="51"/>
  <c r="B289" i="51" s="1"/>
  <c r="H288" i="51"/>
  <c r="G288" i="51"/>
  <c r="D288" i="51"/>
  <c r="C288" i="51"/>
  <c r="I287" i="50"/>
  <c r="B288" i="50" s="1"/>
  <c r="H287" i="50"/>
  <c r="G287" i="50"/>
  <c r="D287" i="50"/>
  <c r="C287" i="50"/>
  <c r="H287" i="49"/>
  <c r="G287" i="49"/>
  <c r="D287" i="49"/>
  <c r="C287" i="49"/>
  <c r="I287" i="49"/>
  <c r="B288" i="49" s="1"/>
  <c r="H287" i="48"/>
  <c r="G287" i="48"/>
  <c r="D287" i="48"/>
  <c r="C287" i="48"/>
  <c r="I287" i="48"/>
  <c r="B288" i="48" s="1"/>
  <c r="I287" i="47"/>
  <c r="B288" i="47" s="1"/>
  <c r="H287" i="47"/>
  <c r="G287" i="47"/>
  <c r="C287" i="47"/>
  <c r="D287" i="47"/>
  <c r="C236" i="35"/>
  <c r="G236" i="35"/>
  <c r="H236" i="35"/>
  <c r="D236" i="35"/>
  <c r="I236" i="35"/>
  <c r="B237" i="35" s="1"/>
  <c r="I289" i="55" l="1"/>
  <c r="B290" i="55" s="1"/>
  <c r="H289" i="55"/>
  <c r="G289" i="55"/>
  <c r="D289" i="55"/>
  <c r="C289" i="55"/>
  <c r="D289" i="54"/>
  <c r="C289" i="54"/>
  <c r="I289" i="54"/>
  <c r="B290" i="54" s="1"/>
  <c r="H289" i="54"/>
  <c r="G289" i="54"/>
  <c r="D289" i="53"/>
  <c r="I289" i="53"/>
  <c r="B290" i="53" s="1"/>
  <c r="H289" i="53"/>
  <c r="G289" i="53"/>
  <c r="C289" i="53"/>
  <c r="C289" i="52"/>
  <c r="I289" i="52"/>
  <c r="B290" i="52" s="1"/>
  <c r="G289" i="52"/>
  <c r="H289" i="52"/>
  <c r="D289" i="52"/>
  <c r="I289" i="51"/>
  <c r="B290" i="51" s="1"/>
  <c r="H289" i="51"/>
  <c r="G289" i="51"/>
  <c r="D289" i="51"/>
  <c r="C289" i="51"/>
  <c r="C288" i="50"/>
  <c r="I288" i="50"/>
  <c r="B289" i="50" s="1"/>
  <c r="H288" i="50"/>
  <c r="G288" i="50"/>
  <c r="D288" i="50"/>
  <c r="I288" i="49"/>
  <c r="B289" i="49" s="1"/>
  <c r="H288" i="49"/>
  <c r="G288" i="49"/>
  <c r="D288" i="49"/>
  <c r="C288" i="49"/>
  <c r="I288" i="48"/>
  <c r="B289" i="48" s="1"/>
  <c r="H288" i="48"/>
  <c r="G288" i="48"/>
  <c r="C288" i="48"/>
  <c r="D288" i="48"/>
  <c r="I288" i="47"/>
  <c r="B289" i="47" s="1"/>
  <c r="G288" i="47"/>
  <c r="H288" i="47"/>
  <c r="D288" i="47"/>
  <c r="C288" i="47"/>
  <c r="I237" i="35"/>
  <c r="B238" i="35" s="1"/>
  <c r="D237" i="35"/>
  <c r="C237" i="35"/>
  <c r="H237" i="35"/>
  <c r="G237" i="35"/>
  <c r="I290" i="55" l="1"/>
  <c r="B291" i="55" s="1"/>
  <c r="H290" i="55"/>
  <c r="G290" i="55"/>
  <c r="C290" i="55"/>
  <c r="D290" i="55"/>
  <c r="H290" i="54"/>
  <c r="G290" i="54"/>
  <c r="D290" i="54"/>
  <c r="C290" i="54"/>
  <c r="I290" i="54"/>
  <c r="B291" i="54" s="1"/>
  <c r="H290" i="53"/>
  <c r="D290" i="53"/>
  <c r="C290" i="53"/>
  <c r="I290" i="53"/>
  <c r="B291" i="53" s="1"/>
  <c r="G290" i="53"/>
  <c r="G290" i="52"/>
  <c r="D290" i="52"/>
  <c r="C290" i="52"/>
  <c r="I290" i="52"/>
  <c r="B291" i="52" s="1"/>
  <c r="H290" i="52"/>
  <c r="D290" i="51"/>
  <c r="C290" i="51"/>
  <c r="I290" i="51"/>
  <c r="B291" i="51" s="1"/>
  <c r="H290" i="51"/>
  <c r="G290" i="51"/>
  <c r="G289" i="50"/>
  <c r="D289" i="50"/>
  <c r="C289" i="50"/>
  <c r="I289" i="50"/>
  <c r="B290" i="50" s="1"/>
  <c r="H289" i="50"/>
  <c r="I289" i="49"/>
  <c r="B290" i="49" s="1"/>
  <c r="H289" i="49"/>
  <c r="D289" i="49"/>
  <c r="G289" i="49"/>
  <c r="C289" i="49"/>
  <c r="I289" i="48"/>
  <c r="B290" i="48" s="1"/>
  <c r="D289" i="48"/>
  <c r="C289" i="48"/>
  <c r="H289" i="48"/>
  <c r="G289" i="48"/>
  <c r="C289" i="47"/>
  <c r="I289" i="47"/>
  <c r="B290" i="47" s="1"/>
  <c r="H289" i="47"/>
  <c r="G289" i="47"/>
  <c r="D289" i="47"/>
  <c r="G238" i="35"/>
  <c r="D238" i="35"/>
  <c r="I238" i="35"/>
  <c r="B239" i="35" s="1"/>
  <c r="H238" i="35"/>
  <c r="C238" i="35"/>
  <c r="C291" i="55" l="1"/>
  <c r="I291" i="55"/>
  <c r="B292" i="55" s="1"/>
  <c r="G291" i="55"/>
  <c r="D291" i="55"/>
  <c r="H291" i="55"/>
  <c r="I291" i="54"/>
  <c r="B292" i="54" s="1"/>
  <c r="H291" i="54"/>
  <c r="G291" i="54"/>
  <c r="D291" i="54"/>
  <c r="C291" i="54"/>
  <c r="H291" i="53"/>
  <c r="G291" i="53"/>
  <c r="D291" i="53"/>
  <c r="C291" i="53"/>
  <c r="I291" i="53"/>
  <c r="B292" i="53" s="1"/>
  <c r="I291" i="52"/>
  <c r="B292" i="52" s="1"/>
  <c r="H291" i="52"/>
  <c r="G291" i="52"/>
  <c r="D291" i="52"/>
  <c r="C291" i="52"/>
  <c r="H291" i="51"/>
  <c r="G291" i="51"/>
  <c r="D291" i="51"/>
  <c r="C291" i="51"/>
  <c r="I291" i="51"/>
  <c r="B292" i="51" s="1"/>
  <c r="I290" i="50"/>
  <c r="B291" i="50" s="1"/>
  <c r="H290" i="50"/>
  <c r="G290" i="50"/>
  <c r="D290" i="50"/>
  <c r="C290" i="50"/>
  <c r="D290" i="49"/>
  <c r="C290" i="49"/>
  <c r="H290" i="49"/>
  <c r="I290" i="49"/>
  <c r="B291" i="49" s="1"/>
  <c r="G290" i="49"/>
  <c r="D290" i="48"/>
  <c r="C290" i="48"/>
  <c r="H290" i="48"/>
  <c r="G290" i="48"/>
  <c r="I290" i="48"/>
  <c r="B291" i="48" s="1"/>
  <c r="G290" i="47"/>
  <c r="D290" i="47"/>
  <c r="C290" i="47"/>
  <c r="I290" i="47"/>
  <c r="B291" i="47" s="1"/>
  <c r="H290" i="47"/>
  <c r="H239" i="35"/>
  <c r="I239" i="35"/>
  <c r="B240" i="35" s="1"/>
  <c r="C239" i="35"/>
  <c r="G239" i="35"/>
  <c r="D239" i="35"/>
  <c r="G292" i="55" l="1"/>
  <c r="D292" i="55"/>
  <c r="C292" i="55"/>
  <c r="I292" i="55"/>
  <c r="B293" i="55" s="1"/>
  <c r="H292" i="55"/>
  <c r="I292" i="54"/>
  <c r="B293" i="54" s="1"/>
  <c r="H292" i="54"/>
  <c r="G292" i="54"/>
  <c r="D292" i="54"/>
  <c r="C292" i="54"/>
  <c r="I292" i="53"/>
  <c r="B293" i="53" s="1"/>
  <c r="H292" i="53"/>
  <c r="G292" i="53"/>
  <c r="D292" i="53"/>
  <c r="C292" i="53"/>
  <c r="I292" i="52"/>
  <c r="B293" i="52" s="1"/>
  <c r="H292" i="52"/>
  <c r="G292" i="52"/>
  <c r="C292" i="52"/>
  <c r="D292" i="52"/>
  <c r="I292" i="51"/>
  <c r="B293" i="51" s="1"/>
  <c r="H292" i="51"/>
  <c r="G292" i="51"/>
  <c r="D292" i="51"/>
  <c r="C292" i="51"/>
  <c r="I291" i="50"/>
  <c r="B292" i="50" s="1"/>
  <c r="H291" i="50"/>
  <c r="G291" i="50"/>
  <c r="D291" i="50"/>
  <c r="C291" i="50"/>
  <c r="H291" i="49"/>
  <c r="G291" i="49"/>
  <c r="D291" i="49"/>
  <c r="C291" i="49"/>
  <c r="I291" i="49"/>
  <c r="B292" i="49" s="1"/>
  <c r="H291" i="48"/>
  <c r="G291" i="48"/>
  <c r="D291" i="48"/>
  <c r="C291" i="48"/>
  <c r="I291" i="48"/>
  <c r="B292" i="48" s="1"/>
  <c r="I291" i="47"/>
  <c r="B292" i="47" s="1"/>
  <c r="H291" i="47"/>
  <c r="G291" i="47"/>
  <c r="C291" i="47"/>
  <c r="D291" i="47"/>
  <c r="C240" i="35"/>
  <c r="G240" i="35"/>
  <c r="H240" i="35"/>
  <c r="D240" i="35"/>
  <c r="I240" i="35"/>
  <c r="B241" i="35" s="1"/>
  <c r="I293" i="55" l="1"/>
  <c r="B294" i="55" s="1"/>
  <c r="H293" i="55"/>
  <c r="G293" i="55"/>
  <c r="D293" i="55"/>
  <c r="C293" i="55"/>
  <c r="D293" i="54"/>
  <c r="C293" i="54"/>
  <c r="I293" i="54"/>
  <c r="B294" i="54" s="1"/>
  <c r="H293" i="54"/>
  <c r="G293" i="54"/>
  <c r="D293" i="53"/>
  <c r="I293" i="53"/>
  <c r="B294" i="53" s="1"/>
  <c r="G293" i="53"/>
  <c r="C293" i="53"/>
  <c r="H293" i="53"/>
  <c r="C293" i="52"/>
  <c r="I293" i="52"/>
  <c r="B294" i="52" s="1"/>
  <c r="G293" i="52"/>
  <c r="H293" i="52"/>
  <c r="D293" i="52"/>
  <c r="I293" i="51"/>
  <c r="B294" i="51" s="1"/>
  <c r="H293" i="51"/>
  <c r="G293" i="51"/>
  <c r="D293" i="51"/>
  <c r="C293" i="51"/>
  <c r="C292" i="50"/>
  <c r="I292" i="50"/>
  <c r="B293" i="50" s="1"/>
  <c r="H292" i="50"/>
  <c r="G292" i="50"/>
  <c r="D292" i="50"/>
  <c r="I292" i="49"/>
  <c r="B293" i="49" s="1"/>
  <c r="H292" i="49"/>
  <c r="G292" i="49"/>
  <c r="D292" i="49"/>
  <c r="C292" i="49"/>
  <c r="I292" i="48"/>
  <c r="B293" i="48" s="1"/>
  <c r="H292" i="48"/>
  <c r="G292" i="48"/>
  <c r="C292" i="48"/>
  <c r="D292" i="48"/>
  <c r="I292" i="47"/>
  <c r="B293" i="47" s="1"/>
  <c r="G292" i="47"/>
  <c r="H292" i="47"/>
  <c r="D292" i="47"/>
  <c r="C292" i="47"/>
  <c r="I241" i="35"/>
  <c r="B242" i="35" s="1"/>
  <c r="C241" i="35"/>
  <c r="H241" i="35"/>
  <c r="D241" i="35"/>
  <c r="G241" i="35"/>
  <c r="I294" i="55" l="1"/>
  <c r="B295" i="55" s="1"/>
  <c r="H294" i="55"/>
  <c r="G294" i="55"/>
  <c r="C294" i="55"/>
  <c r="D294" i="55"/>
  <c r="H294" i="54"/>
  <c r="G294" i="54"/>
  <c r="D294" i="54"/>
  <c r="C294" i="54"/>
  <c r="I294" i="54"/>
  <c r="B295" i="54" s="1"/>
  <c r="H294" i="53"/>
  <c r="D294" i="53"/>
  <c r="C294" i="53"/>
  <c r="G294" i="53"/>
  <c r="I294" i="53"/>
  <c r="B295" i="53" s="1"/>
  <c r="G294" i="52"/>
  <c r="D294" i="52"/>
  <c r="C294" i="52"/>
  <c r="I294" i="52"/>
  <c r="B295" i="52" s="1"/>
  <c r="H294" i="52"/>
  <c r="D294" i="51"/>
  <c r="C294" i="51"/>
  <c r="I294" i="51"/>
  <c r="B295" i="51" s="1"/>
  <c r="H294" i="51"/>
  <c r="G294" i="51"/>
  <c r="G293" i="50"/>
  <c r="D293" i="50"/>
  <c r="C293" i="50"/>
  <c r="I293" i="50"/>
  <c r="B294" i="50" s="1"/>
  <c r="H293" i="50"/>
  <c r="I293" i="49"/>
  <c r="B294" i="49" s="1"/>
  <c r="H293" i="49"/>
  <c r="D293" i="49"/>
  <c r="G293" i="49"/>
  <c r="C293" i="49"/>
  <c r="I293" i="48"/>
  <c r="B294" i="48" s="1"/>
  <c r="D293" i="48"/>
  <c r="C293" i="48"/>
  <c r="G293" i="48"/>
  <c r="H293" i="48"/>
  <c r="C293" i="47"/>
  <c r="I293" i="47"/>
  <c r="B294" i="47" s="1"/>
  <c r="H293" i="47"/>
  <c r="G293" i="47"/>
  <c r="D293" i="47"/>
  <c r="D242" i="35"/>
  <c r="G242" i="35"/>
  <c r="I242" i="35"/>
  <c r="B243" i="35" s="1"/>
  <c r="H242" i="35"/>
  <c r="C242" i="35"/>
  <c r="C295" i="55" l="1"/>
  <c r="I295" i="55"/>
  <c r="B296" i="55" s="1"/>
  <c r="G295" i="55"/>
  <c r="D295" i="55"/>
  <c r="H295" i="55"/>
  <c r="I295" i="54"/>
  <c r="B296" i="54" s="1"/>
  <c r="H295" i="54"/>
  <c r="G295" i="54"/>
  <c r="D295" i="54"/>
  <c r="C295" i="54"/>
  <c r="H295" i="53"/>
  <c r="G295" i="53"/>
  <c r="D295" i="53"/>
  <c r="C295" i="53"/>
  <c r="I295" i="53"/>
  <c r="B296" i="53" s="1"/>
  <c r="I295" i="52"/>
  <c r="B296" i="52" s="1"/>
  <c r="H295" i="52"/>
  <c r="G295" i="52"/>
  <c r="D295" i="52"/>
  <c r="C295" i="52"/>
  <c r="H295" i="51"/>
  <c r="G295" i="51"/>
  <c r="D295" i="51"/>
  <c r="C295" i="51"/>
  <c r="I295" i="51"/>
  <c r="B296" i="51" s="1"/>
  <c r="I294" i="50"/>
  <c r="B295" i="50" s="1"/>
  <c r="H294" i="50"/>
  <c r="G294" i="50"/>
  <c r="D294" i="50"/>
  <c r="C294" i="50"/>
  <c r="D294" i="49"/>
  <c r="C294" i="49"/>
  <c r="H294" i="49"/>
  <c r="I294" i="49"/>
  <c r="B295" i="49" s="1"/>
  <c r="G294" i="49"/>
  <c r="D294" i="48"/>
  <c r="C294" i="48"/>
  <c r="H294" i="48"/>
  <c r="G294" i="48"/>
  <c r="I294" i="48"/>
  <c r="B295" i="48" s="1"/>
  <c r="G294" i="47"/>
  <c r="D294" i="47"/>
  <c r="C294" i="47"/>
  <c r="I294" i="47"/>
  <c r="B295" i="47" s="1"/>
  <c r="H294" i="47"/>
  <c r="H243" i="35"/>
  <c r="C243" i="35"/>
  <c r="G243" i="35"/>
  <c r="D243" i="35"/>
  <c r="I243" i="35"/>
  <c r="B244" i="35" s="1"/>
  <c r="G296" i="55" l="1"/>
  <c r="D296" i="55"/>
  <c r="C296" i="55"/>
  <c r="I296" i="55"/>
  <c r="B297" i="55" s="1"/>
  <c r="H296" i="55"/>
  <c r="I296" i="54"/>
  <c r="B297" i="54" s="1"/>
  <c r="H296" i="54"/>
  <c r="G296" i="54"/>
  <c r="D296" i="54"/>
  <c r="C296" i="54"/>
  <c r="I296" i="53"/>
  <c r="B297" i="53" s="1"/>
  <c r="H296" i="53"/>
  <c r="G296" i="53"/>
  <c r="D296" i="53"/>
  <c r="C296" i="53"/>
  <c r="I296" i="52"/>
  <c r="B297" i="52" s="1"/>
  <c r="H296" i="52"/>
  <c r="G296" i="52"/>
  <c r="C296" i="52"/>
  <c r="D296" i="52"/>
  <c r="I296" i="51"/>
  <c r="B297" i="51" s="1"/>
  <c r="H296" i="51"/>
  <c r="G296" i="51"/>
  <c r="D296" i="51"/>
  <c r="C296" i="51"/>
  <c r="I295" i="50"/>
  <c r="B296" i="50" s="1"/>
  <c r="H295" i="50"/>
  <c r="G295" i="50"/>
  <c r="D295" i="50"/>
  <c r="C295" i="50"/>
  <c r="H295" i="49"/>
  <c r="G295" i="49"/>
  <c r="D295" i="49"/>
  <c r="C295" i="49"/>
  <c r="I295" i="49"/>
  <c r="B296" i="49" s="1"/>
  <c r="H295" i="48"/>
  <c r="G295" i="48"/>
  <c r="D295" i="48"/>
  <c r="C295" i="48"/>
  <c r="I295" i="48"/>
  <c r="B296" i="48" s="1"/>
  <c r="I295" i="47"/>
  <c r="B296" i="47" s="1"/>
  <c r="H295" i="47"/>
  <c r="G295" i="47"/>
  <c r="C295" i="47"/>
  <c r="D295" i="47"/>
  <c r="C244" i="35"/>
  <c r="G244" i="35"/>
  <c r="D244" i="35"/>
  <c r="H244" i="35"/>
  <c r="I244" i="35"/>
  <c r="B245" i="35" s="1"/>
  <c r="I297" i="55" l="1"/>
  <c r="B298" i="55" s="1"/>
  <c r="H297" i="55"/>
  <c r="G297" i="55"/>
  <c r="D297" i="55"/>
  <c r="C297" i="55"/>
  <c r="D297" i="54"/>
  <c r="C297" i="54"/>
  <c r="I297" i="54"/>
  <c r="B298" i="54" s="1"/>
  <c r="H297" i="54"/>
  <c r="G297" i="54"/>
  <c r="D297" i="53"/>
  <c r="I297" i="53"/>
  <c r="B298" i="53" s="1"/>
  <c r="C297" i="53"/>
  <c r="H297" i="53"/>
  <c r="G297" i="53"/>
  <c r="C297" i="52"/>
  <c r="I297" i="52"/>
  <c r="B298" i="52" s="1"/>
  <c r="G297" i="52"/>
  <c r="H297" i="52"/>
  <c r="D297" i="52"/>
  <c r="I297" i="51"/>
  <c r="B298" i="51" s="1"/>
  <c r="H297" i="51"/>
  <c r="G297" i="51"/>
  <c r="C297" i="51"/>
  <c r="D297" i="51"/>
  <c r="C296" i="50"/>
  <c r="I296" i="50"/>
  <c r="B297" i="50" s="1"/>
  <c r="H296" i="50"/>
  <c r="G296" i="50"/>
  <c r="D296" i="50"/>
  <c r="I296" i="49"/>
  <c r="B297" i="49" s="1"/>
  <c r="H296" i="49"/>
  <c r="G296" i="49"/>
  <c r="D296" i="49"/>
  <c r="C296" i="49"/>
  <c r="I296" i="48"/>
  <c r="B297" i="48" s="1"/>
  <c r="H296" i="48"/>
  <c r="G296" i="48"/>
  <c r="D296" i="48"/>
  <c r="C296" i="48"/>
  <c r="I296" i="47"/>
  <c r="B297" i="47" s="1"/>
  <c r="G296" i="47"/>
  <c r="H296" i="47"/>
  <c r="D296" i="47"/>
  <c r="C296" i="47"/>
  <c r="I245" i="35"/>
  <c r="B246" i="35" s="1"/>
  <c r="C245" i="35"/>
  <c r="H245" i="35"/>
  <c r="D245" i="35"/>
  <c r="G245" i="35"/>
  <c r="I298" i="55" l="1"/>
  <c r="B299" i="55" s="1"/>
  <c r="H298" i="55"/>
  <c r="G298" i="55"/>
  <c r="C298" i="55"/>
  <c r="D298" i="55"/>
  <c r="H298" i="54"/>
  <c r="G298" i="54"/>
  <c r="D298" i="54"/>
  <c r="C298" i="54"/>
  <c r="I298" i="54"/>
  <c r="B299" i="54" s="1"/>
  <c r="H298" i="53"/>
  <c r="D298" i="53"/>
  <c r="C298" i="53"/>
  <c r="I298" i="53"/>
  <c r="B299" i="53" s="1"/>
  <c r="G298" i="53"/>
  <c r="G298" i="52"/>
  <c r="D298" i="52"/>
  <c r="C298" i="52"/>
  <c r="I298" i="52"/>
  <c r="B299" i="52" s="1"/>
  <c r="H298" i="52"/>
  <c r="D298" i="51"/>
  <c r="C298" i="51"/>
  <c r="I298" i="51"/>
  <c r="B299" i="51" s="1"/>
  <c r="H298" i="51"/>
  <c r="G298" i="51"/>
  <c r="G297" i="50"/>
  <c r="D297" i="50"/>
  <c r="C297" i="50"/>
  <c r="I297" i="50"/>
  <c r="B298" i="50" s="1"/>
  <c r="H297" i="50"/>
  <c r="I297" i="49"/>
  <c r="B298" i="49" s="1"/>
  <c r="H297" i="49"/>
  <c r="D297" i="49"/>
  <c r="G297" i="49"/>
  <c r="C297" i="49"/>
  <c r="I297" i="48"/>
  <c r="B298" i="48" s="1"/>
  <c r="D297" i="48"/>
  <c r="C297" i="48"/>
  <c r="G297" i="48"/>
  <c r="H297" i="48"/>
  <c r="C297" i="47"/>
  <c r="I297" i="47"/>
  <c r="B298" i="47" s="1"/>
  <c r="H297" i="47"/>
  <c r="G297" i="47"/>
  <c r="D297" i="47"/>
  <c r="G246" i="35"/>
  <c r="D246" i="35"/>
  <c r="I246" i="35"/>
  <c r="B247" i="35" s="1"/>
  <c r="H246" i="35"/>
  <c r="C246" i="35"/>
  <c r="C299" i="55" l="1"/>
  <c r="I299" i="55"/>
  <c r="B300" i="55" s="1"/>
  <c r="G299" i="55"/>
  <c r="D299" i="55"/>
  <c r="H299" i="55"/>
  <c r="I299" i="54"/>
  <c r="B300" i="54" s="1"/>
  <c r="H299" i="54"/>
  <c r="G299" i="54"/>
  <c r="D299" i="54"/>
  <c r="C299" i="54"/>
  <c r="H299" i="53"/>
  <c r="G299" i="53"/>
  <c r="D299" i="53"/>
  <c r="C299" i="53"/>
  <c r="I299" i="53"/>
  <c r="B300" i="53" s="1"/>
  <c r="I299" i="52"/>
  <c r="B300" i="52" s="1"/>
  <c r="H299" i="52"/>
  <c r="G299" i="52"/>
  <c r="D299" i="52"/>
  <c r="C299" i="52"/>
  <c r="H299" i="51"/>
  <c r="G299" i="51"/>
  <c r="D299" i="51"/>
  <c r="C299" i="51"/>
  <c r="I299" i="51"/>
  <c r="B300" i="51" s="1"/>
  <c r="I298" i="50"/>
  <c r="B299" i="50" s="1"/>
  <c r="H298" i="50"/>
  <c r="G298" i="50"/>
  <c r="D298" i="50"/>
  <c r="C298" i="50"/>
  <c r="D298" i="49"/>
  <c r="C298" i="49"/>
  <c r="H298" i="49"/>
  <c r="I298" i="49"/>
  <c r="B299" i="49" s="1"/>
  <c r="G298" i="49"/>
  <c r="D298" i="48"/>
  <c r="C298" i="48"/>
  <c r="H298" i="48"/>
  <c r="G298" i="48"/>
  <c r="I298" i="48"/>
  <c r="B299" i="48" s="1"/>
  <c r="G298" i="47"/>
  <c r="D298" i="47"/>
  <c r="C298" i="47"/>
  <c r="I298" i="47"/>
  <c r="B299" i="47" s="1"/>
  <c r="H298" i="47"/>
  <c r="H247" i="35"/>
  <c r="C247" i="35"/>
  <c r="G247" i="35"/>
  <c r="D247" i="35"/>
  <c r="I247" i="35"/>
  <c r="B248" i="35" s="1"/>
  <c r="G300" i="55" l="1"/>
  <c r="D300" i="55"/>
  <c r="C300" i="55"/>
  <c r="I300" i="55"/>
  <c r="B301" i="55" s="1"/>
  <c r="H300" i="55"/>
  <c r="I300" i="54"/>
  <c r="B301" i="54" s="1"/>
  <c r="H300" i="54"/>
  <c r="G300" i="54"/>
  <c r="D300" i="54"/>
  <c r="C300" i="54"/>
  <c r="I300" i="53"/>
  <c r="B301" i="53" s="1"/>
  <c r="H300" i="53"/>
  <c r="G300" i="53"/>
  <c r="D300" i="53"/>
  <c r="C300" i="53"/>
  <c r="I300" i="52"/>
  <c r="B301" i="52" s="1"/>
  <c r="H300" i="52"/>
  <c r="G300" i="52"/>
  <c r="C300" i="52"/>
  <c r="D300" i="52"/>
  <c r="I300" i="51"/>
  <c r="B301" i="51" s="1"/>
  <c r="H300" i="51"/>
  <c r="G300" i="51"/>
  <c r="D300" i="51"/>
  <c r="C300" i="51"/>
  <c r="I299" i="50"/>
  <c r="B300" i="50" s="1"/>
  <c r="H299" i="50"/>
  <c r="G299" i="50"/>
  <c r="D299" i="50"/>
  <c r="C299" i="50"/>
  <c r="H299" i="49"/>
  <c r="G299" i="49"/>
  <c r="D299" i="49"/>
  <c r="C299" i="49"/>
  <c r="I299" i="49"/>
  <c r="B300" i="49" s="1"/>
  <c r="H299" i="48"/>
  <c r="G299" i="48"/>
  <c r="D299" i="48"/>
  <c r="C299" i="48"/>
  <c r="I299" i="48"/>
  <c r="B300" i="48" s="1"/>
  <c r="I299" i="47"/>
  <c r="B300" i="47" s="1"/>
  <c r="H299" i="47"/>
  <c r="G299" i="47"/>
  <c r="C299" i="47"/>
  <c r="D299" i="47"/>
  <c r="C248" i="35"/>
  <c r="G248" i="35"/>
  <c r="H248" i="35"/>
  <c r="D248" i="35"/>
  <c r="I248" i="35"/>
  <c r="B249" i="35" s="1"/>
  <c r="I301" i="55" l="1"/>
  <c r="B302" i="55" s="1"/>
  <c r="H301" i="55"/>
  <c r="G301" i="55"/>
  <c r="D301" i="55"/>
  <c r="C301" i="55"/>
  <c r="D301" i="54"/>
  <c r="C301" i="54"/>
  <c r="I301" i="54"/>
  <c r="B302" i="54" s="1"/>
  <c r="G301" i="54"/>
  <c r="H301" i="54"/>
  <c r="D301" i="53"/>
  <c r="I301" i="53"/>
  <c r="B302" i="53" s="1"/>
  <c r="G301" i="53"/>
  <c r="H301" i="53"/>
  <c r="C301" i="53"/>
  <c r="C301" i="52"/>
  <c r="I301" i="52"/>
  <c r="B302" i="52" s="1"/>
  <c r="G301" i="52"/>
  <c r="H301" i="52"/>
  <c r="D301" i="52"/>
  <c r="I301" i="51"/>
  <c r="B302" i="51" s="1"/>
  <c r="H301" i="51"/>
  <c r="G301" i="51"/>
  <c r="D301" i="51"/>
  <c r="C301" i="51"/>
  <c r="C300" i="50"/>
  <c r="I300" i="50"/>
  <c r="B301" i="50" s="1"/>
  <c r="H300" i="50"/>
  <c r="G300" i="50"/>
  <c r="D300" i="50"/>
  <c r="I300" i="49"/>
  <c r="B301" i="49" s="1"/>
  <c r="H300" i="49"/>
  <c r="G300" i="49"/>
  <c r="D300" i="49"/>
  <c r="C300" i="49"/>
  <c r="I300" i="48"/>
  <c r="B301" i="48" s="1"/>
  <c r="H300" i="48"/>
  <c r="G300" i="48"/>
  <c r="D300" i="48"/>
  <c r="C300" i="48"/>
  <c r="I300" i="47"/>
  <c r="B301" i="47" s="1"/>
  <c r="G300" i="47"/>
  <c r="H300" i="47"/>
  <c r="D300" i="47"/>
  <c r="C300" i="47"/>
  <c r="C249" i="35"/>
  <c r="I249" i="35"/>
  <c r="B250" i="35" s="1"/>
  <c r="H249" i="35"/>
  <c r="D249" i="35"/>
  <c r="G249" i="35"/>
  <c r="I302" i="55" l="1"/>
  <c r="B303" i="55" s="1"/>
  <c r="H302" i="55"/>
  <c r="G302" i="55"/>
  <c r="C302" i="55"/>
  <c r="D302" i="55"/>
  <c r="H302" i="54"/>
  <c r="G302" i="54"/>
  <c r="D302" i="54"/>
  <c r="C302" i="54"/>
  <c r="I302" i="54"/>
  <c r="B303" i="54" s="1"/>
  <c r="H302" i="53"/>
  <c r="D302" i="53"/>
  <c r="C302" i="53"/>
  <c r="I302" i="53"/>
  <c r="B303" i="53" s="1"/>
  <c r="G302" i="53"/>
  <c r="G302" i="52"/>
  <c r="D302" i="52"/>
  <c r="C302" i="52"/>
  <c r="I302" i="52"/>
  <c r="B303" i="52" s="1"/>
  <c r="H302" i="52"/>
  <c r="D302" i="51"/>
  <c r="C302" i="51"/>
  <c r="I302" i="51"/>
  <c r="B303" i="51" s="1"/>
  <c r="G302" i="51"/>
  <c r="H302" i="51"/>
  <c r="G301" i="50"/>
  <c r="D301" i="50"/>
  <c r="C301" i="50"/>
  <c r="I301" i="50"/>
  <c r="B302" i="50" s="1"/>
  <c r="H301" i="50"/>
  <c r="I301" i="49"/>
  <c r="B302" i="49" s="1"/>
  <c r="H301" i="49"/>
  <c r="D301" i="49"/>
  <c r="G301" i="49"/>
  <c r="C301" i="49"/>
  <c r="I301" i="48"/>
  <c r="B302" i="48" s="1"/>
  <c r="D301" i="48"/>
  <c r="C301" i="48"/>
  <c r="H301" i="48"/>
  <c r="G301" i="48"/>
  <c r="C301" i="47"/>
  <c r="I301" i="47"/>
  <c r="B302" i="47" s="1"/>
  <c r="H301" i="47"/>
  <c r="G301" i="47"/>
  <c r="D301" i="47"/>
  <c r="G250" i="35"/>
  <c r="D250" i="35"/>
  <c r="I250" i="35"/>
  <c r="B251" i="35" s="1"/>
  <c r="H250" i="35"/>
  <c r="C250" i="35"/>
  <c r="C303" i="55" l="1"/>
  <c r="I303" i="55"/>
  <c r="B304" i="55" s="1"/>
  <c r="G303" i="55"/>
  <c r="D303" i="55"/>
  <c r="H303" i="55"/>
  <c r="I303" i="54"/>
  <c r="B304" i="54" s="1"/>
  <c r="H303" i="54"/>
  <c r="G303" i="54"/>
  <c r="D303" i="54"/>
  <c r="C303" i="54"/>
  <c r="H303" i="53"/>
  <c r="G303" i="53"/>
  <c r="D303" i="53"/>
  <c r="C303" i="53"/>
  <c r="I303" i="53"/>
  <c r="B304" i="53" s="1"/>
  <c r="I303" i="52"/>
  <c r="B304" i="52" s="1"/>
  <c r="H303" i="52"/>
  <c r="G303" i="52"/>
  <c r="D303" i="52"/>
  <c r="C303" i="52"/>
  <c r="H303" i="51"/>
  <c r="G303" i="51"/>
  <c r="D303" i="51"/>
  <c r="C303" i="51"/>
  <c r="I303" i="51"/>
  <c r="B304" i="51" s="1"/>
  <c r="I302" i="50"/>
  <c r="B303" i="50" s="1"/>
  <c r="H302" i="50"/>
  <c r="G302" i="50"/>
  <c r="D302" i="50"/>
  <c r="C302" i="50"/>
  <c r="D302" i="49"/>
  <c r="C302" i="49"/>
  <c r="H302" i="49"/>
  <c r="I302" i="49"/>
  <c r="B303" i="49" s="1"/>
  <c r="G302" i="49"/>
  <c r="D302" i="48"/>
  <c r="C302" i="48"/>
  <c r="H302" i="48"/>
  <c r="G302" i="48"/>
  <c r="I302" i="48"/>
  <c r="B303" i="48" s="1"/>
  <c r="G302" i="47"/>
  <c r="D302" i="47"/>
  <c r="C302" i="47"/>
  <c r="I302" i="47"/>
  <c r="B303" i="47" s="1"/>
  <c r="H302" i="47"/>
  <c r="H251" i="35"/>
  <c r="C251" i="35"/>
  <c r="D251" i="35"/>
  <c r="I251" i="35"/>
  <c r="B252" i="35" s="1"/>
  <c r="G251" i="35"/>
  <c r="G304" i="55" l="1"/>
  <c r="D304" i="55"/>
  <c r="C304" i="55"/>
  <c r="I304" i="55"/>
  <c r="B305" i="55" s="1"/>
  <c r="H304" i="55"/>
  <c r="I304" i="54"/>
  <c r="B305" i="54" s="1"/>
  <c r="H304" i="54"/>
  <c r="G304" i="54"/>
  <c r="D304" i="54"/>
  <c r="C304" i="54"/>
  <c r="I304" i="53"/>
  <c r="B305" i="53" s="1"/>
  <c r="H304" i="53"/>
  <c r="G304" i="53"/>
  <c r="C304" i="53"/>
  <c r="D304" i="53"/>
  <c r="I304" i="52"/>
  <c r="B305" i="52" s="1"/>
  <c r="H304" i="52"/>
  <c r="G304" i="52"/>
  <c r="C304" i="52"/>
  <c r="D304" i="52"/>
  <c r="I304" i="51"/>
  <c r="B305" i="51" s="1"/>
  <c r="H304" i="51"/>
  <c r="G304" i="51"/>
  <c r="D304" i="51"/>
  <c r="C304" i="51"/>
  <c r="I303" i="50"/>
  <c r="B304" i="50" s="1"/>
  <c r="H303" i="50"/>
  <c r="G303" i="50"/>
  <c r="D303" i="50"/>
  <c r="C303" i="50"/>
  <c r="H303" i="49"/>
  <c r="G303" i="49"/>
  <c r="D303" i="49"/>
  <c r="C303" i="49"/>
  <c r="I303" i="49"/>
  <c r="B304" i="49" s="1"/>
  <c r="H303" i="48"/>
  <c r="G303" i="48"/>
  <c r="D303" i="48"/>
  <c r="C303" i="48"/>
  <c r="I303" i="48"/>
  <c r="B304" i="48" s="1"/>
  <c r="I303" i="47"/>
  <c r="B304" i="47" s="1"/>
  <c r="H303" i="47"/>
  <c r="G303" i="47"/>
  <c r="C303" i="47"/>
  <c r="D303" i="47"/>
  <c r="C252" i="35"/>
  <c r="G252" i="35"/>
  <c r="D252" i="35"/>
  <c r="H252" i="35"/>
  <c r="I252" i="35"/>
  <c r="B253" i="35" s="1"/>
  <c r="I305" i="55" l="1"/>
  <c r="B306" i="55" s="1"/>
  <c r="H305" i="55"/>
  <c r="G305" i="55"/>
  <c r="D305" i="55"/>
  <c r="C305" i="55"/>
  <c r="D305" i="54"/>
  <c r="C305" i="54"/>
  <c r="I305" i="54"/>
  <c r="B306" i="54" s="1"/>
  <c r="H305" i="54"/>
  <c r="G305" i="54"/>
  <c r="D305" i="53"/>
  <c r="I305" i="53"/>
  <c r="B306" i="53" s="1"/>
  <c r="H305" i="53"/>
  <c r="C305" i="53"/>
  <c r="G305" i="53"/>
  <c r="C305" i="52"/>
  <c r="I305" i="52"/>
  <c r="B306" i="52" s="1"/>
  <c r="G305" i="52"/>
  <c r="H305" i="52"/>
  <c r="D305" i="52"/>
  <c r="I305" i="51"/>
  <c r="B306" i="51" s="1"/>
  <c r="H305" i="51"/>
  <c r="G305" i="51"/>
  <c r="D305" i="51"/>
  <c r="C305" i="51"/>
  <c r="C304" i="50"/>
  <c r="I304" i="50"/>
  <c r="B305" i="50" s="1"/>
  <c r="H304" i="50"/>
  <c r="G304" i="50"/>
  <c r="D304" i="50"/>
  <c r="I304" i="49"/>
  <c r="B305" i="49" s="1"/>
  <c r="H304" i="49"/>
  <c r="G304" i="49"/>
  <c r="D304" i="49"/>
  <c r="C304" i="49"/>
  <c r="I304" i="48"/>
  <c r="B305" i="48" s="1"/>
  <c r="H304" i="48"/>
  <c r="G304" i="48"/>
  <c r="C304" i="48"/>
  <c r="D304" i="48"/>
  <c r="I304" i="47"/>
  <c r="B305" i="47" s="1"/>
  <c r="G304" i="47"/>
  <c r="H304" i="47"/>
  <c r="D304" i="47"/>
  <c r="C304" i="47"/>
  <c r="I253" i="35"/>
  <c r="B254" i="35" s="1"/>
  <c r="C253" i="35"/>
  <c r="D253" i="35"/>
  <c r="G253" i="35"/>
  <c r="H253" i="35"/>
  <c r="I306" i="55" l="1"/>
  <c r="B307" i="55" s="1"/>
  <c r="H306" i="55"/>
  <c r="G306" i="55"/>
  <c r="C306" i="55"/>
  <c r="D306" i="55"/>
  <c r="H306" i="54"/>
  <c r="G306" i="54"/>
  <c r="D306" i="54"/>
  <c r="C306" i="54"/>
  <c r="I306" i="54"/>
  <c r="B307" i="54" s="1"/>
  <c r="H306" i="53"/>
  <c r="D306" i="53"/>
  <c r="C306" i="53"/>
  <c r="I306" i="53"/>
  <c r="B307" i="53" s="1"/>
  <c r="G306" i="53"/>
  <c r="G306" i="52"/>
  <c r="D306" i="52"/>
  <c r="C306" i="52"/>
  <c r="I306" i="52"/>
  <c r="B307" i="52" s="1"/>
  <c r="H306" i="52"/>
  <c r="D306" i="51"/>
  <c r="C306" i="51"/>
  <c r="I306" i="51"/>
  <c r="B307" i="51" s="1"/>
  <c r="H306" i="51"/>
  <c r="G306" i="51"/>
  <c r="G305" i="50"/>
  <c r="D305" i="50"/>
  <c r="C305" i="50"/>
  <c r="I305" i="50"/>
  <c r="B306" i="50" s="1"/>
  <c r="H305" i="50"/>
  <c r="I305" i="49"/>
  <c r="B306" i="49" s="1"/>
  <c r="H305" i="49"/>
  <c r="D305" i="49"/>
  <c r="G305" i="49"/>
  <c r="C305" i="49"/>
  <c r="I305" i="48"/>
  <c r="B306" i="48" s="1"/>
  <c r="D305" i="48"/>
  <c r="C305" i="48"/>
  <c r="H305" i="48"/>
  <c r="G305" i="48"/>
  <c r="C305" i="47"/>
  <c r="I305" i="47"/>
  <c r="B306" i="47" s="1"/>
  <c r="H305" i="47"/>
  <c r="G305" i="47"/>
  <c r="D305" i="47"/>
  <c r="G254" i="35"/>
  <c r="H254" i="35"/>
  <c r="D254" i="35"/>
  <c r="I254" i="35"/>
  <c r="B255" i="35" s="1"/>
  <c r="C254" i="35"/>
  <c r="C307" i="55" l="1"/>
  <c r="I307" i="55"/>
  <c r="B308" i="55" s="1"/>
  <c r="G307" i="55"/>
  <c r="D307" i="55"/>
  <c r="H307" i="55"/>
  <c r="I307" i="54"/>
  <c r="B308" i="54" s="1"/>
  <c r="H307" i="54"/>
  <c r="G307" i="54"/>
  <c r="D307" i="54"/>
  <c r="C307" i="54"/>
  <c r="H307" i="53"/>
  <c r="G307" i="53"/>
  <c r="D307" i="53"/>
  <c r="C307" i="53"/>
  <c r="I307" i="53"/>
  <c r="B308" i="53" s="1"/>
  <c r="I307" i="52"/>
  <c r="B308" i="52" s="1"/>
  <c r="H307" i="52"/>
  <c r="G307" i="52"/>
  <c r="D307" i="52"/>
  <c r="C307" i="52"/>
  <c r="H307" i="51"/>
  <c r="G307" i="51"/>
  <c r="D307" i="51"/>
  <c r="C307" i="51"/>
  <c r="I307" i="51"/>
  <c r="B308" i="51" s="1"/>
  <c r="I306" i="50"/>
  <c r="B307" i="50" s="1"/>
  <c r="H306" i="50"/>
  <c r="G306" i="50"/>
  <c r="D306" i="50"/>
  <c r="C306" i="50"/>
  <c r="D306" i="49"/>
  <c r="C306" i="49"/>
  <c r="H306" i="49"/>
  <c r="I306" i="49"/>
  <c r="B307" i="49" s="1"/>
  <c r="G306" i="49"/>
  <c r="D306" i="48"/>
  <c r="C306" i="48"/>
  <c r="H306" i="48"/>
  <c r="G306" i="48"/>
  <c r="I306" i="48"/>
  <c r="B307" i="48" s="1"/>
  <c r="G306" i="47"/>
  <c r="D306" i="47"/>
  <c r="C306" i="47"/>
  <c r="I306" i="47"/>
  <c r="B307" i="47" s="1"/>
  <c r="H306" i="47"/>
  <c r="H255" i="35"/>
  <c r="C255" i="35"/>
  <c r="G255" i="35"/>
  <c r="D255" i="35"/>
  <c r="I255" i="35"/>
  <c r="B256" i="35" s="1"/>
  <c r="G308" i="55" l="1"/>
  <c r="D308" i="55"/>
  <c r="C308" i="55"/>
  <c r="I308" i="55"/>
  <c r="B309" i="55" s="1"/>
  <c r="H308" i="55"/>
  <c r="I308" i="54"/>
  <c r="B309" i="54" s="1"/>
  <c r="H308" i="54"/>
  <c r="G308" i="54"/>
  <c r="D308" i="54"/>
  <c r="C308" i="54"/>
  <c r="I308" i="53"/>
  <c r="B309" i="53" s="1"/>
  <c r="H308" i="53"/>
  <c r="G308" i="53"/>
  <c r="D308" i="53"/>
  <c r="C308" i="53"/>
  <c r="I308" i="52"/>
  <c r="B309" i="52" s="1"/>
  <c r="H308" i="52"/>
  <c r="G308" i="52"/>
  <c r="C308" i="52"/>
  <c r="D308" i="52"/>
  <c r="I308" i="51"/>
  <c r="B309" i="51" s="1"/>
  <c r="H308" i="51"/>
  <c r="G308" i="51"/>
  <c r="D308" i="51"/>
  <c r="C308" i="51"/>
  <c r="I307" i="50"/>
  <c r="B308" i="50" s="1"/>
  <c r="H307" i="50"/>
  <c r="G307" i="50"/>
  <c r="D307" i="50"/>
  <c r="C307" i="50"/>
  <c r="H307" i="49"/>
  <c r="G307" i="49"/>
  <c r="D307" i="49"/>
  <c r="C307" i="49"/>
  <c r="I307" i="49"/>
  <c r="B308" i="49" s="1"/>
  <c r="H307" i="48"/>
  <c r="G307" i="48"/>
  <c r="D307" i="48"/>
  <c r="C307" i="48"/>
  <c r="I307" i="48"/>
  <c r="B308" i="48" s="1"/>
  <c r="I307" i="47"/>
  <c r="B308" i="47" s="1"/>
  <c r="H307" i="47"/>
  <c r="G307" i="47"/>
  <c r="C307" i="47"/>
  <c r="D307" i="47"/>
  <c r="C256" i="35"/>
  <c r="G256" i="35"/>
  <c r="D256" i="35"/>
  <c r="I256" i="35"/>
  <c r="B257" i="35" s="1"/>
  <c r="H256" i="35"/>
  <c r="I309" i="55" l="1"/>
  <c r="B310" i="55" s="1"/>
  <c r="H309" i="55"/>
  <c r="G309" i="55"/>
  <c r="D309" i="55"/>
  <c r="C309" i="55"/>
  <c r="D309" i="54"/>
  <c r="C309" i="54"/>
  <c r="I309" i="54"/>
  <c r="B310" i="54" s="1"/>
  <c r="H309" i="54"/>
  <c r="G309" i="54"/>
  <c r="D309" i="53"/>
  <c r="I309" i="53"/>
  <c r="B310" i="53" s="1"/>
  <c r="H309" i="53"/>
  <c r="G309" i="53"/>
  <c r="C309" i="53"/>
  <c r="C309" i="52"/>
  <c r="I309" i="52"/>
  <c r="B310" i="52" s="1"/>
  <c r="G309" i="52"/>
  <c r="H309" i="52"/>
  <c r="D309" i="52"/>
  <c r="I309" i="51"/>
  <c r="B310" i="51" s="1"/>
  <c r="H309" i="51"/>
  <c r="G309" i="51"/>
  <c r="D309" i="51"/>
  <c r="C309" i="51"/>
  <c r="C308" i="50"/>
  <c r="I308" i="50"/>
  <c r="B309" i="50" s="1"/>
  <c r="H308" i="50"/>
  <c r="G308" i="50"/>
  <c r="D308" i="50"/>
  <c r="I308" i="49"/>
  <c r="B309" i="49" s="1"/>
  <c r="H308" i="49"/>
  <c r="G308" i="49"/>
  <c r="D308" i="49"/>
  <c r="C308" i="49"/>
  <c r="I308" i="48"/>
  <c r="B309" i="48" s="1"/>
  <c r="H308" i="48"/>
  <c r="G308" i="48"/>
  <c r="C308" i="48"/>
  <c r="D308" i="48"/>
  <c r="I308" i="47"/>
  <c r="B309" i="47" s="1"/>
  <c r="G308" i="47"/>
  <c r="H308" i="47"/>
  <c r="D308" i="47"/>
  <c r="C308" i="47"/>
  <c r="I257" i="35"/>
  <c r="B258" i="35" s="1"/>
  <c r="C257" i="35"/>
  <c r="G257" i="35"/>
  <c r="D257" i="35"/>
  <c r="H257" i="35"/>
  <c r="I310" i="55" l="1"/>
  <c r="B311" i="55" s="1"/>
  <c r="H310" i="55"/>
  <c r="G310" i="55"/>
  <c r="C310" i="55"/>
  <c r="D310" i="55"/>
  <c r="H310" i="54"/>
  <c r="G310" i="54"/>
  <c r="D310" i="54"/>
  <c r="C310" i="54"/>
  <c r="I310" i="54"/>
  <c r="B311" i="54" s="1"/>
  <c r="H310" i="53"/>
  <c r="D310" i="53"/>
  <c r="C310" i="53"/>
  <c r="I310" i="53"/>
  <c r="B311" i="53" s="1"/>
  <c r="G310" i="53"/>
  <c r="G310" i="52"/>
  <c r="D310" i="52"/>
  <c r="C310" i="52"/>
  <c r="I310" i="52"/>
  <c r="B311" i="52" s="1"/>
  <c r="H310" i="52"/>
  <c r="D310" i="51"/>
  <c r="C310" i="51"/>
  <c r="I310" i="51"/>
  <c r="B311" i="51" s="1"/>
  <c r="H310" i="51"/>
  <c r="G310" i="51"/>
  <c r="G309" i="50"/>
  <c r="D309" i="50"/>
  <c r="C309" i="50"/>
  <c r="I309" i="50"/>
  <c r="B310" i="50" s="1"/>
  <c r="H309" i="50"/>
  <c r="I309" i="49"/>
  <c r="B310" i="49" s="1"/>
  <c r="H309" i="49"/>
  <c r="D309" i="49"/>
  <c r="G309" i="49"/>
  <c r="C309" i="49"/>
  <c r="I309" i="48"/>
  <c r="B310" i="48" s="1"/>
  <c r="D309" i="48"/>
  <c r="C309" i="48"/>
  <c r="G309" i="48"/>
  <c r="H309" i="48"/>
  <c r="C309" i="47"/>
  <c r="I309" i="47"/>
  <c r="B310" i="47" s="1"/>
  <c r="H309" i="47"/>
  <c r="G309" i="47"/>
  <c r="D309" i="47"/>
  <c r="G258" i="35"/>
  <c r="D258" i="35"/>
  <c r="H258" i="35"/>
  <c r="I258" i="35"/>
  <c r="B259" i="35" s="1"/>
  <c r="C258" i="35"/>
  <c r="C311" i="55" l="1"/>
  <c r="I311" i="55"/>
  <c r="B312" i="55" s="1"/>
  <c r="G311" i="55"/>
  <c r="D311" i="55"/>
  <c r="H311" i="55"/>
  <c r="I311" i="54"/>
  <c r="B312" i="54" s="1"/>
  <c r="H311" i="54"/>
  <c r="G311" i="54"/>
  <c r="D311" i="54"/>
  <c r="C311" i="54"/>
  <c r="H311" i="53"/>
  <c r="G311" i="53"/>
  <c r="D311" i="53"/>
  <c r="C311" i="53"/>
  <c r="I311" i="53"/>
  <c r="B312" i="53" s="1"/>
  <c r="I311" i="52"/>
  <c r="B312" i="52" s="1"/>
  <c r="H311" i="52"/>
  <c r="G311" i="52"/>
  <c r="D311" i="52"/>
  <c r="C311" i="52"/>
  <c r="H311" i="51"/>
  <c r="G311" i="51"/>
  <c r="D311" i="51"/>
  <c r="C311" i="51"/>
  <c r="I311" i="51"/>
  <c r="B312" i="51" s="1"/>
  <c r="I310" i="50"/>
  <c r="B311" i="50" s="1"/>
  <c r="H310" i="50"/>
  <c r="G310" i="50"/>
  <c r="D310" i="50"/>
  <c r="C310" i="50"/>
  <c r="D310" i="49"/>
  <c r="C310" i="49"/>
  <c r="H310" i="49"/>
  <c r="I310" i="49"/>
  <c r="B311" i="49" s="1"/>
  <c r="G310" i="49"/>
  <c r="D310" i="48"/>
  <c r="C310" i="48"/>
  <c r="H310" i="48"/>
  <c r="G310" i="48"/>
  <c r="I310" i="48"/>
  <c r="B311" i="48" s="1"/>
  <c r="G310" i="47"/>
  <c r="D310" i="47"/>
  <c r="C310" i="47"/>
  <c r="I310" i="47"/>
  <c r="B311" i="47" s="1"/>
  <c r="H310" i="47"/>
  <c r="H259" i="35"/>
  <c r="G259" i="35"/>
  <c r="I259" i="35"/>
  <c r="B260" i="35" s="1"/>
  <c r="C259" i="35"/>
  <c r="D259" i="35"/>
  <c r="G312" i="55" l="1"/>
  <c r="D312" i="55"/>
  <c r="C312" i="55"/>
  <c r="I312" i="55"/>
  <c r="B313" i="55" s="1"/>
  <c r="H312" i="55"/>
  <c r="I312" i="54"/>
  <c r="B313" i="54" s="1"/>
  <c r="H312" i="54"/>
  <c r="G312" i="54"/>
  <c r="D312" i="54"/>
  <c r="C312" i="54"/>
  <c r="I312" i="53"/>
  <c r="B313" i="53" s="1"/>
  <c r="H312" i="53"/>
  <c r="G312" i="53"/>
  <c r="C312" i="53"/>
  <c r="D312" i="53"/>
  <c r="I312" i="52"/>
  <c r="B313" i="52" s="1"/>
  <c r="H312" i="52"/>
  <c r="G312" i="52"/>
  <c r="C312" i="52"/>
  <c r="D312" i="52"/>
  <c r="I312" i="51"/>
  <c r="B313" i="51" s="1"/>
  <c r="H312" i="51"/>
  <c r="G312" i="51"/>
  <c r="D312" i="51"/>
  <c r="C312" i="51"/>
  <c r="I311" i="50"/>
  <c r="B312" i="50" s="1"/>
  <c r="H311" i="50"/>
  <c r="G311" i="50"/>
  <c r="D311" i="50"/>
  <c r="C311" i="50"/>
  <c r="H311" i="49"/>
  <c r="G311" i="49"/>
  <c r="D311" i="49"/>
  <c r="C311" i="49"/>
  <c r="I311" i="49"/>
  <c r="B312" i="49" s="1"/>
  <c r="H311" i="48"/>
  <c r="G311" i="48"/>
  <c r="D311" i="48"/>
  <c r="C311" i="48"/>
  <c r="I311" i="48"/>
  <c r="B312" i="48" s="1"/>
  <c r="I311" i="47"/>
  <c r="B312" i="47" s="1"/>
  <c r="H311" i="47"/>
  <c r="G311" i="47"/>
  <c r="C311" i="47"/>
  <c r="D311" i="47"/>
  <c r="C260" i="35"/>
  <c r="G260" i="35"/>
  <c r="I260" i="35"/>
  <c r="B261" i="35" s="1"/>
  <c r="H260" i="35"/>
  <c r="D260" i="35"/>
  <c r="I313" i="55" l="1"/>
  <c r="B314" i="55" s="1"/>
  <c r="H313" i="55"/>
  <c r="G313" i="55"/>
  <c r="D313" i="55"/>
  <c r="C313" i="55"/>
  <c r="D313" i="54"/>
  <c r="C313" i="54"/>
  <c r="I313" i="54"/>
  <c r="B314" i="54" s="1"/>
  <c r="H313" i="54"/>
  <c r="G313" i="54"/>
  <c r="D313" i="53"/>
  <c r="I313" i="53"/>
  <c r="B314" i="53" s="1"/>
  <c r="H313" i="53"/>
  <c r="G313" i="53"/>
  <c r="C313" i="53"/>
  <c r="C313" i="52"/>
  <c r="I313" i="52"/>
  <c r="B314" i="52" s="1"/>
  <c r="G313" i="52"/>
  <c r="H313" i="52"/>
  <c r="D313" i="52"/>
  <c r="I313" i="51"/>
  <c r="B314" i="51" s="1"/>
  <c r="H313" i="51"/>
  <c r="G313" i="51"/>
  <c r="C313" i="51"/>
  <c r="D313" i="51"/>
  <c r="C312" i="50"/>
  <c r="I312" i="50"/>
  <c r="B313" i="50" s="1"/>
  <c r="H312" i="50"/>
  <c r="G312" i="50"/>
  <c r="D312" i="50"/>
  <c r="I312" i="49"/>
  <c r="B313" i="49" s="1"/>
  <c r="H312" i="49"/>
  <c r="G312" i="49"/>
  <c r="D312" i="49"/>
  <c r="C312" i="49"/>
  <c r="I312" i="48"/>
  <c r="B313" i="48" s="1"/>
  <c r="H312" i="48"/>
  <c r="G312" i="48"/>
  <c r="D312" i="48"/>
  <c r="C312" i="48"/>
  <c r="I312" i="47"/>
  <c r="B313" i="47" s="1"/>
  <c r="G312" i="47"/>
  <c r="H312" i="47"/>
  <c r="D312" i="47"/>
  <c r="C312" i="47"/>
  <c r="I261" i="35"/>
  <c r="B262" i="35" s="1"/>
  <c r="C261" i="35"/>
  <c r="G261" i="35"/>
  <c r="D261" i="35"/>
  <c r="H261" i="35"/>
  <c r="I314" i="55" l="1"/>
  <c r="B315" i="55" s="1"/>
  <c r="H314" i="55"/>
  <c r="G314" i="55"/>
  <c r="C314" i="55"/>
  <c r="D314" i="55"/>
  <c r="H314" i="54"/>
  <c r="G314" i="54"/>
  <c r="D314" i="54"/>
  <c r="C314" i="54"/>
  <c r="I314" i="54"/>
  <c r="B315" i="54" s="1"/>
  <c r="H314" i="53"/>
  <c r="D314" i="53"/>
  <c r="C314" i="53"/>
  <c r="I314" i="53"/>
  <c r="B315" i="53" s="1"/>
  <c r="G314" i="53"/>
  <c r="G314" i="52"/>
  <c r="D314" i="52"/>
  <c r="C314" i="52"/>
  <c r="I314" i="52"/>
  <c r="B315" i="52" s="1"/>
  <c r="H314" i="52"/>
  <c r="D314" i="51"/>
  <c r="C314" i="51"/>
  <c r="I314" i="51"/>
  <c r="B315" i="51" s="1"/>
  <c r="H314" i="51"/>
  <c r="G314" i="51"/>
  <c r="G313" i="50"/>
  <c r="D313" i="50"/>
  <c r="C313" i="50"/>
  <c r="I313" i="50"/>
  <c r="B314" i="50" s="1"/>
  <c r="H313" i="50"/>
  <c r="I313" i="49"/>
  <c r="B314" i="49" s="1"/>
  <c r="H313" i="49"/>
  <c r="D313" i="49"/>
  <c r="G313" i="49"/>
  <c r="C313" i="49"/>
  <c r="I313" i="48"/>
  <c r="B314" i="48" s="1"/>
  <c r="D313" i="48"/>
  <c r="C313" i="48"/>
  <c r="G313" i="48"/>
  <c r="H313" i="48"/>
  <c r="C313" i="47"/>
  <c r="I313" i="47"/>
  <c r="B314" i="47" s="1"/>
  <c r="H313" i="47"/>
  <c r="G313" i="47"/>
  <c r="D313" i="47"/>
  <c r="G262" i="35"/>
  <c r="D262" i="35"/>
  <c r="C262" i="35"/>
  <c r="H262" i="35"/>
  <c r="I262" i="35"/>
  <c r="B263" i="35" s="1"/>
  <c r="C315" i="55" l="1"/>
  <c r="I315" i="55"/>
  <c r="B316" i="55" s="1"/>
  <c r="G315" i="55"/>
  <c r="D315" i="55"/>
  <c r="H315" i="55"/>
  <c r="I315" i="54"/>
  <c r="B316" i="54" s="1"/>
  <c r="H315" i="54"/>
  <c r="G315" i="54"/>
  <c r="D315" i="54"/>
  <c r="C315" i="54"/>
  <c r="H315" i="53"/>
  <c r="G315" i="53"/>
  <c r="D315" i="53"/>
  <c r="C315" i="53"/>
  <c r="I315" i="53"/>
  <c r="B316" i="53" s="1"/>
  <c r="I315" i="52"/>
  <c r="B316" i="52" s="1"/>
  <c r="H315" i="52"/>
  <c r="G315" i="52"/>
  <c r="D315" i="52"/>
  <c r="C315" i="52"/>
  <c r="H315" i="51"/>
  <c r="G315" i="51"/>
  <c r="D315" i="51"/>
  <c r="C315" i="51"/>
  <c r="I315" i="51"/>
  <c r="B316" i="51" s="1"/>
  <c r="I314" i="50"/>
  <c r="B315" i="50" s="1"/>
  <c r="H314" i="50"/>
  <c r="G314" i="50"/>
  <c r="D314" i="50"/>
  <c r="C314" i="50"/>
  <c r="D314" i="49"/>
  <c r="C314" i="49"/>
  <c r="H314" i="49"/>
  <c r="I314" i="49"/>
  <c r="B315" i="49" s="1"/>
  <c r="G314" i="49"/>
  <c r="D314" i="48"/>
  <c r="C314" i="48"/>
  <c r="H314" i="48"/>
  <c r="G314" i="48"/>
  <c r="I314" i="48"/>
  <c r="B315" i="48" s="1"/>
  <c r="G314" i="47"/>
  <c r="D314" i="47"/>
  <c r="C314" i="47"/>
  <c r="I314" i="47"/>
  <c r="B315" i="47" s="1"/>
  <c r="H314" i="47"/>
  <c r="C263" i="35"/>
  <c r="D263" i="35"/>
  <c r="H263" i="35"/>
  <c r="I263" i="35"/>
  <c r="B264" i="35" s="1"/>
  <c r="G263" i="35"/>
  <c r="G316" i="55" l="1"/>
  <c r="D316" i="55"/>
  <c r="C316" i="55"/>
  <c r="I316" i="55"/>
  <c r="B317" i="55" s="1"/>
  <c r="H316" i="55"/>
  <c r="I316" i="54"/>
  <c r="B317" i="54" s="1"/>
  <c r="H316" i="54"/>
  <c r="G316" i="54"/>
  <c r="D316" i="54"/>
  <c r="C316" i="54"/>
  <c r="I316" i="53"/>
  <c r="B317" i="53" s="1"/>
  <c r="H316" i="53"/>
  <c r="G316" i="53"/>
  <c r="D316" i="53"/>
  <c r="C316" i="53"/>
  <c r="I316" i="52"/>
  <c r="B317" i="52" s="1"/>
  <c r="H316" i="52"/>
  <c r="G316" i="52"/>
  <c r="C316" i="52"/>
  <c r="D316" i="52"/>
  <c r="I316" i="51"/>
  <c r="B317" i="51" s="1"/>
  <c r="H316" i="51"/>
  <c r="G316" i="51"/>
  <c r="D316" i="51"/>
  <c r="C316" i="51"/>
  <c r="I315" i="50"/>
  <c r="B316" i="50" s="1"/>
  <c r="H315" i="50"/>
  <c r="G315" i="50"/>
  <c r="D315" i="50"/>
  <c r="C315" i="50"/>
  <c r="H315" i="49"/>
  <c r="G315" i="49"/>
  <c r="D315" i="49"/>
  <c r="C315" i="49"/>
  <c r="I315" i="49"/>
  <c r="B316" i="49" s="1"/>
  <c r="H315" i="48"/>
  <c r="G315" i="48"/>
  <c r="D315" i="48"/>
  <c r="C315" i="48"/>
  <c r="I315" i="48"/>
  <c r="B316" i="48" s="1"/>
  <c r="I315" i="47"/>
  <c r="B316" i="47" s="1"/>
  <c r="H315" i="47"/>
  <c r="G315" i="47"/>
  <c r="C315" i="47"/>
  <c r="D315" i="47"/>
  <c r="I264" i="35"/>
  <c r="B265" i="35" s="1"/>
  <c r="C264" i="35"/>
  <c r="G264" i="35"/>
  <c r="D264" i="35"/>
  <c r="H264" i="35"/>
  <c r="I317" i="55" l="1"/>
  <c r="B318" i="55" s="1"/>
  <c r="H317" i="55"/>
  <c r="G317" i="55"/>
  <c r="D317" i="55"/>
  <c r="C317" i="55"/>
  <c r="D317" i="54"/>
  <c r="C317" i="54"/>
  <c r="I317" i="54"/>
  <c r="B318" i="54" s="1"/>
  <c r="G317" i="54"/>
  <c r="H317" i="54"/>
  <c r="D317" i="53"/>
  <c r="I317" i="53"/>
  <c r="B318" i="53" s="1"/>
  <c r="H317" i="53"/>
  <c r="G317" i="53"/>
  <c r="C317" i="53"/>
  <c r="C317" i="52"/>
  <c r="I317" i="52"/>
  <c r="B318" i="52" s="1"/>
  <c r="G317" i="52"/>
  <c r="H317" i="52"/>
  <c r="D317" i="52"/>
  <c r="I317" i="51"/>
  <c r="B318" i="51" s="1"/>
  <c r="H317" i="51"/>
  <c r="G317" i="51"/>
  <c r="D317" i="51"/>
  <c r="C317" i="51"/>
  <c r="C316" i="50"/>
  <c r="I316" i="50"/>
  <c r="B317" i="50" s="1"/>
  <c r="H316" i="50"/>
  <c r="G316" i="50"/>
  <c r="D316" i="50"/>
  <c r="I316" i="49"/>
  <c r="B317" i="49" s="1"/>
  <c r="H316" i="49"/>
  <c r="G316" i="49"/>
  <c r="D316" i="49"/>
  <c r="C316" i="49"/>
  <c r="I316" i="48"/>
  <c r="B317" i="48" s="1"/>
  <c r="H316" i="48"/>
  <c r="G316" i="48"/>
  <c r="D316" i="48"/>
  <c r="C316" i="48"/>
  <c r="I316" i="47"/>
  <c r="B317" i="47" s="1"/>
  <c r="G316" i="47"/>
  <c r="H316" i="47"/>
  <c r="D316" i="47"/>
  <c r="C316" i="47"/>
  <c r="G265" i="35"/>
  <c r="D265" i="35"/>
  <c r="I265" i="35"/>
  <c r="B266" i="35" s="1"/>
  <c r="C265" i="35"/>
  <c r="H265" i="35"/>
  <c r="I318" i="55" l="1"/>
  <c r="B319" i="55" s="1"/>
  <c r="H318" i="55"/>
  <c r="G318" i="55"/>
  <c r="C318" i="55"/>
  <c r="D318" i="55"/>
  <c r="H318" i="54"/>
  <c r="G318" i="54"/>
  <c r="D318" i="54"/>
  <c r="C318" i="54"/>
  <c r="I318" i="54"/>
  <c r="B319" i="54" s="1"/>
  <c r="H318" i="53"/>
  <c r="D318" i="53"/>
  <c r="C318" i="53"/>
  <c r="G318" i="53"/>
  <c r="I318" i="53"/>
  <c r="B319" i="53" s="1"/>
  <c r="G318" i="52"/>
  <c r="D318" i="52"/>
  <c r="C318" i="52"/>
  <c r="I318" i="52"/>
  <c r="B319" i="52" s="1"/>
  <c r="H318" i="52"/>
  <c r="D318" i="51"/>
  <c r="C318" i="51"/>
  <c r="I318" i="51"/>
  <c r="B319" i="51" s="1"/>
  <c r="H318" i="51"/>
  <c r="G318" i="51"/>
  <c r="G317" i="50"/>
  <c r="D317" i="50"/>
  <c r="C317" i="50"/>
  <c r="I317" i="50"/>
  <c r="B318" i="50" s="1"/>
  <c r="H317" i="50"/>
  <c r="I317" i="49"/>
  <c r="B318" i="49" s="1"/>
  <c r="H317" i="49"/>
  <c r="D317" i="49"/>
  <c r="G317" i="49"/>
  <c r="C317" i="49"/>
  <c r="I317" i="48"/>
  <c r="B318" i="48" s="1"/>
  <c r="H317" i="48"/>
  <c r="D317" i="48"/>
  <c r="C317" i="48"/>
  <c r="G317" i="48"/>
  <c r="C317" i="47"/>
  <c r="I317" i="47"/>
  <c r="B318" i="47" s="1"/>
  <c r="H317" i="47"/>
  <c r="G317" i="47"/>
  <c r="D317" i="47"/>
  <c r="I266" i="35"/>
  <c r="B267" i="35" s="1"/>
  <c r="H266" i="35"/>
  <c r="D266" i="35"/>
  <c r="C266" i="35"/>
  <c r="G266" i="35"/>
  <c r="C319" i="55" l="1"/>
  <c r="I319" i="55"/>
  <c r="B320" i="55" s="1"/>
  <c r="G319" i="55"/>
  <c r="D319" i="55"/>
  <c r="H319" i="55"/>
  <c r="I319" i="54"/>
  <c r="B320" i="54" s="1"/>
  <c r="H319" i="54"/>
  <c r="G319" i="54"/>
  <c r="D319" i="54"/>
  <c r="C319" i="54"/>
  <c r="H319" i="53"/>
  <c r="G319" i="53"/>
  <c r="D319" i="53"/>
  <c r="C319" i="53"/>
  <c r="I319" i="53"/>
  <c r="B320" i="53" s="1"/>
  <c r="I319" i="52"/>
  <c r="B320" i="52" s="1"/>
  <c r="H319" i="52"/>
  <c r="G319" i="52"/>
  <c r="D319" i="52"/>
  <c r="C319" i="52"/>
  <c r="H319" i="51"/>
  <c r="G319" i="51"/>
  <c r="D319" i="51"/>
  <c r="C319" i="51"/>
  <c r="I319" i="51"/>
  <c r="B320" i="51" s="1"/>
  <c r="I318" i="50"/>
  <c r="B319" i="50" s="1"/>
  <c r="H318" i="50"/>
  <c r="G318" i="50"/>
  <c r="D318" i="50"/>
  <c r="C318" i="50"/>
  <c r="D318" i="49"/>
  <c r="C318" i="49"/>
  <c r="H318" i="49"/>
  <c r="I318" i="49"/>
  <c r="B319" i="49" s="1"/>
  <c r="G318" i="49"/>
  <c r="D318" i="48"/>
  <c r="C318" i="48"/>
  <c r="H318" i="48"/>
  <c r="G318" i="48"/>
  <c r="I318" i="48"/>
  <c r="B319" i="48" s="1"/>
  <c r="G318" i="47"/>
  <c r="D318" i="47"/>
  <c r="C318" i="47"/>
  <c r="I318" i="47"/>
  <c r="B319" i="47" s="1"/>
  <c r="H318" i="47"/>
  <c r="C267" i="35"/>
  <c r="H267" i="35"/>
  <c r="D267" i="35"/>
  <c r="G267" i="35"/>
  <c r="I267" i="35"/>
  <c r="B268" i="35" s="1"/>
  <c r="G320" i="55" l="1"/>
  <c r="D320" i="55"/>
  <c r="C320" i="55"/>
  <c r="I320" i="55"/>
  <c r="B321" i="55" s="1"/>
  <c r="H320" i="55"/>
  <c r="I320" i="54"/>
  <c r="B321" i="54" s="1"/>
  <c r="H320" i="54"/>
  <c r="G320" i="54"/>
  <c r="D320" i="54"/>
  <c r="C320" i="54"/>
  <c r="I320" i="53"/>
  <c r="B321" i="53" s="1"/>
  <c r="H320" i="53"/>
  <c r="G320" i="53"/>
  <c r="D320" i="53"/>
  <c r="C320" i="53"/>
  <c r="I320" i="52"/>
  <c r="B321" i="52" s="1"/>
  <c r="H320" i="52"/>
  <c r="G320" i="52"/>
  <c r="C320" i="52"/>
  <c r="D320" i="52"/>
  <c r="I320" i="51"/>
  <c r="B321" i="51" s="1"/>
  <c r="H320" i="51"/>
  <c r="G320" i="51"/>
  <c r="D320" i="51"/>
  <c r="C320" i="51"/>
  <c r="I319" i="50"/>
  <c r="B320" i="50" s="1"/>
  <c r="H319" i="50"/>
  <c r="G319" i="50"/>
  <c r="D319" i="50"/>
  <c r="C319" i="50"/>
  <c r="H319" i="49"/>
  <c r="G319" i="49"/>
  <c r="D319" i="49"/>
  <c r="C319" i="49"/>
  <c r="I319" i="49"/>
  <c r="B320" i="49" s="1"/>
  <c r="H319" i="48"/>
  <c r="G319" i="48"/>
  <c r="D319" i="48"/>
  <c r="C319" i="48"/>
  <c r="I319" i="48"/>
  <c r="B320" i="48" s="1"/>
  <c r="I319" i="47"/>
  <c r="B320" i="47" s="1"/>
  <c r="H319" i="47"/>
  <c r="G319" i="47"/>
  <c r="C319" i="47"/>
  <c r="D319" i="47"/>
  <c r="C268" i="35"/>
  <c r="I268" i="35"/>
  <c r="B269" i="35" s="1"/>
  <c r="H268" i="35"/>
  <c r="D268" i="35"/>
  <c r="G268" i="35"/>
  <c r="I321" i="55" l="1"/>
  <c r="B322" i="55" s="1"/>
  <c r="H321" i="55"/>
  <c r="G321" i="55"/>
  <c r="D321" i="55"/>
  <c r="C321" i="55"/>
  <c r="D321" i="54"/>
  <c r="C321" i="54"/>
  <c r="I321" i="54"/>
  <c r="B322" i="54" s="1"/>
  <c r="H321" i="54"/>
  <c r="G321" i="54"/>
  <c r="D321" i="53"/>
  <c r="I321" i="53"/>
  <c r="B322" i="53" s="1"/>
  <c r="H321" i="53"/>
  <c r="G321" i="53"/>
  <c r="C321" i="53"/>
  <c r="C321" i="52"/>
  <c r="I321" i="52"/>
  <c r="B322" i="52" s="1"/>
  <c r="G321" i="52"/>
  <c r="H321" i="52"/>
  <c r="D321" i="52"/>
  <c r="I321" i="51"/>
  <c r="B322" i="51" s="1"/>
  <c r="G321" i="51"/>
  <c r="H321" i="51"/>
  <c r="D321" i="51"/>
  <c r="C321" i="51"/>
  <c r="C320" i="50"/>
  <c r="I320" i="50"/>
  <c r="B321" i="50" s="1"/>
  <c r="H320" i="50"/>
  <c r="G320" i="50"/>
  <c r="D320" i="50"/>
  <c r="I320" i="49"/>
  <c r="B321" i="49" s="1"/>
  <c r="H320" i="49"/>
  <c r="G320" i="49"/>
  <c r="D320" i="49"/>
  <c r="C320" i="49"/>
  <c r="I320" i="48"/>
  <c r="B321" i="48" s="1"/>
  <c r="H320" i="48"/>
  <c r="G320" i="48"/>
  <c r="D320" i="48"/>
  <c r="C320" i="48"/>
  <c r="I320" i="47"/>
  <c r="B321" i="47" s="1"/>
  <c r="G320" i="47"/>
  <c r="H320" i="47"/>
  <c r="D320" i="47"/>
  <c r="C320" i="47"/>
  <c r="G269" i="35"/>
  <c r="D269" i="35"/>
  <c r="C269" i="35"/>
  <c r="H269" i="35"/>
  <c r="I269" i="35"/>
  <c r="B270" i="35" s="1"/>
  <c r="I322" i="55" l="1"/>
  <c r="B323" i="55" s="1"/>
  <c r="H322" i="55"/>
  <c r="G322" i="55"/>
  <c r="C322" i="55"/>
  <c r="D322" i="55"/>
  <c r="H322" i="54"/>
  <c r="G322" i="54"/>
  <c r="D322" i="54"/>
  <c r="C322" i="54"/>
  <c r="I322" i="54"/>
  <c r="B323" i="54" s="1"/>
  <c r="H322" i="53"/>
  <c r="D322" i="53"/>
  <c r="C322" i="53"/>
  <c r="I322" i="53"/>
  <c r="B323" i="53" s="1"/>
  <c r="G322" i="53"/>
  <c r="G322" i="52"/>
  <c r="D322" i="52"/>
  <c r="C322" i="52"/>
  <c r="I322" i="52"/>
  <c r="B323" i="52" s="1"/>
  <c r="H322" i="52"/>
  <c r="I322" i="51"/>
  <c r="B323" i="51" s="1"/>
  <c r="H322" i="51"/>
  <c r="G322" i="51"/>
  <c r="D322" i="51"/>
  <c r="C322" i="51"/>
  <c r="G321" i="50"/>
  <c r="D321" i="50"/>
  <c r="C321" i="50"/>
  <c r="I321" i="50"/>
  <c r="B322" i="50" s="1"/>
  <c r="H321" i="50"/>
  <c r="I321" i="49"/>
  <c r="B322" i="49" s="1"/>
  <c r="H321" i="49"/>
  <c r="D321" i="49"/>
  <c r="G321" i="49"/>
  <c r="C321" i="49"/>
  <c r="I321" i="48"/>
  <c r="B322" i="48" s="1"/>
  <c r="H321" i="48"/>
  <c r="D321" i="48"/>
  <c r="C321" i="48"/>
  <c r="G321" i="48"/>
  <c r="C321" i="47"/>
  <c r="I321" i="47"/>
  <c r="B322" i="47" s="1"/>
  <c r="H321" i="47"/>
  <c r="G321" i="47"/>
  <c r="D321" i="47"/>
  <c r="H270" i="35"/>
  <c r="C270" i="35"/>
  <c r="D270" i="35"/>
  <c r="G270" i="35"/>
  <c r="I270" i="35"/>
  <c r="B271" i="35" s="1"/>
  <c r="C323" i="55" l="1"/>
  <c r="I323" i="55"/>
  <c r="B324" i="55" s="1"/>
  <c r="G323" i="55"/>
  <c r="D323" i="55"/>
  <c r="H323" i="55"/>
  <c r="I323" i="54"/>
  <c r="B324" i="54" s="1"/>
  <c r="H323" i="54"/>
  <c r="G323" i="54"/>
  <c r="D323" i="54"/>
  <c r="C323" i="54"/>
  <c r="H323" i="53"/>
  <c r="G323" i="53"/>
  <c r="D323" i="53"/>
  <c r="C323" i="53"/>
  <c r="I323" i="53"/>
  <c r="B324" i="53" s="1"/>
  <c r="I323" i="52"/>
  <c r="B324" i="52" s="1"/>
  <c r="H323" i="52"/>
  <c r="G323" i="52"/>
  <c r="D323" i="52"/>
  <c r="C323" i="52"/>
  <c r="C323" i="51"/>
  <c r="I323" i="51"/>
  <c r="B324" i="51" s="1"/>
  <c r="H323" i="51"/>
  <c r="G323" i="51"/>
  <c r="D323" i="51"/>
  <c r="I322" i="50"/>
  <c r="B323" i="50" s="1"/>
  <c r="H322" i="50"/>
  <c r="G322" i="50"/>
  <c r="D322" i="50"/>
  <c r="C322" i="50"/>
  <c r="D322" i="49"/>
  <c r="C322" i="49"/>
  <c r="H322" i="49"/>
  <c r="I322" i="49"/>
  <c r="B323" i="49" s="1"/>
  <c r="G322" i="49"/>
  <c r="D322" i="48"/>
  <c r="C322" i="48"/>
  <c r="H322" i="48"/>
  <c r="G322" i="48"/>
  <c r="I322" i="48"/>
  <c r="B323" i="48" s="1"/>
  <c r="G322" i="47"/>
  <c r="D322" i="47"/>
  <c r="C322" i="47"/>
  <c r="I322" i="47"/>
  <c r="B323" i="47" s="1"/>
  <c r="H322" i="47"/>
  <c r="C271" i="35"/>
  <c r="G271" i="35"/>
  <c r="I271" i="35"/>
  <c r="B272" i="35" s="1"/>
  <c r="D271" i="35"/>
  <c r="H271" i="35"/>
  <c r="G324" i="55" l="1"/>
  <c r="D324" i="55"/>
  <c r="C324" i="55"/>
  <c r="I324" i="55"/>
  <c r="B325" i="55" s="1"/>
  <c r="H324" i="55"/>
  <c r="I324" i="54"/>
  <c r="B325" i="54" s="1"/>
  <c r="H324" i="54"/>
  <c r="G324" i="54"/>
  <c r="D324" i="54"/>
  <c r="C324" i="54"/>
  <c r="I324" i="53"/>
  <c r="B325" i="53" s="1"/>
  <c r="H324" i="53"/>
  <c r="G324" i="53"/>
  <c r="D324" i="53"/>
  <c r="C324" i="53"/>
  <c r="I324" i="52"/>
  <c r="B325" i="52" s="1"/>
  <c r="H324" i="52"/>
  <c r="G324" i="52"/>
  <c r="C324" i="52"/>
  <c r="D324" i="52"/>
  <c r="G324" i="51"/>
  <c r="D324" i="51"/>
  <c r="C324" i="51"/>
  <c r="I324" i="51"/>
  <c r="B325" i="51" s="1"/>
  <c r="H324" i="51"/>
  <c r="I323" i="50"/>
  <c r="B324" i="50" s="1"/>
  <c r="H323" i="50"/>
  <c r="G323" i="50"/>
  <c r="D323" i="50"/>
  <c r="C323" i="50"/>
  <c r="H323" i="49"/>
  <c r="G323" i="49"/>
  <c r="D323" i="49"/>
  <c r="C323" i="49"/>
  <c r="I323" i="49"/>
  <c r="B324" i="49" s="1"/>
  <c r="H323" i="48"/>
  <c r="G323" i="48"/>
  <c r="D323" i="48"/>
  <c r="C323" i="48"/>
  <c r="I323" i="48"/>
  <c r="B324" i="48" s="1"/>
  <c r="I323" i="47"/>
  <c r="B324" i="47" s="1"/>
  <c r="H323" i="47"/>
  <c r="G323" i="47"/>
  <c r="C323" i="47"/>
  <c r="D323" i="47"/>
  <c r="I272" i="35"/>
  <c r="B273" i="35" s="1"/>
  <c r="C272" i="35"/>
  <c r="G272" i="35"/>
  <c r="D272" i="35"/>
  <c r="H272" i="35"/>
  <c r="I325" i="55" l="1"/>
  <c r="B326" i="55" s="1"/>
  <c r="H325" i="55"/>
  <c r="G325" i="55"/>
  <c r="D325" i="55"/>
  <c r="C325" i="55"/>
  <c r="D325" i="54"/>
  <c r="C325" i="54"/>
  <c r="I325" i="54"/>
  <c r="B326" i="54" s="1"/>
  <c r="H325" i="54"/>
  <c r="G325" i="54"/>
  <c r="D325" i="53"/>
  <c r="I325" i="53"/>
  <c r="B326" i="53" s="1"/>
  <c r="G325" i="53"/>
  <c r="C325" i="53"/>
  <c r="H325" i="53"/>
  <c r="C325" i="52"/>
  <c r="I325" i="52"/>
  <c r="B326" i="52" s="1"/>
  <c r="G325" i="52"/>
  <c r="H325" i="52"/>
  <c r="D325" i="52"/>
  <c r="I325" i="51"/>
  <c r="B326" i="51" s="1"/>
  <c r="H325" i="51"/>
  <c r="G325" i="51"/>
  <c r="D325" i="51"/>
  <c r="C325" i="51"/>
  <c r="C324" i="50"/>
  <c r="I324" i="50"/>
  <c r="B325" i="50" s="1"/>
  <c r="H324" i="50"/>
  <c r="G324" i="50"/>
  <c r="D324" i="50"/>
  <c r="I324" i="49"/>
  <c r="B325" i="49" s="1"/>
  <c r="H324" i="49"/>
  <c r="G324" i="49"/>
  <c r="D324" i="49"/>
  <c r="C324" i="49"/>
  <c r="I324" i="48"/>
  <c r="B325" i="48" s="1"/>
  <c r="H324" i="48"/>
  <c r="G324" i="48"/>
  <c r="D324" i="48"/>
  <c r="C324" i="48"/>
  <c r="I324" i="47"/>
  <c r="B325" i="47" s="1"/>
  <c r="G324" i="47"/>
  <c r="H324" i="47"/>
  <c r="D324" i="47"/>
  <c r="C324" i="47"/>
  <c r="D273" i="35"/>
  <c r="G273" i="35"/>
  <c r="H273" i="35"/>
  <c r="I273" i="35"/>
  <c r="B274" i="35" s="1"/>
  <c r="C273" i="35"/>
  <c r="I326" i="55" l="1"/>
  <c r="B327" i="55" s="1"/>
  <c r="H326" i="55"/>
  <c r="G326" i="55"/>
  <c r="C326" i="55"/>
  <c r="D326" i="55"/>
  <c r="H326" i="54"/>
  <c r="G326" i="54"/>
  <c r="D326" i="54"/>
  <c r="C326" i="54"/>
  <c r="I326" i="54"/>
  <c r="B327" i="54" s="1"/>
  <c r="H326" i="53"/>
  <c r="D326" i="53"/>
  <c r="C326" i="53"/>
  <c r="G326" i="53"/>
  <c r="I326" i="53"/>
  <c r="B327" i="53" s="1"/>
  <c r="G326" i="52"/>
  <c r="D326" i="52"/>
  <c r="C326" i="52"/>
  <c r="I326" i="52"/>
  <c r="B327" i="52" s="1"/>
  <c r="H326" i="52"/>
  <c r="I326" i="51"/>
  <c r="B327" i="51" s="1"/>
  <c r="H326" i="51"/>
  <c r="G326" i="51"/>
  <c r="D326" i="51"/>
  <c r="C326" i="51"/>
  <c r="G325" i="50"/>
  <c r="D325" i="50"/>
  <c r="C325" i="50"/>
  <c r="I325" i="50"/>
  <c r="B326" i="50" s="1"/>
  <c r="H325" i="50"/>
  <c r="I325" i="49"/>
  <c r="B326" i="49" s="1"/>
  <c r="H325" i="49"/>
  <c r="D325" i="49"/>
  <c r="G325" i="49"/>
  <c r="C325" i="49"/>
  <c r="I325" i="48"/>
  <c r="B326" i="48" s="1"/>
  <c r="H325" i="48"/>
  <c r="D325" i="48"/>
  <c r="C325" i="48"/>
  <c r="G325" i="48"/>
  <c r="C325" i="47"/>
  <c r="I325" i="47"/>
  <c r="B326" i="47" s="1"/>
  <c r="H325" i="47"/>
  <c r="G325" i="47"/>
  <c r="D325" i="47"/>
  <c r="H274" i="35"/>
  <c r="D274" i="35"/>
  <c r="C274" i="35"/>
  <c r="G274" i="35"/>
  <c r="I274" i="35"/>
  <c r="B275" i="35" s="1"/>
  <c r="C327" i="55" l="1"/>
  <c r="I327" i="55"/>
  <c r="B328" i="55" s="1"/>
  <c r="G327" i="55"/>
  <c r="D327" i="55"/>
  <c r="H327" i="55"/>
  <c r="I327" i="54"/>
  <c r="B328" i="54" s="1"/>
  <c r="H327" i="54"/>
  <c r="G327" i="54"/>
  <c r="D327" i="54"/>
  <c r="C327" i="54"/>
  <c r="H327" i="53"/>
  <c r="G327" i="53"/>
  <c r="D327" i="53"/>
  <c r="C327" i="53"/>
  <c r="I327" i="53"/>
  <c r="B328" i="53" s="1"/>
  <c r="I327" i="52"/>
  <c r="B328" i="52" s="1"/>
  <c r="H327" i="52"/>
  <c r="G327" i="52"/>
  <c r="D327" i="52"/>
  <c r="C327" i="52"/>
  <c r="C327" i="51"/>
  <c r="I327" i="51"/>
  <c r="B328" i="51" s="1"/>
  <c r="H327" i="51"/>
  <c r="G327" i="51"/>
  <c r="D327" i="51"/>
  <c r="I326" i="50"/>
  <c r="B327" i="50" s="1"/>
  <c r="H326" i="50"/>
  <c r="G326" i="50"/>
  <c r="D326" i="50"/>
  <c r="C326" i="50"/>
  <c r="D326" i="49"/>
  <c r="C326" i="49"/>
  <c r="H326" i="49"/>
  <c r="I326" i="49"/>
  <c r="B327" i="49" s="1"/>
  <c r="G326" i="49"/>
  <c r="D326" i="48"/>
  <c r="C326" i="48"/>
  <c r="H326" i="48"/>
  <c r="G326" i="48"/>
  <c r="I326" i="48"/>
  <c r="B327" i="48" s="1"/>
  <c r="G326" i="47"/>
  <c r="D326" i="47"/>
  <c r="C326" i="47"/>
  <c r="I326" i="47"/>
  <c r="B327" i="47" s="1"/>
  <c r="H326" i="47"/>
  <c r="C275" i="35"/>
  <c r="G275" i="35"/>
  <c r="D275" i="35"/>
  <c r="H275" i="35"/>
  <c r="I275" i="35"/>
  <c r="B276" i="35" s="1"/>
  <c r="G328" i="55" l="1"/>
  <c r="D328" i="55"/>
  <c r="C328" i="55"/>
  <c r="I328" i="55"/>
  <c r="B329" i="55" s="1"/>
  <c r="H328" i="55"/>
  <c r="I328" i="54"/>
  <c r="B329" i="54" s="1"/>
  <c r="H328" i="54"/>
  <c r="G328" i="54"/>
  <c r="D328" i="54"/>
  <c r="C328" i="54"/>
  <c r="I328" i="53"/>
  <c r="B329" i="53" s="1"/>
  <c r="H328" i="53"/>
  <c r="G328" i="53"/>
  <c r="D328" i="53"/>
  <c r="C328" i="53"/>
  <c r="I328" i="52"/>
  <c r="B329" i="52" s="1"/>
  <c r="H328" i="52"/>
  <c r="G328" i="52"/>
  <c r="C328" i="52"/>
  <c r="D328" i="52"/>
  <c r="G328" i="51"/>
  <c r="D328" i="51"/>
  <c r="C328" i="51"/>
  <c r="I328" i="51"/>
  <c r="B329" i="51" s="1"/>
  <c r="H328" i="51"/>
  <c r="I327" i="50"/>
  <c r="B328" i="50" s="1"/>
  <c r="H327" i="50"/>
  <c r="G327" i="50"/>
  <c r="D327" i="50"/>
  <c r="C327" i="50"/>
  <c r="H327" i="49"/>
  <c r="G327" i="49"/>
  <c r="D327" i="49"/>
  <c r="C327" i="49"/>
  <c r="I327" i="49"/>
  <c r="B328" i="49" s="1"/>
  <c r="H327" i="48"/>
  <c r="G327" i="48"/>
  <c r="D327" i="48"/>
  <c r="C327" i="48"/>
  <c r="I327" i="48"/>
  <c r="B328" i="48" s="1"/>
  <c r="I327" i="47"/>
  <c r="B328" i="47" s="1"/>
  <c r="H327" i="47"/>
  <c r="G327" i="47"/>
  <c r="C327" i="47"/>
  <c r="D327" i="47"/>
  <c r="I276" i="35"/>
  <c r="B277" i="35" s="1"/>
  <c r="C276" i="35"/>
  <c r="H276" i="35"/>
  <c r="D276" i="35"/>
  <c r="G276" i="35"/>
  <c r="I329" i="55" l="1"/>
  <c r="B330" i="55" s="1"/>
  <c r="H329" i="55"/>
  <c r="G329" i="55"/>
  <c r="D329" i="55"/>
  <c r="C329" i="55"/>
  <c r="D329" i="54"/>
  <c r="C329" i="54"/>
  <c r="I329" i="54"/>
  <c r="B330" i="54" s="1"/>
  <c r="H329" i="54"/>
  <c r="G329" i="54"/>
  <c r="D329" i="53"/>
  <c r="I329" i="53"/>
  <c r="B330" i="53" s="1"/>
  <c r="C329" i="53"/>
  <c r="H329" i="53"/>
  <c r="G329" i="53"/>
  <c r="C329" i="52"/>
  <c r="I329" i="52"/>
  <c r="B330" i="52" s="1"/>
  <c r="G329" i="52"/>
  <c r="H329" i="52"/>
  <c r="D329" i="52"/>
  <c r="I329" i="51"/>
  <c r="B330" i="51" s="1"/>
  <c r="H329" i="51"/>
  <c r="G329" i="51"/>
  <c r="D329" i="51"/>
  <c r="C329" i="51"/>
  <c r="C328" i="50"/>
  <c r="I328" i="50"/>
  <c r="B329" i="50" s="1"/>
  <c r="H328" i="50"/>
  <c r="G328" i="50"/>
  <c r="D328" i="50"/>
  <c r="I328" i="49"/>
  <c r="B329" i="49" s="1"/>
  <c r="H328" i="49"/>
  <c r="G328" i="49"/>
  <c r="D328" i="49"/>
  <c r="C328" i="49"/>
  <c r="I328" i="48"/>
  <c r="B329" i="48" s="1"/>
  <c r="H328" i="48"/>
  <c r="G328" i="48"/>
  <c r="D328" i="48"/>
  <c r="C328" i="48"/>
  <c r="I328" i="47"/>
  <c r="B329" i="47" s="1"/>
  <c r="G328" i="47"/>
  <c r="H328" i="47"/>
  <c r="D328" i="47"/>
  <c r="C328" i="47"/>
  <c r="G277" i="35"/>
  <c r="D277" i="35"/>
  <c r="I277" i="35"/>
  <c r="B278" i="35" s="1"/>
  <c r="H277" i="35"/>
  <c r="C277" i="35"/>
  <c r="I330" i="55" l="1"/>
  <c r="B331" i="55" s="1"/>
  <c r="H330" i="55"/>
  <c r="G330" i="55"/>
  <c r="C330" i="55"/>
  <c r="D330" i="55"/>
  <c r="H330" i="54"/>
  <c r="G330" i="54"/>
  <c r="D330" i="54"/>
  <c r="C330" i="54"/>
  <c r="I330" i="54"/>
  <c r="B331" i="54" s="1"/>
  <c r="H330" i="53"/>
  <c r="D330" i="53"/>
  <c r="C330" i="53"/>
  <c r="I330" i="53"/>
  <c r="B331" i="53" s="1"/>
  <c r="G330" i="53"/>
  <c r="G330" i="52"/>
  <c r="D330" i="52"/>
  <c r="C330" i="52"/>
  <c r="I330" i="52"/>
  <c r="B331" i="52" s="1"/>
  <c r="H330" i="52"/>
  <c r="I330" i="51"/>
  <c r="B331" i="51" s="1"/>
  <c r="H330" i="51"/>
  <c r="G330" i="51"/>
  <c r="D330" i="51"/>
  <c r="C330" i="51"/>
  <c r="C329" i="50"/>
  <c r="H329" i="50"/>
  <c r="G329" i="50"/>
  <c r="D329" i="50"/>
  <c r="I329" i="50"/>
  <c r="B330" i="50" s="1"/>
  <c r="I329" i="49"/>
  <c r="B330" i="49" s="1"/>
  <c r="H329" i="49"/>
  <c r="D329" i="49"/>
  <c r="G329" i="49"/>
  <c r="C329" i="49"/>
  <c r="I329" i="48"/>
  <c r="B330" i="48" s="1"/>
  <c r="H329" i="48"/>
  <c r="D329" i="48"/>
  <c r="C329" i="48"/>
  <c r="G329" i="48"/>
  <c r="C329" i="47"/>
  <c r="I329" i="47"/>
  <c r="B330" i="47" s="1"/>
  <c r="H329" i="47"/>
  <c r="G329" i="47"/>
  <c r="D329" i="47"/>
  <c r="H278" i="35"/>
  <c r="C278" i="35"/>
  <c r="G278" i="35"/>
  <c r="D278" i="35"/>
  <c r="I278" i="35"/>
  <c r="B279" i="35" s="1"/>
  <c r="C331" i="55" l="1"/>
  <c r="I331" i="55"/>
  <c r="B332" i="55" s="1"/>
  <c r="G331" i="55"/>
  <c r="D331" i="55"/>
  <c r="H331" i="55"/>
  <c r="I331" i="54"/>
  <c r="B332" i="54" s="1"/>
  <c r="H331" i="54"/>
  <c r="G331" i="54"/>
  <c r="D331" i="54"/>
  <c r="C331" i="54"/>
  <c r="H331" i="53"/>
  <c r="G331" i="53"/>
  <c r="D331" i="53"/>
  <c r="C331" i="53"/>
  <c r="I331" i="53"/>
  <c r="B332" i="53" s="1"/>
  <c r="I331" i="52"/>
  <c r="B332" i="52" s="1"/>
  <c r="H331" i="52"/>
  <c r="G331" i="52"/>
  <c r="D331" i="52"/>
  <c r="C331" i="52"/>
  <c r="C331" i="51"/>
  <c r="I331" i="51"/>
  <c r="B332" i="51" s="1"/>
  <c r="H331" i="51"/>
  <c r="G331" i="51"/>
  <c r="D331" i="51"/>
  <c r="H330" i="50"/>
  <c r="G330" i="50"/>
  <c r="D330" i="50"/>
  <c r="I330" i="50"/>
  <c r="B331" i="50" s="1"/>
  <c r="C330" i="50"/>
  <c r="D330" i="49"/>
  <c r="C330" i="49"/>
  <c r="H330" i="49"/>
  <c r="I330" i="49"/>
  <c r="B331" i="49" s="1"/>
  <c r="G330" i="49"/>
  <c r="D330" i="48"/>
  <c r="C330" i="48"/>
  <c r="H330" i="48"/>
  <c r="G330" i="48"/>
  <c r="I330" i="48"/>
  <c r="B331" i="48" s="1"/>
  <c r="G330" i="47"/>
  <c r="D330" i="47"/>
  <c r="C330" i="47"/>
  <c r="I330" i="47"/>
  <c r="B331" i="47" s="1"/>
  <c r="H330" i="47"/>
  <c r="C279" i="35"/>
  <c r="G279" i="35"/>
  <c r="H279" i="35"/>
  <c r="D279" i="35"/>
  <c r="I279" i="35"/>
  <c r="B280" i="35" s="1"/>
  <c r="G332" i="55" l="1"/>
  <c r="D332" i="55"/>
  <c r="C332" i="55"/>
  <c r="I332" i="55"/>
  <c r="B333" i="55" s="1"/>
  <c r="H332" i="55"/>
  <c r="I332" i="54"/>
  <c r="B333" i="54" s="1"/>
  <c r="H332" i="54"/>
  <c r="G332" i="54"/>
  <c r="D332" i="54"/>
  <c r="C332" i="54"/>
  <c r="I332" i="53"/>
  <c r="B333" i="53" s="1"/>
  <c r="H332" i="53"/>
  <c r="G332" i="53"/>
  <c r="D332" i="53"/>
  <c r="C332" i="53"/>
  <c r="I332" i="52"/>
  <c r="B333" i="52" s="1"/>
  <c r="H332" i="52"/>
  <c r="G332" i="52"/>
  <c r="C332" i="52"/>
  <c r="D332" i="52"/>
  <c r="G332" i="51"/>
  <c r="D332" i="51"/>
  <c r="C332" i="51"/>
  <c r="I332" i="51"/>
  <c r="B333" i="51" s="1"/>
  <c r="H332" i="51"/>
  <c r="I331" i="50"/>
  <c r="B332" i="50" s="1"/>
  <c r="H331" i="50"/>
  <c r="G331" i="50"/>
  <c r="D331" i="50"/>
  <c r="C331" i="50"/>
  <c r="H331" i="49"/>
  <c r="G331" i="49"/>
  <c r="D331" i="49"/>
  <c r="C331" i="49"/>
  <c r="I331" i="49"/>
  <c r="B332" i="49" s="1"/>
  <c r="H331" i="48"/>
  <c r="G331" i="48"/>
  <c r="D331" i="48"/>
  <c r="C331" i="48"/>
  <c r="I331" i="48"/>
  <c r="B332" i="48" s="1"/>
  <c r="I331" i="47"/>
  <c r="B332" i="47" s="1"/>
  <c r="H331" i="47"/>
  <c r="G331" i="47"/>
  <c r="C331" i="47"/>
  <c r="D331" i="47"/>
  <c r="C280" i="35"/>
  <c r="I280" i="35"/>
  <c r="B281" i="35" s="1"/>
  <c r="H280" i="35"/>
  <c r="D280" i="35"/>
  <c r="G280" i="35"/>
  <c r="I333" i="55" l="1"/>
  <c r="B334" i="55" s="1"/>
  <c r="H333" i="55"/>
  <c r="G333" i="55"/>
  <c r="D333" i="55"/>
  <c r="C333" i="55"/>
  <c r="D333" i="54"/>
  <c r="C333" i="54"/>
  <c r="I333" i="54"/>
  <c r="B334" i="54" s="1"/>
  <c r="H333" i="54"/>
  <c r="G333" i="54"/>
  <c r="D333" i="53"/>
  <c r="I333" i="53"/>
  <c r="B334" i="53" s="1"/>
  <c r="G333" i="53"/>
  <c r="H333" i="53"/>
  <c r="C333" i="53"/>
  <c r="C333" i="52"/>
  <c r="I333" i="52"/>
  <c r="B334" i="52" s="1"/>
  <c r="G333" i="52"/>
  <c r="H333" i="52"/>
  <c r="D333" i="52"/>
  <c r="I333" i="51"/>
  <c r="B334" i="51" s="1"/>
  <c r="H333" i="51"/>
  <c r="G333" i="51"/>
  <c r="D333" i="51"/>
  <c r="C333" i="51"/>
  <c r="I332" i="50"/>
  <c r="B333" i="50" s="1"/>
  <c r="H332" i="50"/>
  <c r="D332" i="50"/>
  <c r="C332" i="50"/>
  <c r="G332" i="50"/>
  <c r="I332" i="49"/>
  <c r="B333" i="49" s="1"/>
  <c r="H332" i="49"/>
  <c r="G332" i="49"/>
  <c r="D332" i="49"/>
  <c r="C332" i="49"/>
  <c r="I332" i="48"/>
  <c r="B333" i="48" s="1"/>
  <c r="H332" i="48"/>
  <c r="G332" i="48"/>
  <c r="D332" i="48"/>
  <c r="C332" i="48"/>
  <c r="I332" i="47"/>
  <c r="B333" i="47" s="1"/>
  <c r="G332" i="47"/>
  <c r="H332" i="47"/>
  <c r="D332" i="47"/>
  <c r="C332" i="47"/>
  <c r="G281" i="35"/>
  <c r="D281" i="35"/>
  <c r="I281" i="35"/>
  <c r="B282" i="35" s="1"/>
  <c r="H281" i="35"/>
  <c r="C281" i="35"/>
  <c r="I334" i="55" l="1"/>
  <c r="B335" i="55" s="1"/>
  <c r="H334" i="55"/>
  <c r="G334" i="55"/>
  <c r="C334" i="55"/>
  <c r="D334" i="55"/>
  <c r="H334" i="54"/>
  <c r="G334" i="54"/>
  <c r="D334" i="54"/>
  <c r="C334" i="54"/>
  <c r="I334" i="54"/>
  <c r="B335" i="54" s="1"/>
  <c r="H334" i="53"/>
  <c r="D334" i="53"/>
  <c r="C334" i="53"/>
  <c r="I334" i="53"/>
  <c r="B335" i="53" s="1"/>
  <c r="G334" i="53"/>
  <c r="G334" i="52"/>
  <c r="D334" i="52"/>
  <c r="C334" i="52"/>
  <c r="I334" i="52"/>
  <c r="B335" i="52" s="1"/>
  <c r="H334" i="52"/>
  <c r="I334" i="51"/>
  <c r="B335" i="51" s="1"/>
  <c r="H334" i="51"/>
  <c r="G334" i="51"/>
  <c r="D334" i="51"/>
  <c r="C334" i="51"/>
  <c r="D333" i="50"/>
  <c r="C333" i="50"/>
  <c r="H333" i="50"/>
  <c r="G333" i="50"/>
  <c r="I333" i="50"/>
  <c r="B334" i="50" s="1"/>
  <c r="I333" i="49"/>
  <c r="B334" i="49" s="1"/>
  <c r="H333" i="49"/>
  <c r="D333" i="49"/>
  <c r="G333" i="49"/>
  <c r="C333" i="49"/>
  <c r="I333" i="48"/>
  <c r="B334" i="48" s="1"/>
  <c r="H333" i="48"/>
  <c r="D333" i="48"/>
  <c r="C333" i="48"/>
  <c r="G333" i="48"/>
  <c r="C333" i="47"/>
  <c r="I333" i="47"/>
  <c r="B334" i="47" s="1"/>
  <c r="H333" i="47"/>
  <c r="G333" i="47"/>
  <c r="D333" i="47"/>
  <c r="C282" i="35"/>
  <c r="I282" i="35"/>
  <c r="B283" i="35" s="1"/>
  <c r="D282" i="35"/>
  <c r="G282" i="35"/>
  <c r="H282" i="35"/>
  <c r="C335" i="55" l="1"/>
  <c r="I335" i="55"/>
  <c r="B336" i="55" s="1"/>
  <c r="G335" i="55"/>
  <c r="D335" i="55"/>
  <c r="H335" i="55"/>
  <c r="I335" i="54"/>
  <c r="B336" i="54" s="1"/>
  <c r="H335" i="54"/>
  <c r="G335" i="54"/>
  <c r="D335" i="54"/>
  <c r="C335" i="54"/>
  <c r="H335" i="53"/>
  <c r="G335" i="53"/>
  <c r="D335" i="53"/>
  <c r="C335" i="53"/>
  <c r="I335" i="53"/>
  <c r="B336" i="53" s="1"/>
  <c r="I335" i="52"/>
  <c r="B336" i="52" s="1"/>
  <c r="H335" i="52"/>
  <c r="G335" i="52"/>
  <c r="D335" i="52"/>
  <c r="C335" i="52"/>
  <c r="C335" i="51"/>
  <c r="I335" i="51"/>
  <c r="B336" i="51" s="1"/>
  <c r="H335" i="51"/>
  <c r="G335" i="51"/>
  <c r="D335" i="51"/>
  <c r="H334" i="50"/>
  <c r="G334" i="50"/>
  <c r="D334" i="50"/>
  <c r="C334" i="50"/>
  <c r="I334" i="50"/>
  <c r="B335" i="50" s="1"/>
  <c r="D334" i="49"/>
  <c r="C334" i="49"/>
  <c r="H334" i="49"/>
  <c r="I334" i="49"/>
  <c r="B335" i="49" s="1"/>
  <c r="G334" i="49"/>
  <c r="D334" i="48"/>
  <c r="C334" i="48"/>
  <c r="H334" i="48"/>
  <c r="G334" i="48"/>
  <c r="I334" i="48"/>
  <c r="B335" i="48" s="1"/>
  <c r="G334" i="47"/>
  <c r="D334" i="47"/>
  <c r="C334" i="47"/>
  <c r="I334" i="47"/>
  <c r="B335" i="47" s="1"/>
  <c r="H334" i="47"/>
  <c r="C283" i="35"/>
  <c r="G283" i="35"/>
  <c r="H283" i="35"/>
  <c r="D283" i="35"/>
  <c r="I283" i="35"/>
  <c r="B284" i="35" s="1"/>
  <c r="G336" i="55" l="1"/>
  <c r="D336" i="55"/>
  <c r="C336" i="55"/>
  <c r="I336" i="55"/>
  <c r="B337" i="55" s="1"/>
  <c r="H336" i="55"/>
  <c r="I336" i="54"/>
  <c r="B337" i="54" s="1"/>
  <c r="H336" i="54"/>
  <c r="G336" i="54"/>
  <c r="D336" i="54"/>
  <c r="C336" i="54"/>
  <c r="I336" i="53"/>
  <c r="B337" i="53" s="1"/>
  <c r="H336" i="53"/>
  <c r="G336" i="53"/>
  <c r="C336" i="53"/>
  <c r="D336" i="53"/>
  <c r="I336" i="52"/>
  <c r="B337" i="52" s="1"/>
  <c r="H336" i="52"/>
  <c r="G336" i="52"/>
  <c r="C336" i="52"/>
  <c r="D336" i="52"/>
  <c r="G336" i="51"/>
  <c r="D336" i="51"/>
  <c r="C336" i="51"/>
  <c r="I336" i="51"/>
  <c r="B337" i="51" s="1"/>
  <c r="H336" i="51"/>
  <c r="I335" i="50"/>
  <c r="B336" i="50" s="1"/>
  <c r="H335" i="50"/>
  <c r="G335" i="50"/>
  <c r="D335" i="50"/>
  <c r="C335" i="50"/>
  <c r="H335" i="49"/>
  <c r="G335" i="49"/>
  <c r="D335" i="49"/>
  <c r="C335" i="49"/>
  <c r="I335" i="49"/>
  <c r="B336" i="49" s="1"/>
  <c r="H335" i="48"/>
  <c r="G335" i="48"/>
  <c r="D335" i="48"/>
  <c r="C335" i="48"/>
  <c r="I335" i="48"/>
  <c r="B336" i="48" s="1"/>
  <c r="I335" i="47"/>
  <c r="B336" i="47" s="1"/>
  <c r="H335" i="47"/>
  <c r="G335" i="47"/>
  <c r="C335" i="47"/>
  <c r="D335" i="47"/>
  <c r="I284" i="35"/>
  <c r="B285" i="35" s="1"/>
  <c r="C284" i="35"/>
  <c r="D284" i="35"/>
  <c r="H284" i="35"/>
  <c r="G284" i="35"/>
  <c r="I337" i="55" l="1"/>
  <c r="B338" i="55" s="1"/>
  <c r="H337" i="55"/>
  <c r="G337" i="55"/>
  <c r="D337" i="55"/>
  <c r="C337" i="55"/>
  <c r="D337" i="54"/>
  <c r="C337" i="54"/>
  <c r="I337" i="54"/>
  <c r="B338" i="54" s="1"/>
  <c r="H337" i="54"/>
  <c r="G337" i="54"/>
  <c r="D337" i="53"/>
  <c r="I337" i="53"/>
  <c r="B338" i="53" s="1"/>
  <c r="H337" i="53"/>
  <c r="C337" i="53"/>
  <c r="G337" i="53"/>
  <c r="C337" i="52"/>
  <c r="I337" i="52"/>
  <c r="B338" i="52" s="1"/>
  <c r="G337" i="52"/>
  <c r="D337" i="52"/>
  <c r="H337" i="52"/>
  <c r="I337" i="51"/>
  <c r="B338" i="51" s="1"/>
  <c r="H337" i="51"/>
  <c r="G337" i="51"/>
  <c r="D337" i="51"/>
  <c r="C337" i="51"/>
  <c r="I336" i="50"/>
  <c r="B337" i="50" s="1"/>
  <c r="H336" i="50"/>
  <c r="D336" i="50"/>
  <c r="C336" i="50"/>
  <c r="G336" i="50"/>
  <c r="I336" i="49"/>
  <c r="B337" i="49" s="1"/>
  <c r="H336" i="49"/>
  <c r="G336" i="49"/>
  <c r="D336" i="49"/>
  <c r="C336" i="49"/>
  <c r="I336" i="48"/>
  <c r="B337" i="48" s="1"/>
  <c r="H336" i="48"/>
  <c r="G336" i="48"/>
  <c r="D336" i="48"/>
  <c r="C336" i="48"/>
  <c r="I336" i="47"/>
  <c r="B337" i="47" s="1"/>
  <c r="G336" i="47"/>
  <c r="H336" i="47"/>
  <c r="D336" i="47"/>
  <c r="C336" i="47"/>
  <c r="G285" i="35"/>
  <c r="D285" i="35"/>
  <c r="I285" i="35"/>
  <c r="B286" i="35" s="1"/>
  <c r="H285" i="35"/>
  <c r="C285" i="35"/>
  <c r="I338" i="55" l="1"/>
  <c r="B339" i="55" s="1"/>
  <c r="H338" i="55"/>
  <c r="G338" i="55"/>
  <c r="C338" i="55"/>
  <c r="D338" i="55"/>
  <c r="H338" i="54"/>
  <c r="G338" i="54"/>
  <c r="D338" i="54"/>
  <c r="C338" i="54"/>
  <c r="I338" i="54"/>
  <c r="B339" i="54" s="1"/>
  <c r="H338" i="53"/>
  <c r="D338" i="53"/>
  <c r="C338" i="53"/>
  <c r="I338" i="53"/>
  <c r="B339" i="53" s="1"/>
  <c r="G338" i="53"/>
  <c r="G338" i="52"/>
  <c r="D338" i="52"/>
  <c r="C338" i="52"/>
  <c r="I338" i="52"/>
  <c r="B339" i="52" s="1"/>
  <c r="H338" i="52"/>
  <c r="I338" i="51"/>
  <c r="B339" i="51" s="1"/>
  <c r="H338" i="51"/>
  <c r="G338" i="51"/>
  <c r="D338" i="51"/>
  <c r="C338" i="51"/>
  <c r="D337" i="50"/>
  <c r="C337" i="50"/>
  <c r="H337" i="50"/>
  <c r="G337" i="50"/>
  <c r="I337" i="50"/>
  <c r="B338" i="50" s="1"/>
  <c r="I337" i="49"/>
  <c r="B338" i="49" s="1"/>
  <c r="H337" i="49"/>
  <c r="D337" i="49"/>
  <c r="G337" i="49"/>
  <c r="C337" i="49"/>
  <c r="I337" i="48"/>
  <c r="B338" i="48" s="1"/>
  <c r="H337" i="48"/>
  <c r="D337" i="48"/>
  <c r="C337" i="48"/>
  <c r="G337" i="48"/>
  <c r="C337" i="47"/>
  <c r="I337" i="47"/>
  <c r="B338" i="47" s="1"/>
  <c r="H337" i="47"/>
  <c r="G337" i="47"/>
  <c r="D337" i="47"/>
  <c r="C286" i="35"/>
  <c r="H286" i="35"/>
  <c r="G286" i="35"/>
  <c r="D286" i="35"/>
  <c r="I286" i="35"/>
  <c r="B287" i="35" s="1"/>
  <c r="C339" i="55" l="1"/>
  <c r="I339" i="55"/>
  <c r="B340" i="55" s="1"/>
  <c r="G339" i="55"/>
  <c r="D339" i="55"/>
  <c r="H339" i="55"/>
  <c r="I339" i="54"/>
  <c r="B340" i="54" s="1"/>
  <c r="H339" i="54"/>
  <c r="G339" i="54"/>
  <c r="D339" i="54"/>
  <c r="C339" i="54"/>
  <c r="H339" i="53"/>
  <c r="G339" i="53"/>
  <c r="D339" i="53"/>
  <c r="C339" i="53"/>
  <c r="I339" i="53"/>
  <c r="B340" i="53" s="1"/>
  <c r="I339" i="52"/>
  <c r="B340" i="52" s="1"/>
  <c r="H339" i="52"/>
  <c r="G339" i="52"/>
  <c r="D339" i="52"/>
  <c r="C339" i="52"/>
  <c r="C339" i="51"/>
  <c r="I339" i="51"/>
  <c r="B340" i="51" s="1"/>
  <c r="H339" i="51"/>
  <c r="G339" i="51"/>
  <c r="D339" i="51"/>
  <c r="H338" i="50"/>
  <c r="G338" i="50"/>
  <c r="D338" i="50"/>
  <c r="C338" i="50"/>
  <c r="I338" i="50"/>
  <c r="B339" i="50" s="1"/>
  <c r="D338" i="49"/>
  <c r="C338" i="49"/>
  <c r="H338" i="49"/>
  <c r="I338" i="49"/>
  <c r="B339" i="49" s="1"/>
  <c r="G338" i="49"/>
  <c r="D338" i="48"/>
  <c r="C338" i="48"/>
  <c r="H338" i="48"/>
  <c r="G338" i="48"/>
  <c r="I338" i="48"/>
  <c r="B339" i="48" s="1"/>
  <c r="G338" i="47"/>
  <c r="D338" i="47"/>
  <c r="C338" i="47"/>
  <c r="I338" i="47"/>
  <c r="B339" i="47" s="1"/>
  <c r="H338" i="47"/>
  <c r="C287" i="35"/>
  <c r="G287" i="35"/>
  <c r="I287" i="35"/>
  <c r="B288" i="35" s="1"/>
  <c r="D287" i="35"/>
  <c r="H287" i="35"/>
  <c r="G340" i="55" l="1"/>
  <c r="D340" i="55"/>
  <c r="C340" i="55"/>
  <c r="I340" i="55"/>
  <c r="B341" i="55" s="1"/>
  <c r="H340" i="55"/>
  <c r="I340" i="54"/>
  <c r="B341" i="54" s="1"/>
  <c r="H340" i="54"/>
  <c r="G340" i="54"/>
  <c r="D340" i="54"/>
  <c r="C340" i="54"/>
  <c r="I340" i="53"/>
  <c r="B341" i="53" s="1"/>
  <c r="H340" i="53"/>
  <c r="G340" i="53"/>
  <c r="D340" i="53"/>
  <c r="C340" i="53"/>
  <c r="I340" i="52"/>
  <c r="B341" i="52" s="1"/>
  <c r="H340" i="52"/>
  <c r="G340" i="52"/>
  <c r="C340" i="52"/>
  <c r="D340" i="52"/>
  <c r="G340" i="51"/>
  <c r="D340" i="51"/>
  <c r="C340" i="51"/>
  <c r="I340" i="51"/>
  <c r="B341" i="51" s="1"/>
  <c r="H340" i="51"/>
  <c r="I339" i="50"/>
  <c r="B340" i="50" s="1"/>
  <c r="H339" i="50"/>
  <c r="G339" i="50"/>
  <c r="D339" i="50"/>
  <c r="C339" i="50"/>
  <c r="H339" i="49"/>
  <c r="G339" i="49"/>
  <c r="D339" i="49"/>
  <c r="C339" i="49"/>
  <c r="I339" i="49"/>
  <c r="B340" i="49" s="1"/>
  <c r="H339" i="48"/>
  <c r="G339" i="48"/>
  <c r="D339" i="48"/>
  <c r="C339" i="48"/>
  <c r="I339" i="48"/>
  <c r="B340" i="48" s="1"/>
  <c r="I339" i="47"/>
  <c r="B340" i="47" s="1"/>
  <c r="H339" i="47"/>
  <c r="G339" i="47"/>
  <c r="C339" i="47"/>
  <c r="D339" i="47"/>
  <c r="I288" i="35"/>
  <c r="B289" i="35" s="1"/>
  <c r="C288" i="35"/>
  <c r="G288" i="35"/>
  <c r="D288" i="35"/>
  <c r="H288" i="35"/>
  <c r="I341" i="55" l="1"/>
  <c r="B342" i="55" s="1"/>
  <c r="H341" i="55"/>
  <c r="G341" i="55"/>
  <c r="D341" i="55"/>
  <c r="C341" i="55"/>
  <c r="D341" i="54"/>
  <c r="C341" i="54"/>
  <c r="I341" i="54"/>
  <c r="B342" i="54" s="1"/>
  <c r="H341" i="54"/>
  <c r="G341" i="54"/>
  <c r="D341" i="53"/>
  <c r="I341" i="53"/>
  <c r="B342" i="53" s="1"/>
  <c r="H341" i="53"/>
  <c r="G341" i="53"/>
  <c r="C341" i="53"/>
  <c r="C341" i="52"/>
  <c r="I341" i="52"/>
  <c r="B342" i="52" s="1"/>
  <c r="G341" i="52"/>
  <c r="H341" i="52"/>
  <c r="D341" i="52"/>
  <c r="I341" i="51"/>
  <c r="B342" i="51" s="1"/>
  <c r="H341" i="51"/>
  <c r="G341" i="51"/>
  <c r="D341" i="51"/>
  <c r="C341" i="51"/>
  <c r="I340" i="50"/>
  <c r="B341" i="50" s="1"/>
  <c r="H340" i="50"/>
  <c r="D340" i="50"/>
  <c r="C340" i="50"/>
  <c r="G340" i="50"/>
  <c r="I340" i="49"/>
  <c r="B341" i="49" s="1"/>
  <c r="H340" i="49"/>
  <c r="G340" i="49"/>
  <c r="D340" i="49"/>
  <c r="C340" i="49"/>
  <c r="I340" i="48"/>
  <c r="B341" i="48" s="1"/>
  <c r="H340" i="48"/>
  <c r="G340" i="48"/>
  <c r="D340" i="48"/>
  <c r="C340" i="48"/>
  <c r="I340" i="47"/>
  <c r="B341" i="47" s="1"/>
  <c r="G340" i="47"/>
  <c r="H340" i="47"/>
  <c r="D340" i="47"/>
  <c r="C340" i="47"/>
  <c r="G289" i="35"/>
  <c r="I289" i="35"/>
  <c r="B290" i="35" s="1"/>
  <c r="H289" i="35"/>
  <c r="D289" i="35"/>
  <c r="C289" i="35"/>
  <c r="I342" i="55" l="1"/>
  <c r="B343" i="55" s="1"/>
  <c r="H342" i="55"/>
  <c r="G342" i="55"/>
  <c r="C342" i="55"/>
  <c r="D342" i="55"/>
  <c r="H342" i="54"/>
  <c r="G342" i="54"/>
  <c r="D342" i="54"/>
  <c r="C342" i="54"/>
  <c r="I342" i="54"/>
  <c r="B343" i="54" s="1"/>
  <c r="H342" i="53"/>
  <c r="D342" i="53"/>
  <c r="C342" i="53"/>
  <c r="I342" i="53"/>
  <c r="B343" i="53" s="1"/>
  <c r="G342" i="53"/>
  <c r="G342" i="52"/>
  <c r="D342" i="52"/>
  <c r="C342" i="52"/>
  <c r="I342" i="52"/>
  <c r="B343" i="52" s="1"/>
  <c r="H342" i="52"/>
  <c r="I342" i="51"/>
  <c r="B343" i="51" s="1"/>
  <c r="H342" i="51"/>
  <c r="G342" i="51"/>
  <c r="D342" i="51"/>
  <c r="C342" i="51"/>
  <c r="D341" i="50"/>
  <c r="C341" i="50"/>
  <c r="H341" i="50"/>
  <c r="G341" i="50"/>
  <c r="I341" i="50"/>
  <c r="B342" i="50" s="1"/>
  <c r="I341" i="49"/>
  <c r="B342" i="49" s="1"/>
  <c r="H341" i="49"/>
  <c r="D341" i="49"/>
  <c r="G341" i="49"/>
  <c r="C341" i="49"/>
  <c r="I341" i="48"/>
  <c r="B342" i="48" s="1"/>
  <c r="H341" i="48"/>
  <c r="D341" i="48"/>
  <c r="C341" i="48"/>
  <c r="G341" i="48"/>
  <c r="C341" i="47"/>
  <c r="I341" i="47"/>
  <c r="B342" i="47" s="1"/>
  <c r="H341" i="47"/>
  <c r="G341" i="47"/>
  <c r="D341" i="47"/>
  <c r="H290" i="35"/>
  <c r="I290" i="35"/>
  <c r="B291" i="35" s="1"/>
  <c r="C290" i="35"/>
  <c r="D290" i="35"/>
  <c r="G290" i="35"/>
  <c r="C343" i="55" l="1"/>
  <c r="I343" i="55"/>
  <c r="B344" i="55" s="1"/>
  <c r="G343" i="55"/>
  <c r="D343" i="55"/>
  <c r="H343" i="55"/>
  <c r="I343" i="54"/>
  <c r="B344" i="54" s="1"/>
  <c r="H343" i="54"/>
  <c r="G343" i="54"/>
  <c r="D343" i="54"/>
  <c r="C343" i="54"/>
  <c r="H343" i="53"/>
  <c r="G343" i="53"/>
  <c r="D343" i="53"/>
  <c r="C343" i="53"/>
  <c r="I343" i="53"/>
  <c r="B344" i="53" s="1"/>
  <c r="I343" i="52"/>
  <c r="B344" i="52" s="1"/>
  <c r="H343" i="52"/>
  <c r="G343" i="52"/>
  <c r="D343" i="52"/>
  <c r="C343" i="52"/>
  <c r="C343" i="51"/>
  <c r="I343" i="51"/>
  <c r="B344" i="51" s="1"/>
  <c r="H343" i="51"/>
  <c r="G343" i="51"/>
  <c r="D343" i="51"/>
  <c r="H342" i="50"/>
  <c r="G342" i="50"/>
  <c r="D342" i="50"/>
  <c r="C342" i="50"/>
  <c r="I342" i="50"/>
  <c r="B343" i="50" s="1"/>
  <c r="D342" i="49"/>
  <c r="C342" i="49"/>
  <c r="H342" i="49"/>
  <c r="I342" i="49"/>
  <c r="B343" i="49" s="1"/>
  <c r="G342" i="49"/>
  <c r="D342" i="48"/>
  <c r="C342" i="48"/>
  <c r="H342" i="48"/>
  <c r="G342" i="48"/>
  <c r="I342" i="48"/>
  <c r="B343" i="48" s="1"/>
  <c r="G342" i="47"/>
  <c r="D342" i="47"/>
  <c r="C342" i="47"/>
  <c r="I342" i="47"/>
  <c r="B343" i="47" s="1"/>
  <c r="H342" i="47"/>
  <c r="C291" i="35"/>
  <c r="G291" i="35"/>
  <c r="H291" i="35"/>
  <c r="D291" i="35"/>
  <c r="I291" i="35"/>
  <c r="B292" i="35" s="1"/>
  <c r="G344" i="55" l="1"/>
  <c r="D344" i="55"/>
  <c r="C344" i="55"/>
  <c r="I344" i="55"/>
  <c r="B345" i="55" s="1"/>
  <c r="H344" i="55"/>
  <c r="I344" i="54"/>
  <c r="B345" i="54" s="1"/>
  <c r="H344" i="54"/>
  <c r="G344" i="54"/>
  <c r="C344" i="54"/>
  <c r="D344" i="54"/>
  <c r="I344" i="53"/>
  <c r="B345" i="53" s="1"/>
  <c r="H344" i="53"/>
  <c r="G344" i="53"/>
  <c r="C344" i="53"/>
  <c r="D344" i="53"/>
  <c r="I344" i="52"/>
  <c r="B345" i="52" s="1"/>
  <c r="H344" i="52"/>
  <c r="G344" i="52"/>
  <c r="C344" i="52"/>
  <c r="D344" i="52"/>
  <c r="G344" i="51"/>
  <c r="D344" i="51"/>
  <c r="C344" i="51"/>
  <c r="I344" i="51"/>
  <c r="B345" i="51" s="1"/>
  <c r="H344" i="51"/>
  <c r="I343" i="50"/>
  <c r="B344" i="50" s="1"/>
  <c r="H343" i="50"/>
  <c r="G343" i="50"/>
  <c r="D343" i="50"/>
  <c r="C343" i="50"/>
  <c r="H343" i="49"/>
  <c r="G343" i="49"/>
  <c r="D343" i="49"/>
  <c r="C343" i="49"/>
  <c r="I343" i="49"/>
  <c r="B344" i="49" s="1"/>
  <c r="H343" i="48"/>
  <c r="G343" i="48"/>
  <c r="D343" i="48"/>
  <c r="C343" i="48"/>
  <c r="I343" i="48"/>
  <c r="B344" i="48" s="1"/>
  <c r="I343" i="47"/>
  <c r="B344" i="47" s="1"/>
  <c r="H343" i="47"/>
  <c r="G343" i="47"/>
  <c r="C343" i="47"/>
  <c r="D343" i="47"/>
  <c r="I292" i="35"/>
  <c r="B293" i="35" s="1"/>
  <c r="C292" i="35"/>
  <c r="H292" i="35"/>
  <c r="G292" i="35"/>
  <c r="D292" i="35"/>
  <c r="I345" i="55" l="1"/>
  <c r="B346" i="55" s="1"/>
  <c r="H345" i="55"/>
  <c r="G345" i="55"/>
  <c r="D345" i="55"/>
  <c r="C345" i="55"/>
  <c r="D345" i="54"/>
  <c r="C345" i="54"/>
  <c r="I345" i="54"/>
  <c r="B346" i="54" s="1"/>
  <c r="H345" i="54"/>
  <c r="G345" i="54"/>
  <c r="D345" i="53"/>
  <c r="I345" i="53"/>
  <c r="B346" i="53" s="1"/>
  <c r="H345" i="53"/>
  <c r="G345" i="53"/>
  <c r="C345" i="53"/>
  <c r="C345" i="52"/>
  <c r="I345" i="52"/>
  <c r="B346" i="52" s="1"/>
  <c r="G345" i="52"/>
  <c r="H345" i="52"/>
  <c r="D345" i="52"/>
  <c r="I345" i="51"/>
  <c r="B346" i="51" s="1"/>
  <c r="H345" i="51"/>
  <c r="G345" i="51"/>
  <c r="D345" i="51"/>
  <c r="C345" i="51"/>
  <c r="I344" i="50"/>
  <c r="B345" i="50" s="1"/>
  <c r="H344" i="50"/>
  <c r="D344" i="50"/>
  <c r="C344" i="50"/>
  <c r="G344" i="50"/>
  <c r="I344" i="49"/>
  <c r="B345" i="49" s="1"/>
  <c r="H344" i="49"/>
  <c r="G344" i="49"/>
  <c r="D344" i="49"/>
  <c r="C344" i="49"/>
  <c r="I344" i="48"/>
  <c r="B345" i="48" s="1"/>
  <c r="H344" i="48"/>
  <c r="G344" i="48"/>
  <c r="D344" i="48"/>
  <c r="C344" i="48"/>
  <c r="I344" i="47"/>
  <c r="B345" i="47" s="1"/>
  <c r="G344" i="47"/>
  <c r="H344" i="47"/>
  <c r="D344" i="47"/>
  <c r="C344" i="47"/>
  <c r="D293" i="35"/>
  <c r="G293" i="35"/>
  <c r="I293" i="35"/>
  <c r="B294" i="35" s="1"/>
  <c r="H293" i="35"/>
  <c r="C293" i="35"/>
  <c r="I346" i="55" l="1"/>
  <c r="B347" i="55" s="1"/>
  <c r="H346" i="55"/>
  <c r="G346" i="55"/>
  <c r="C346" i="55"/>
  <c r="D346" i="55"/>
  <c r="G346" i="54"/>
  <c r="I346" i="54"/>
  <c r="B347" i="54" s="1"/>
  <c r="H346" i="54"/>
  <c r="D346" i="54"/>
  <c r="C346" i="54"/>
  <c r="H346" i="53"/>
  <c r="D346" i="53"/>
  <c r="C346" i="53"/>
  <c r="I346" i="53"/>
  <c r="B347" i="53" s="1"/>
  <c r="G346" i="53"/>
  <c r="G346" i="52"/>
  <c r="D346" i="52"/>
  <c r="C346" i="52"/>
  <c r="I346" i="52"/>
  <c r="B347" i="52" s="1"/>
  <c r="H346" i="52"/>
  <c r="I346" i="51"/>
  <c r="B347" i="51" s="1"/>
  <c r="H346" i="51"/>
  <c r="G346" i="51"/>
  <c r="D346" i="51"/>
  <c r="C346" i="51"/>
  <c r="D345" i="50"/>
  <c r="C345" i="50"/>
  <c r="H345" i="50"/>
  <c r="G345" i="50"/>
  <c r="I345" i="50"/>
  <c r="B346" i="50" s="1"/>
  <c r="I345" i="49"/>
  <c r="B346" i="49" s="1"/>
  <c r="H345" i="49"/>
  <c r="D345" i="49"/>
  <c r="G345" i="49"/>
  <c r="C345" i="49"/>
  <c r="I345" i="48"/>
  <c r="B346" i="48" s="1"/>
  <c r="H345" i="48"/>
  <c r="D345" i="48"/>
  <c r="C345" i="48"/>
  <c r="G345" i="48"/>
  <c r="C345" i="47"/>
  <c r="I345" i="47"/>
  <c r="B346" i="47" s="1"/>
  <c r="H345" i="47"/>
  <c r="G345" i="47"/>
  <c r="D345" i="47"/>
  <c r="C294" i="35"/>
  <c r="I294" i="35"/>
  <c r="B295" i="35" s="1"/>
  <c r="G294" i="35"/>
  <c r="D294" i="35"/>
  <c r="H294" i="35"/>
  <c r="C347" i="55" l="1"/>
  <c r="I347" i="55"/>
  <c r="B348" i="55" s="1"/>
  <c r="G347" i="55"/>
  <c r="D347" i="55"/>
  <c r="H347" i="55"/>
  <c r="I347" i="54"/>
  <c r="B348" i="54" s="1"/>
  <c r="H347" i="54"/>
  <c r="G347" i="54"/>
  <c r="D347" i="54"/>
  <c r="C347" i="54"/>
  <c r="H347" i="53"/>
  <c r="G347" i="53"/>
  <c r="D347" i="53"/>
  <c r="C347" i="53"/>
  <c r="I347" i="53"/>
  <c r="B348" i="53" s="1"/>
  <c r="I347" i="52"/>
  <c r="B348" i="52" s="1"/>
  <c r="H347" i="52"/>
  <c r="G347" i="52"/>
  <c r="D347" i="52"/>
  <c r="C347" i="52"/>
  <c r="C347" i="51"/>
  <c r="I347" i="51"/>
  <c r="B348" i="51" s="1"/>
  <c r="H347" i="51"/>
  <c r="G347" i="51"/>
  <c r="D347" i="51"/>
  <c r="H346" i="50"/>
  <c r="G346" i="50"/>
  <c r="D346" i="50"/>
  <c r="C346" i="50"/>
  <c r="I346" i="50"/>
  <c r="B347" i="50" s="1"/>
  <c r="D346" i="49"/>
  <c r="C346" i="49"/>
  <c r="H346" i="49"/>
  <c r="I346" i="49"/>
  <c r="B347" i="49" s="1"/>
  <c r="G346" i="49"/>
  <c r="D346" i="48"/>
  <c r="C346" i="48"/>
  <c r="H346" i="48"/>
  <c r="G346" i="48"/>
  <c r="I346" i="48"/>
  <c r="B347" i="48" s="1"/>
  <c r="G346" i="47"/>
  <c r="D346" i="47"/>
  <c r="C346" i="47"/>
  <c r="I346" i="47"/>
  <c r="B347" i="47" s="1"/>
  <c r="H346" i="47"/>
  <c r="C295" i="35"/>
  <c r="G295" i="35"/>
  <c r="H295" i="35"/>
  <c r="D295" i="35"/>
  <c r="I295" i="35"/>
  <c r="B296" i="35" s="1"/>
  <c r="G348" i="55" l="1"/>
  <c r="D348" i="55"/>
  <c r="C348" i="55"/>
  <c r="I348" i="55"/>
  <c r="B349" i="55" s="1"/>
  <c r="H348" i="55"/>
  <c r="I348" i="54"/>
  <c r="B349" i="54" s="1"/>
  <c r="H348" i="54"/>
  <c r="G348" i="54"/>
  <c r="D348" i="54"/>
  <c r="C348" i="54"/>
  <c r="I348" i="53"/>
  <c r="B349" i="53" s="1"/>
  <c r="H348" i="53"/>
  <c r="G348" i="53"/>
  <c r="D348" i="53"/>
  <c r="C348" i="53"/>
  <c r="I348" i="52"/>
  <c r="B349" i="52" s="1"/>
  <c r="H348" i="52"/>
  <c r="G348" i="52"/>
  <c r="C348" i="52"/>
  <c r="D348" i="52"/>
  <c r="G348" i="51"/>
  <c r="D348" i="51"/>
  <c r="C348" i="51"/>
  <c r="I348" i="51"/>
  <c r="B349" i="51" s="1"/>
  <c r="H348" i="51"/>
  <c r="I347" i="50"/>
  <c r="B348" i="50" s="1"/>
  <c r="H347" i="50"/>
  <c r="G347" i="50"/>
  <c r="D347" i="50"/>
  <c r="C347" i="50"/>
  <c r="H347" i="49"/>
  <c r="G347" i="49"/>
  <c r="D347" i="49"/>
  <c r="C347" i="49"/>
  <c r="I347" i="49"/>
  <c r="B348" i="49" s="1"/>
  <c r="H347" i="48"/>
  <c r="G347" i="48"/>
  <c r="D347" i="48"/>
  <c r="C347" i="48"/>
  <c r="I347" i="48"/>
  <c r="B348" i="48" s="1"/>
  <c r="I347" i="47"/>
  <c r="B348" i="47" s="1"/>
  <c r="H347" i="47"/>
  <c r="G347" i="47"/>
  <c r="C347" i="47"/>
  <c r="D347" i="47"/>
  <c r="I296" i="35"/>
  <c r="B297" i="35" s="1"/>
  <c r="C296" i="35"/>
  <c r="H296" i="35"/>
  <c r="D296" i="35"/>
  <c r="G296" i="35"/>
  <c r="I349" i="55" l="1"/>
  <c r="B350" i="55" s="1"/>
  <c r="H349" i="55"/>
  <c r="G349" i="55"/>
  <c r="D349" i="55"/>
  <c r="C349" i="55"/>
  <c r="C349" i="54"/>
  <c r="I349" i="54"/>
  <c r="B350" i="54" s="1"/>
  <c r="H349" i="54"/>
  <c r="G349" i="54"/>
  <c r="D349" i="54"/>
  <c r="D349" i="53"/>
  <c r="I349" i="53"/>
  <c r="B350" i="53" s="1"/>
  <c r="H349" i="53"/>
  <c r="G349" i="53"/>
  <c r="C349" i="53"/>
  <c r="C349" i="52"/>
  <c r="I349" i="52"/>
  <c r="B350" i="52" s="1"/>
  <c r="G349" i="52"/>
  <c r="H349" i="52"/>
  <c r="D349" i="52"/>
  <c r="I349" i="51"/>
  <c r="B350" i="51" s="1"/>
  <c r="H349" i="51"/>
  <c r="G349" i="51"/>
  <c r="D349" i="51"/>
  <c r="C349" i="51"/>
  <c r="I348" i="50"/>
  <c r="B349" i="50" s="1"/>
  <c r="H348" i="50"/>
  <c r="D348" i="50"/>
  <c r="C348" i="50"/>
  <c r="G348" i="50"/>
  <c r="I348" i="49"/>
  <c r="B349" i="49" s="1"/>
  <c r="H348" i="49"/>
  <c r="G348" i="49"/>
  <c r="D348" i="49"/>
  <c r="C348" i="49"/>
  <c r="I348" i="48"/>
  <c r="B349" i="48" s="1"/>
  <c r="H348" i="48"/>
  <c r="G348" i="48"/>
  <c r="D348" i="48"/>
  <c r="C348" i="48"/>
  <c r="I348" i="47"/>
  <c r="B349" i="47" s="1"/>
  <c r="G348" i="47"/>
  <c r="H348" i="47"/>
  <c r="D348" i="47"/>
  <c r="C348" i="47"/>
  <c r="G297" i="35"/>
  <c r="D297" i="35"/>
  <c r="I297" i="35"/>
  <c r="B298" i="35" s="1"/>
  <c r="H297" i="35"/>
  <c r="C297" i="35"/>
  <c r="I350" i="55" l="1"/>
  <c r="B351" i="55" s="1"/>
  <c r="H350" i="55"/>
  <c r="G350" i="55"/>
  <c r="C350" i="55"/>
  <c r="D350" i="55"/>
  <c r="G350" i="54"/>
  <c r="D350" i="54"/>
  <c r="C350" i="54"/>
  <c r="I350" i="54"/>
  <c r="B351" i="54" s="1"/>
  <c r="H350" i="54"/>
  <c r="H350" i="53"/>
  <c r="D350" i="53"/>
  <c r="C350" i="53"/>
  <c r="G350" i="53"/>
  <c r="I350" i="53"/>
  <c r="B351" i="53" s="1"/>
  <c r="G350" i="52"/>
  <c r="D350" i="52"/>
  <c r="C350" i="52"/>
  <c r="I350" i="52"/>
  <c r="B351" i="52" s="1"/>
  <c r="H350" i="52"/>
  <c r="I350" i="51"/>
  <c r="B351" i="51" s="1"/>
  <c r="H350" i="51"/>
  <c r="G350" i="51"/>
  <c r="D350" i="51"/>
  <c r="C350" i="51"/>
  <c r="D349" i="50"/>
  <c r="C349" i="50"/>
  <c r="H349" i="50"/>
  <c r="G349" i="50"/>
  <c r="I349" i="50"/>
  <c r="B350" i="50" s="1"/>
  <c r="I349" i="49"/>
  <c r="B350" i="49" s="1"/>
  <c r="H349" i="49"/>
  <c r="D349" i="49"/>
  <c r="G349" i="49"/>
  <c r="C349" i="49"/>
  <c r="I349" i="48"/>
  <c r="B350" i="48" s="1"/>
  <c r="H349" i="48"/>
  <c r="D349" i="48"/>
  <c r="C349" i="48"/>
  <c r="G349" i="48"/>
  <c r="C349" i="47"/>
  <c r="I349" i="47"/>
  <c r="B350" i="47" s="1"/>
  <c r="H349" i="47"/>
  <c r="G349" i="47"/>
  <c r="D349" i="47"/>
  <c r="I298" i="35"/>
  <c r="B299" i="35" s="1"/>
  <c r="H298" i="35"/>
  <c r="G298" i="35"/>
  <c r="D298" i="35"/>
  <c r="C298" i="35"/>
  <c r="C351" i="55" l="1"/>
  <c r="I351" i="55"/>
  <c r="B352" i="55" s="1"/>
  <c r="G351" i="55"/>
  <c r="D351" i="55"/>
  <c r="H351" i="55"/>
  <c r="I351" i="54"/>
  <c r="B352" i="54" s="1"/>
  <c r="H351" i="54"/>
  <c r="G351" i="54"/>
  <c r="D351" i="54"/>
  <c r="C351" i="54"/>
  <c r="H351" i="53"/>
  <c r="G351" i="53"/>
  <c r="D351" i="53"/>
  <c r="C351" i="53"/>
  <c r="I351" i="53"/>
  <c r="B352" i="53" s="1"/>
  <c r="I351" i="52"/>
  <c r="B352" i="52" s="1"/>
  <c r="H351" i="52"/>
  <c r="G351" i="52"/>
  <c r="D351" i="52"/>
  <c r="C351" i="52"/>
  <c r="C351" i="51"/>
  <c r="I351" i="51"/>
  <c r="B352" i="51" s="1"/>
  <c r="H351" i="51"/>
  <c r="G351" i="51"/>
  <c r="D351" i="51"/>
  <c r="H350" i="50"/>
  <c r="G350" i="50"/>
  <c r="D350" i="50"/>
  <c r="C350" i="50"/>
  <c r="I350" i="50"/>
  <c r="B351" i="50" s="1"/>
  <c r="D350" i="49"/>
  <c r="C350" i="49"/>
  <c r="H350" i="49"/>
  <c r="I350" i="49"/>
  <c r="B351" i="49" s="1"/>
  <c r="G350" i="49"/>
  <c r="D350" i="48"/>
  <c r="C350" i="48"/>
  <c r="H350" i="48"/>
  <c r="G350" i="48"/>
  <c r="I350" i="48"/>
  <c r="B351" i="48" s="1"/>
  <c r="G350" i="47"/>
  <c r="D350" i="47"/>
  <c r="C350" i="47"/>
  <c r="I350" i="47"/>
  <c r="B351" i="47" s="1"/>
  <c r="H350" i="47"/>
  <c r="C299" i="35"/>
  <c r="H299" i="35"/>
  <c r="G299" i="35"/>
  <c r="I299" i="35"/>
  <c r="B300" i="35" s="1"/>
  <c r="D299" i="35"/>
  <c r="G352" i="55" l="1"/>
  <c r="D352" i="55"/>
  <c r="C352" i="55"/>
  <c r="I352" i="55"/>
  <c r="B353" i="55" s="1"/>
  <c r="H352" i="55"/>
  <c r="I352" i="54"/>
  <c r="B353" i="54" s="1"/>
  <c r="H352" i="54"/>
  <c r="G352" i="54"/>
  <c r="D352" i="54"/>
  <c r="C352" i="54"/>
  <c r="I352" i="53"/>
  <c r="B353" i="53" s="1"/>
  <c r="H352" i="53"/>
  <c r="G352" i="53"/>
  <c r="D352" i="53"/>
  <c r="C352" i="53"/>
  <c r="I352" i="52"/>
  <c r="B353" i="52" s="1"/>
  <c r="H352" i="52"/>
  <c r="G352" i="52"/>
  <c r="C352" i="52"/>
  <c r="D352" i="52"/>
  <c r="G352" i="51"/>
  <c r="D352" i="51"/>
  <c r="C352" i="51"/>
  <c r="I352" i="51"/>
  <c r="B353" i="51" s="1"/>
  <c r="H352" i="51"/>
  <c r="I351" i="50"/>
  <c r="B352" i="50" s="1"/>
  <c r="H351" i="50"/>
  <c r="G351" i="50"/>
  <c r="D351" i="50"/>
  <c r="C351" i="50"/>
  <c r="H351" i="49"/>
  <c r="G351" i="49"/>
  <c r="D351" i="49"/>
  <c r="C351" i="49"/>
  <c r="I351" i="49"/>
  <c r="B352" i="49" s="1"/>
  <c r="H351" i="48"/>
  <c r="G351" i="48"/>
  <c r="D351" i="48"/>
  <c r="C351" i="48"/>
  <c r="I351" i="48"/>
  <c r="B352" i="48" s="1"/>
  <c r="I351" i="47"/>
  <c r="B352" i="47" s="1"/>
  <c r="H351" i="47"/>
  <c r="G351" i="47"/>
  <c r="C351" i="47"/>
  <c r="D351" i="47"/>
  <c r="C300" i="35"/>
  <c r="I300" i="35"/>
  <c r="B301" i="35" s="1"/>
  <c r="H300" i="35"/>
  <c r="G300" i="35"/>
  <c r="D300" i="35"/>
  <c r="I353" i="55" l="1"/>
  <c r="B354" i="55" s="1"/>
  <c r="H353" i="55"/>
  <c r="G353" i="55"/>
  <c r="D353" i="55"/>
  <c r="C353" i="55"/>
  <c r="C353" i="54"/>
  <c r="I353" i="54"/>
  <c r="B354" i="54" s="1"/>
  <c r="H353" i="54"/>
  <c r="G353" i="54"/>
  <c r="D353" i="54"/>
  <c r="D353" i="53"/>
  <c r="I353" i="53"/>
  <c r="B354" i="53" s="1"/>
  <c r="H353" i="53"/>
  <c r="G353" i="53"/>
  <c r="C353" i="53"/>
  <c r="C353" i="52"/>
  <c r="I353" i="52"/>
  <c r="B354" i="52" s="1"/>
  <c r="G353" i="52"/>
  <c r="H353" i="52"/>
  <c r="D353" i="52"/>
  <c r="I353" i="51"/>
  <c r="B354" i="51" s="1"/>
  <c r="H353" i="51"/>
  <c r="G353" i="51"/>
  <c r="D353" i="51"/>
  <c r="C353" i="51"/>
  <c r="I352" i="50"/>
  <c r="B353" i="50" s="1"/>
  <c r="H352" i="50"/>
  <c r="D352" i="50"/>
  <c r="C352" i="50"/>
  <c r="G352" i="50"/>
  <c r="I352" i="49"/>
  <c r="B353" i="49" s="1"/>
  <c r="H352" i="49"/>
  <c r="G352" i="49"/>
  <c r="D352" i="49"/>
  <c r="C352" i="49"/>
  <c r="I352" i="48"/>
  <c r="B353" i="48" s="1"/>
  <c r="H352" i="48"/>
  <c r="G352" i="48"/>
  <c r="D352" i="48"/>
  <c r="C352" i="48"/>
  <c r="I352" i="47"/>
  <c r="B353" i="47" s="1"/>
  <c r="G352" i="47"/>
  <c r="H352" i="47"/>
  <c r="D352" i="47"/>
  <c r="C352" i="47"/>
  <c r="G301" i="35"/>
  <c r="D301" i="35"/>
  <c r="H301" i="35"/>
  <c r="C301" i="35"/>
  <c r="I301" i="35"/>
  <c r="B302" i="35" s="1"/>
  <c r="I354" i="55" l="1"/>
  <c r="B355" i="55" s="1"/>
  <c r="H354" i="55"/>
  <c r="G354" i="55"/>
  <c r="C354" i="55"/>
  <c r="D354" i="55"/>
  <c r="G354" i="54"/>
  <c r="D354" i="54"/>
  <c r="C354" i="54"/>
  <c r="I354" i="54"/>
  <c r="B355" i="54" s="1"/>
  <c r="H354" i="54"/>
  <c r="H354" i="53"/>
  <c r="D354" i="53"/>
  <c r="C354" i="53"/>
  <c r="I354" i="53"/>
  <c r="B355" i="53" s="1"/>
  <c r="G354" i="53"/>
  <c r="G354" i="52"/>
  <c r="D354" i="52"/>
  <c r="C354" i="52"/>
  <c r="I354" i="52"/>
  <c r="B355" i="52" s="1"/>
  <c r="H354" i="52"/>
  <c r="I354" i="51"/>
  <c r="B355" i="51" s="1"/>
  <c r="H354" i="51"/>
  <c r="G354" i="51"/>
  <c r="D354" i="51"/>
  <c r="C354" i="51"/>
  <c r="D353" i="50"/>
  <c r="C353" i="50"/>
  <c r="H353" i="50"/>
  <c r="G353" i="50"/>
  <c r="I353" i="50"/>
  <c r="B354" i="50" s="1"/>
  <c r="I353" i="49"/>
  <c r="B354" i="49" s="1"/>
  <c r="H353" i="49"/>
  <c r="D353" i="49"/>
  <c r="G353" i="49"/>
  <c r="C353" i="49"/>
  <c r="I353" i="48"/>
  <c r="B354" i="48" s="1"/>
  <c r="H353" i="48"/>
  <c r="D353" i="48"/>
  <c r="C353" i="48"/>
  <c r="G353" i="48"/>
  <c r="C353" i="47"/>
  <c r="I353" i="47"/>
  <c r="B354" i="47" s="1"/>
  <c r="H353" i="47"/>
  <c r="G353" i="47"/>
  <c r="D353" i="47"/>
  <c r="H302" i="35"/>
  <c r="C302" i="35"/>
  <c r="I302" i="35"/>
  <c r="B303" i="35" s="1"/>
  <c r="G302" i="35"/>
  <c r="D302" i="35"/>
  <c r="C355" i="55" l="1"/>
  <c r="I355" i="55"/>
  <c r="B356" i="55" s="1"/>
  <c r="G355" i="55"/>
  <c r="D355" i="55"/>
  <c r="H355" i="55"/>
  <c r="I355" i="54"/>
  <c r="B356" i="54" s="1"/>
  <c r="H355" i="54"/>
  <c r="G355" i="54"/>
  <c r="D355" i="54"/>
  <c r="C355" i="54"/>
  <c r="H355" i="53"/>
  <c r="G355" i="53"/>
  <c r="D355" i="53"/>
  <c r="C355" i="53"/>
  <c r="I355" i="53"/>
  <c r="B356" i="53" s="1"/>
  <c r="I355" i="52"/>
  <c r="B356" i="52" s="1"/>
  <c r="H355" i="52"/>
  <c r="G355" i="52"/>
  <c r="D355" i="52"/>
  <c r="C355" i="52"/>
  <c r="C355" i="51"/>
  <c r="I355" i="51"/>
  <c r="B356" i="51" s="1"/>
  <c r="H355" i="51"/>
  <c r="G355" i="51"/>
  <c r="D355" i="51"/>
  <c r="H354" i="50"/>
  <c r="G354" i="50"/>
  <c r="D354" i="50"/>
  <c r="C354" i="50"/>
  <c r="I354" i="50"/>
  <c r="B355" i="50" s="1"/>
  <c r="D354" i="49"/>
  <c r="C354" i="49"/>
  <c r="H354" i="49"/>
  <c r="I354" i="49"/>
  <c r="B355" i="49" s="1"/>
  <c r="G354" i="49"/>
  <c r="D354" i="48"/>
  <c r="C354" i="48"/>
  <c r="H354" i="48"/>
  <c r="G354" i="48"/>
  <c r="I354" i="48"/>
  <c r="B355" i="48" s="1"/>
  <c r="G354" i="47"/>
  <c r="D354" i="47"/>
  <c r="C354" i="47"/>
  <c r="I354" i="47"/>
  <c r="B355" i="47" s="1"/>
  <c r="H354" i="47"/>
  <c r="C303" i="35"/>
  <c r="G303" i="35"/>
  <c r="H303" i="35"/>
  <c r="D303" i="35"/>
  <c r="I303" i="35"/>
  <c r="B304" i="35" s="1"/>
  <c r="G356" i="55" l="1"/>
  <c r="D356" i="55"/>
  <c r="C356" i="55"/>
  <c r="I356" i="55"/>
  <c r="B357" i="55" s="1"/>
  <c r="H356" i="55"/>
  <c r="I356" i="54"/>
  <c r="B357" i="54" s="1"/>
  <c r="H356" i="54"/>
  <c r="G356" i="54"/>
  <c r="D356" i="54"/>
  <c r="C356" i="54"/>
  <c r="I356" i="53"/>
  <c r="B357" i="53" s="1"/>
  <c r="H356" i="53"/>
  <c r="G356" i="53"/>
  <c r="D356" i="53"/>
  <c r="C356" i="53"/>
  <c r="I356" i="52"/>
  <c r="B357" i="52" s="1"/>
  <c r="H356" i="52"/>
  <c r="G356" i="52"/>
  <c r="C356" i="52"/>
  <c r="D356" i="52"/>
  <c r="G356" i="51"/>
  <c r="D356" i="51"/>
  <c r="C356" i="51"/>
  <c r="I356" i="51"/>
  <c r="B357" i="51" s="1"/>
  <c r="H356" i="51"/>
  <c r="I355" i="50"/>
  <c r="B356" i="50" s="1"/>
  <c r="H355" i="50"/>
  <c r="G355" i="50"/>
  <c r="D355" i="50"/>
  <c r="C355" i="50"/>
  <c r="H355" i="49"/>
  <c r="G355" i="49"/>
  <c r="D355" i="49"/>
  <c r="C355" i="49"/>
  <c r="I355" i="49"/>
  <c r="B356" i="49" s="1"/>
  <c r="H355" i="48"/>
  <c r="G355" i="48"/>
  <c r="D355" i="48"/>
  <c r="C355" i="48"/>
  <c r="I355" i="48"/>
  <c r="B356" i="48" s="1"/>
  <c r="I355" i="47"/>
  <c r="B356" i="47" s="1"/>
  <c r="H355" i="47"/>
  <c r="G355" i="47"/>
  <c r="C355" i="47"/>
  <c r="D355" i="47"/>
  <c r="I304" i="35"/>
  <c r="B305" i="35" s="1"/>
  <c r="C304" i="35"/>
  <c r="G304" i="35"/>
  <c r="D304" i="35"/>
  <c r="H304" i="35"/>
  <c r="I357" i="55" l="1"/>
  <c r="B358" i="55" s="1"/>
  <c r="H357" i="55"/>
  <c r="G357" i="55"/>
  <c r="D357" i="55"/>
  <c r="C357" i="55"/>
  <c r="C357" i="54"/>
  <c r="I357" i="54"/>
  <c r="B358" i="54" s="1"/>
  <c r="H357" i="54"/>
  <c r="G357" i="54"/>
  <c r="D357" i="54"/>
  <c r="D357" i="53"/>
  <c r="I357" i="53"/>
  <c r="B358" i="53" s="1"/>
  <c r="G357" i="53"/>
  <c r="C357" i="53"/>
  <c r="H357" i="53"/>
  <c r="C357" i="52"/>
  <c r="I357" i="52"/>
  <c r="B358" i="52" s="1"/>
  <c r="G357" i="52"/>
  <c r="H357" i="52"/>
  <c r="D357" i="52"/>
  <c r="I357" i="51"/>
  <c r="B358" i="51" s="1"/>
  <c r="H357" i="51"/>
  <c r="G357" i="51"/>
  <c r="D357" i="51"/>
  <c r="C357" i="51"/>
  <c r="I356" i="50"/>
  <c r="B357" i="50" s="1"/>
  <c r="H356" i="50"/>
  <c r="D356" i="50"/>
  <c r="C356" i="50"/>
  <c r="G356" i="50"/>
  <c r="I356" i="49"/>
  <c r="B357" i="49" s="1"/>
  <c r="H356" i="49"/>
  <c r="G356" i="49"/>
  <c r="D356" i="49"/>
  <c r="C356" i="49"/>
  <c r="I356" i="48"/>
  <c r="B357" i="48" s="1"/>
  <c r="H356" i="48"/>
  <c r="G356" i="48"/>
  <c r="D356" i="48"/>
  <c r="C356" i="48"/>
  <c r="I356" i="47"/>
  <c r="B357" i="47" s="1"/>
  <c r="G356" i="47"/>
  <c r="H356" i="47"/>
  <c r="D356" i="47"/>
  <c r="C356" i="47"/>
  <c r="D305" i="35"/>
  <c r="G305" i="35"/>
  <c r="H305" i="35"/>
  <c r="I305" i="35"/>
  <c r="B306" i="35" s="1"/>
  <c r="C305" i="35"/>
  <c r="I358" i="55" l="1"/>
  <c r="B359" i="55" s="1"/>
  <c r="H358" i="55"/>
  <c r="G358" i="55"/>
  <c r="C358" i="55"/>
  <c r="D358" i="55"/>
  <c r="G358" i="54"/>
  <c r="D358" i="54"/>
  <c r="C358" i="54"/>
  <c r="I358" i="54"/>
  <c r="B359" i="54" s="1"/>
  <c r="H358" i="54"/>
  <c r="H358" i="53"/>
  <c r="D358" i="53"/>
  <c r="C358" i="53"/>
  <c r="G358" i="53"/>
  <c r="I358" i="53"/>
  <c r="B359" i="53" s="1"/>
  <c r="G358" i="52"/>
  <c r="D358" i="52"/>
  <c r="C358" i="52"/>
  <c r="I358" i="52"/>
  <c r="B359" i="52" s="1"/>
  <c r="H358" i="52"/>
  <c r="I358" i="51"/>
  <c r="B359" i="51" s="1"/>
  <c r="H358" i="51"/>
  <c r="G358" i="51"/>
  <c r="D358" i="51"/>
  <c r="C358" i="51"/>
  <c r="D357" i="50"/>
  <c r="C357" i="50"/>
  <c r="H357" i="50"/>
  <c r="G357" i="50"/>
  <c r="I357" i="50"/>
  <c r="B358" i="50" s="1"/>
  <c r="I357" i="49"/>
  <c r="B358" i="49" s="1"/>
  <c r="H357" i="49"/>
  <c r="D357" i="49"/>
  <c r="G357" i="49"/>
  <c r="C357" i="49"/>
  <c r="I357" i="48"/>
  <c r="B358" i="48" s="1"/>
  <c r="H357" i="48"/>
  <c r="D357" i="48"/>
  <c r="C357" i="48"/>
  <c r="G357" i="48"/>
  <c r="C357" i="47"/>
  <c r="I357" i="47"/>
  <c r="B358" i="47" s="1"/>
  <c r="H357" i="47"/>
  <c r="G357" i="47"/>
  <c r="D357" i="47"/>
  <c r="H306" i="35"/>
  <c r="C306" i="35"/>
  <c r="G306" i="35"/>
  <c r="D306" i="35"/>
  <c r="I306" i="35"/>
  <c r="B307" i="35" s="1"/>
  <c r="C359" i="55" l="1"/>
  <c r="I359" i="55"/>
  <c r="B360" i="55" s="1"/>
  <c r="G359" i="55"/>
  <c r="D359" i="55"/>
  <c r="H359" i="55"/>
  <c r="I359" i="54"/>
  <c r="B360" i="54" s="1"/>
  <c r="H359" i="54"/>
  <c r="G359" i="54"/>
  <c r="D359" i="54"/>
  <c r="C359" i="54"/>
  <c r="H359" i="53"/>
  <c r="G359" i="53"/>
  <c r="D359" i="53"/>
  <c r="C359" i="53"/>
  <c r="I359" i="53"/>
  <c r="B360" i="53" s="1"/>
  <c r="I359" i="52"/>
  <c r="B360" i="52" s="1"/>
  <c r="H359" i="52"/>
  <c r="G359" i="52"/>
  <c r="D359" i="52"/>
  <c r="C359" i="52"/>
  <c r="C359" i="51"/>
  <c r="I359" i="51"/>
  <c r="B360" i="51" s="1"/>
  <c r="H359" i="51"/>
  <c r="G359" i="51"/>
  <c r="D359" i="51"/>
  <c r="H358" i="50"/>
  <c r="G358" i="50"/>
  <c r="D358" i="50"/>
  <c r="C358" i="50"/>
  <c r="I358" i="50"/>
  <c r="B359" i="50" s="1"/>
  <c r="D358" i="49"/>
  <c r="C358" i="49"/>
  <c r="H358" i="49"/>
  <c r="I358" i="49"/>
  <c r="B359" i="49" s="1"/>
  <c r="G358" i="49"/>
  <c r="D358" i="48"/>
  <c r="C358" i="48"/>
  <c r="H358" i="48"/>
  <c r="G358" i="48"/>
  <c r="I358" i="48"/>
  <c r="B359" i="48" s="1"/>
  <c r="G358" i="47"/>
  <c r="D358" i="47"/>
  <c r="C358" i="47"/>
  <c r="I358" i="47"/>
  <c r="B359" i="47" s="1"/>
  <c r="H358" i="47"/>
  <c r="C307" i="35"/>
  <c r="G307" i="35"/>
  <c r="D307" i="35"/>
  <c r="I307" i="35"/>
  <c r="B308" i="35" s="1"/>
  <c r="H307" i="35"/>
  <c r="G360" i="55" l="1"/>
  <c r="D360" i="55"/>
  <c r="C360" i="55"/>
  <c r="I360" i="55"/>
  <c r="B361" i="55" s="1"/>
  <c r="H360" i="55"/>
  <c r="I360" i="54"/>
  <c r="B361" i="54" s="1"/>
  <c r="H360" i="54"/>
  <c r="G360" i="54"/>
  <c r="D360" i="54"/>
  <c r="C360" i="54"/>
  <c r="I360" i="53"/>
  <c r="B361" i="53" s="1"/>
  <c r="H360" i="53"/>
  <c r="G360" i="53"/>
  <c r="D360" i="53"/>
  <c r="C360" i="53"/>
  <c r="I360" i="52"/>
  <c r="B361" i="52" s="1"/>
  <c r="H360" i="52"/>
  <c r="G360" i="52"/>
  <c r="C360" i="52"/>
  <c r="D360" i="52"/>
  <c r="G360" i="51"/>
  <c r="D360" i="51"/>
  <c r="C360" i="51"/>
  <c r="I360" i="51"/>
  <c r="B361" i="51" s="1"/>
  <c r="H360" i="51"/>
  <c r="I359" i="50"/>
  <c r="B360" i="50" s="1"/>
  <c r="H359" i="50"/>
  <c r="G359" i="50"/>
  <c r="D359" i="50"/>
  <c r="C359" i="50"/>
  <c r="H359" i="49"/>
  <c r="G359" i="49"/>
  <c r="D359" i="49"/>
  <c r="C359" i="49"/>
  <c r="I359" i="49"/>
  <c r="B360" i="49" s="1"/>
  <c r="H359" i="48"/>
  <c r="G359" i="48"/>
  <c r="D359" i="48"/>
  <c r="C359" i="48"/>
  <c r="I359" i="48"/>
  <c r="B360" i="48" s="1"/>
  <c r="I359" i="47"/>
  <c r="B360" i="47" s="1"/>
  <c r="H359" i="47"/>
  <c r="G359" i="47"/>
  <c r="C359" i="47"/>
  <c r="D359" i="47"/>
  <c r="I308" i="35"/>
  <c r="B309" i="35" s="1"/>
  <c r="C308" i="35"/>
  <c r="D308" i="35"/>
  <c r="H308" i="35"/>
  <c r="G308" i="35"/>
  <c r="I361" i="55" l="1"/>
  <c r="B362" i="55" s="1"/>
  <c r="H361" i="55"/>
  <c r="G361" i="55"/>
  <c r="D361" i="55"/>
  <c r="C361" i="55"/>
  <c r="C361" i="54"/>
  <c r="I361" i="54"/>
  <c r="B362" i="54" s="1"/>
  <c r="H361" i="54"/>
  <c r="G361" i="54"/>
  <c r="D361" i="54"/>
  <c r="D361" i="53"/>
  <c r="I361" i="53"/>
  <c r="B362" i="53" s="1"/>
  <c r="C361" i="53"/>
  <c r="H361" i="53"/>
  <c r="G361" i="53"/>
  <c r="C361" i="52"/>
  <c r="I361" i="52"/>
  <c r="B362" i="52" s="1"/>
  <c r="G361" i="52"/>
  <c r="H361" i="52"/>
  <c r="D361" i="52"/>
  <c r="I361" i="51"/>
  <c r="B362" i="51" s="1"/>
  <c r="H361" i="51"/>
  <c r="G361" i="51"/>
  <c r="D361" i="51"/>
  <c r="C361" i="51"/>
  <c r="I360" i="50"/>
  <c r="B361" i="50" s="1"/>
  <c r="H360" i="50"/>
  <c r="D360" i="50"/>
  <c r="C360" i="50"/>
  <c r="G360" i="50"/>
  <c r="I360" i="49"/>
  <c r="B361" i="49" s="1"/>
  <c r="H360" i="49"/>
  <c r="G360" i="49"/>
  <c r="D360" i="49"/>
  <c r="C360" i="49"/>
  <c r="I360" i="48"/>
  <c r="B361" i="48" s="1"/>
  <c r="H360" i="48"/>
  <c r="G360" i="48"/>
  <c r="D360" i="48"/>
  <c r="C360" i="48"/>
  <c r="I360" i="47"/>
  <c r="B361" i="47" s="1"/>
  <c r="G360" i="47"/>
  <c r="H360" i="47"/>
  <c r="D360" i="47"/>
  <c r="C360" i="47"/>
  <c r="G309" i="35"/>
  <c r="D309" i="35"/>
  <c r="H309" i="35"/>
  <c r="I309" i="35"/>
  <c r="B310" i="35" s="1"/>
  <c r="C309" i="35"/>
  <c r="I362" i="55" l="1"/>
  <c r="B363" i="55" s="1"/>
  <c r="H362" i="55"/>
  <c r="G362" i="55"/>
  <c r="C362" i="55"/>
  <c r="D362" i="55"/>
  <c r="G362" i="54"/>
  <c r="D362" i="54"/>
  <c r="C362" i="54"/>
  <c r="I362" i="54"/>
  <c r="B363" i="54" s="1"/>
  <c r="H362" i="54"/>
  <c r="H362" i="53"/>
  <c r="D362" i="53"/>
  <c r="C362" i="53"/>
  <c r="I362" i="53"/>
  <c r="B363" i="53" s="1"/>
  <c r="G362" i="53"/>
  <c r="G362" i="52"/>
  <c r="D362" i="52"/>
  <c r="C362" i="52"/>
  <c r="I362" i="52"/>
  <c r="B363" i="52" s="1"/>
  <c r="H362" i="52"/>
  <c r="I362" i="51"/>
  <c r="B363" i="51" s="1"/>
  <c r="H362" i="51"/>
  <c r="G362" i="51"/>
  <c r="D362" i="51"/>
  <c r="C362" i="51"/>
  <c r="D361" i="50"/>
  <c r="C361" i="50"/>
  <c r="H361" i="50"/>
  <c r="G361" i="50"/>
  <c r="I361" i="50"/>
  <c r="B362" i="50" s="1"/>
  <c r="I361" i="49"/>
  <c r="B362" i="49" s="1"/>
  <c r="H361" i="49"/>
  <c r="D361" i="49"/>
  <c r="G361" i="49"/>
  <c r="C361" i="49"/>
  <c r="I361" i="48"/>
  <c r="B362" i="48" s="1"/>
  <c r="H361" i="48"/>
  <c r="D361" i="48"/>
  <c r="C361" i="48"/>
  <c r="G361" i="48"/>
  <c r="C361" i="47"/>
  <c r="I361" i="47"/>
  <c r="B362" i="47" s="1"/>
  <c r="H361" i="47"/>
  <c r="G361" i="47"/>
  <c r="D361" i="47"/>
  <c r="H310" i="35"/>
  <c r="C310" i="35"/>
  <c r="D310" i="35"/>
  <c r="I310" i="35"/>
  <c r="B311" i="35" s="1"/>
  <c r="G310" i="35"/>
  <c r="C363" i="55" l="1"/>
  <c r="I363" i="55"/>
  <c r="B364" i="55" s="1"/>
  <c r="G363" i="55"/>
  <c r="D363" i="55"/>
  <c r="H363" i="55"/>
  <c r="I363" i="54"/>
  <c r="B364" i="54" s="1"/>
  <c r="H363" i="54"/>
  <c r="G363" i="54"/>
  <c r="D363" i="54"/>
  <c r="C363" i="54"/>
  <c r="H363" i="53"/>
  <c r="G363" i="53"/>
  <c r="D363" i="53"/>
  <c r="C363" i="53"/>
  <c r="I363" i="53"/>
  <c r="B364" i="53" s="1"/>
  <c r="I363" i="52"/>
  <c r="B364" i="52" s="1"/>
  <c r="H363" i="52"/>
  <c r="G363" i="52"/>
  <c r="D363" i="52"/>
  <c r="C363" i="52"/>
  <c r="C363" i="51"/>
  <c r="I363" i="51"/>
  <c r="B364" i="51" s="1"/>
  <c r="H363" i="51"/>
  <c r="G363" i="51"/>
  <c r="D363" i="51"/>
  <c r="H362" i="50"/>
  <c r="G362" i="50"/>
  <c r="D362" i="50"/>
  <c r="C362" i="50"/>
  <c r="I362" i="50"/>
  <c r="B363" i="50" s="1"/>
  <c r="D362" i="49"/>
  <c r="C362" i="49"/>
  <c r="H362" i="49"/>
  <c r="I362" i="49"/>
  <c r="B363" i="49" s="1"/>
  <c r="G362" i="49"/>
  <c r="D362" i="48"/>
  <c r="C362" i="48"/>
  <c r="H362" i="48"/>
  <c r="G362" i="48"/>
  <c r="I362" i="48"/>
  <c r="B363" i="48" s="1"/>
  <c r="G362" i="47"/>
  <c r="D362" i="47"/>
  <c r="C362" i="47"/>
  <c r="I362" i="47"/>
  <c r="B363" i="47" s="1"/>
  <c r="H362" i="47"/>
  <c r="C311" i="35"/>
  <c r="G311" i="35"/>
  <c r="H311" i="35"/>
  <c r="D311" i="35"/>
  <c r="I311" i="35"/>
  <c r="B312" i="35" s="1"/>
  <c r="G364" i="55" l="1"/>
  <c r="D364" i="55"/>
  <c r="C364" i="55"/>
  <c r="I364" i="55"/>
  <c r="B365" i="55" s="1"/>
  <c r="H364" i="55"/>
  <c r="I364" i="54"/>
  <c r="B365" i="54" s="1"/>
  <c r="H364" i="54"/>
  <c r="G364" i="54"/>
  <c r="D364" i="54"/>
  <c r="C364" i="54"/>
  <c r="I364" i="53"/>
  <c r="B365" i="53" s="1"/>
  <c r="H364" i="53"/>
  <c r="G364" i="53"/>
  <c r="D364" i="53"/>
  <c r="C364" i="53"/>
  <c r="I364" i="52"/>
  <c r="B365" i="52" s="1"/>
  <c r="H364" i="52"/>
  <c r="G364" i="52"/>
  <c r="C364" i="52"/>
  <c r="D364" i="52"/>
  <c r="G364" i="51"/>
  <c r="D364" i="51"/>
  <c r="C364" i="51"/>
  <c r="I364" i="51"/>
  <c r="B365" i="51" s="1"/>
  <c r="H364" i="51"/>
  <c r="I363" i="50"/>
  <c r="B364" i="50" s="1"/>
  <c r="H363" i="50"/>
  <c r="G363" i="50"/>
  <c r="D363" i="50"/>
  <c r="C363" i="50"/>
  <c r="H363" i="49"/>
  <c r="G363" i="49"/>
  <c r="D363" i="49"/>
  <c r="C363" i="49"/>
  <c r="I363" i="49"/>
  <c r="B364" i="49" s="1"/>
  <c r="H363" i="48"/>
  <c r="G363" i="48"/>
  <c r="D363" i="48"/>
  <c r="C363" i="48"/>
  <c r="I363" i="48"/>
  <c r="B364" i="48" s="1"/>
  <c r="I363" i="47"/>
  <c r="B364" i="47" s="1"/>
  <c r="H363" i="47"/>
  <c r="G363" i="47"/>
  <c r="C363" i="47"/>
  <c r="D363" i="47"/>
  <c r="C312" i="35"/>
  <c r="I312" i="35"/>
  <c r="B313" i="35" s="1"/>
  <c r="G312" i="35"/>
  <c r="D312" i="35"/>
  <c r="H312" i="35"/>
  <c r="I365" i="55" l="1"/>
  <c r="B366" i="55" s="1"/>
  <c r="H365" i="55"/>
  <c r="G365" i="55"/>
  <c r="D365" i="55"/>
  <c r="C365" i="55"/>
  <c r="C365" i="54"/>
  <c r="I365" i="54"/>
  <c r="B366" i="54" s="1"/>
  <c r="H365" i="54"/>
  <c r="G365" i="54"/>
  <c r="D365" i="54"/>
  <c r="D365" i="53"/>
  <c r="I365" i="53"/>
  <c r="B366" i="53" s="1"/>
  <c r="G365" i="53"/>
  <c r="H365" i="53"/>
  <c r="C365" i="53"/>
  <c r="C365" i="52"/>
  <c r="I365" i="52"/>
  <c r="B366" i="52" s="1"/>
  <c r="G365" i="52"/>
  <c r="H365" i="52"/>
  <c r="D365" i="52"/>
  <c r="I365" i="51"/>
  <c r="B366" i="51" s="1"/>
  <c r="H365" i="51"/>
  <c r="G365" i="51"/>
  <c r="D365" i="51"/>
  <c r="C365" i="51"/>
  <c r="I364" i="50"/>
  <c r="B365" i="50" s="1"/>
  <c r="H364" i="50"/>
  <c r="D364" i="50"/>
  <c r="C364" i="50"/>
  <c r="G364" i="50"/>
  <c r="I364" i="49"/>
  <c r="B365" i="49" s="1"/>
  <c r="H364" i="49"/>
  <c r="G364" i="49"/>
  <c r="D364" i="49"/>
  <c r="C364" i="49"/>
  <c r="I364" i="48"/>
  <c r="B365" i="48" s="1"/>
  <c r="H364" i="48"/>
  <c r="G364" i="48"/>
  <c r="D364" i="48"/>
  <c r="C364" i="48"/>
  <c r="I364" i="47"/>
  <c r="B365" i="47" s="1"/>
  <c r="G364" i="47"/>
  <c r="H364" i="47"/>
  <c r="D364" i="47"/>
  <c r="C364" i="47"/>
  <c r="G313" i="35"/>
  <c r="D313" i="35"/>
  <c r="I313" i="35"/>
  <c r="B314" i="35" s="1"/>
  <c r="H313" i="35"/>
  <c r="C313" i="35"/>
  <c r="I366" i="55" l="1"/>
  <c r="B367" i="55" s="1"/>
  <c r="H366" i="55"/>
  <c r="G366" i="55"/>
  <c r="C366" i="55"/>
  <c r="D366" i="55"/>
  <c r="G366" i="54"/>
  <c r="D366" i="54"/>
  <c r="C366" i="54"/>
  <c r="I366" i="54"/>
  <c r="B367" i="54" s="1"/>
  <c r="H366" i="54"/>
  <c r="H366" i="53"/>
  <c r="D366" i="53"/>
  <c r="C366" i="53"/>
  <c r="I366" i="53"/>
  <c r="B367" i="53" s="1"/>
  <c r="G366" i="53"/>
  <c r="G366" i="52"/>
  <c r="D366" i="52"/>
  <c r="C366" i="52"/>
  <c r="I366" i="52"/>
  <c r="B367" i="52" s="1"/>
  <c r="H366" i="52"/>
  <c r="I366" i="51"/>
  <c r="B367" i="51" s="1"/>
  <c r="H366" i="51"/>
  <c r="G366" i="51"/>
  <c r="D366" i="51"/>
  <c r="C366" i="51"/>
  <c r="D365" i="50"/>
  <c r="C365" i="50"/>
  <c r="H365" i="50"/>
  <c r="G365" i="50"/>
  <c r="I365" i="50"/>
  <c r="B366" i="50" s="1"/>
  <c r="I365" i="49"/>
  <c r="B366" i="49" s="1"/>
  <c r="H365" i="49"/>
  <c r="D365" i="49"/>
  <c r="G365" i="49"/>
  <c r="C365" i="49"/>
  <c r="I365" i="48"/>
  <c r="B366" i="48" s="1"/>
  <c r="H365" i="48"/>
  <c r="D365" i="48"/>
  <c r="C365" i="48"/>
  <c r="G365" i="48"/>
  <c r="C365" i="47"/>
  <c r="I365" i="47"/>
  <c r="B366" i="47" s="1"/>
  <c r="H365" i="47"/>
  <c r="G365" i="47"/>
  <c r="D365" i="47"/>
  <c r="C314" i="35"/>
  <c r="I314" i="35"/>
  <c r="B315" i="35" s="1"/>
  <c r="D314" i="35"/>
  <c r="H314" i="35"/>
  <c r="G314" i="35"/>
  <c r="I367" i="55" l="1"/>
  <c r="B368" i="55" s="1"/>
  <c r="H367" i="55"/>
  <c r="G367" i="55"/>
  <c r="C367" i="55"/>
  <c r="D367" i="55"/>
  <c r="I367" i="54"/>
  <c r="B368" i="54" s="1"/>
  <c r="H367" i="54"/>
  <c r="G367" i="54"/>
  <c r="D367" i="54"/>
  <c r="C367" i="54"/>
  <c r="H367" i="53"/>
  <c r="G367" i="53"/>
  <c r="D367" i="53"/>
  <c r="C367" i="53"/>
  <c r="I367" i="53"/>
  <c r="B368" i="53" s="1"/>
  <c r="I367" i="52"/>
  <c r="B368" i="52" s="1"/>
  <c r="H367" i="52"/>
  <c r="G367" i="52"/>
  <c r="D367" i="52"/>
  <c r="C367" i="52"/>
  <c r="C367" i="51"/>
  <c r="I367" i="51"/>
  <c r="B368" i="51" s="1"/>
  <c r="H367" i="51"/>
  <c r="G367" i="51"/>
  <c r="D367" i="51"/>
  <c r="H366" i="50"/>
  <c r="G366" i="50"/>
  <c r="D366" i="50"/>
  <c r="C366" i="50"/>
  <c r="I366" i="50"/>
  <c r="B367" i="50" s="1"/>
  <c r="D366" i="49"/>
  <c r="C366" i="49"/>
  <c r="H366" i="49"/>
  <c r="I366" i="49"/>
  <c r="B367" i="49" s="1"/>
  <c r="G366" i="49"/>
  <c r="D366" i="48"/>
  <c r="C366" i="48"/>
  <c r="H366" i="48"/>
  <c r="G366" i="48"/>
  <c r="I366" i="48"/>
  <c r="B367" i="48" s="1"/>
  <c r="G366" i="47"/>
  <c r="D366" i="47"/>
  <c r="C366" i="47"/>
  <c r="I366" i="47"/>
  <c r="B367" i="47" s="1"/>
  <c r="H366" i="47"/>
  <c r="C315" i="35"/>
  <c r="G315" i="35"/>
  <c r="H315" i="35"/>
  <c r="D315" i="35"/>
  <c r="I315" i="35"/>
  <c r="B316" i="35" s="1"/>
  <c r="C368" i="55" l="1"/>
  <c r="I368" i="55"/>
  <c r="B369" i="55" s="1"/>
  <c r="G368" i="55"/>
  <c r="D368" i="55"/>
  <c r="H368" i="55"/>
  <c r="I368" i="54"/>
  <c r="B369" i="54" s="1"/>
  <c r="H368" i="54"/>
  <c r="G368" i="54"/>
  <c r="D368" i="54"/>
  <c r="C368" i="54"/>
  <c r="I368" i="53"/>
  <c r="B369" i="53" s="1"/>
  <c r="H368" i="53"/>
  <c r="G368" i="53"/>
  <c r="C368" i="53"/>
  <c r="D368" i="53"/>
  <c r="I368" i="52"/>
  <c r="B369" i="52" s="1"/>
  <c r="H368" i="52"/>
  <c r="G368" i="52"/>
  <c r="C368" i="52"/>
  <c r="D368" i="52"/>
  <c r="G368" i="51"/>
  <c r="D368" i="51"/>
  <c r="C368" i="51"/>
  <c r="I368" i="51"/>
  <c r="B369" i="51" s="1"/>
  <c r="H368" i="51"/>
  <c r="I367" i="50"/>
  <c r="B368" i="50" s="1"/>
  <c r="H367" i="50"/>
  <c r="G367" i="50"/>
  <c r="D367" i="50"/>
  <c r="C367" i="50"/>
  <c r="H367" i="49"/>
  <c r="G367" i="49"/>
  <c r="D367" i="49"/>
  <c r="C367" i="49"/>
  <c r="I367" i="49"/>
  <c r="B368" i="49" s="1"/>
  <c r="H367" i="48"/>
  <c r="G367" i="48"/>
  <c r="D367" i="48"/>
  <c r="C367" i="48"/>
  <c r="I367" i="48"/>
  <c r="B368" i="48" s="1"/>
  <c r="I367" i="47"/>
  <c r="B368" i="47" s="1"/>
  <c r="H367" i="47"/>
  <c r="G367" i="47"/>
  <c r="C367" i="47"/>
  <c r="D367" i="47"/>
  <c r="I316" i="35"/>
  <c r="B317" i="35" s="1"/>
  <c r="C316" i="35"/>
  <c r="D316" i="35"/>
  <c r="G316" i="35"/>
  <c r="H316" i="35"/>
  <c r="G369" i="55" l="1"/>
  <c r="D369" i="55"/>
  <c r="C369" i="55"/>
  <c r="I369" i="55"/>
  <c r="B370" i="55" s="1"/>
  <c r="H369" i="55"/>
  <c r="C369" i="54"/>
  <c r="I369" i="54"/>
  <c r="B370" i="54" s="1"/>
  <c r="H369" i="54"/>
  <c r="G369" i="54"/>
  <c r="D369" i="54"/>
  <c r="D369" i="53"/>
  <c r="I369" i="53"/>
  <c r="B370" i="53" s="1"/>
  <c r="H369" i="53"/>
  <c r="C369" i="53"/>
  <c r="G369" i="53"/>
  <c r="C369" i="52"/>
  <c r="I369" i="52"/>
  <c r="B370" i="52" s="1"/>
  <c r="G369" i="52"/>
  <c r="H369" i="52"/>
  <c r="D369" i="52"/>
  <c r="I369" i="51"/>
  <c r="B370" i="51" s="1"/>
  <c r="H369" i="51"/>
  <c r="G369" i="51"/>
  <c r="D369" i="51"/>
  <c r="C369" i="51"/>
  <c r="I368" i="50"/>
  <c r="B369" i="50" s="1"/>
  <c r="H368" i="50"/>
  <c r="D368" i="50"/>
  <c r="C368" i="50"/>
  <c r="G368" i="50"/>
  <c r="I368" i="49"/>
  <c r="B369" i="49" s="1"/>
  <c r="H368" i="49"/>
  <c r="G368" i="49"/>
  <c r="D368" i="49"/>
  <c r="C368" i="49"/>
  <c r="I368" i="48"/>
  <c r="B369" i="48" s="1"/>
  <c r="H368" i="48"/>
  <c r="G368" i="48"/>
  <c r="D368" i="48"/>
  <c r="C368" i="48"/>
  <c r="I368" i="47"/>
  <c r="B369" i="47" s="1"/>
  <c r="G368" i="47"/>
  <c r="H368" i="47"/>
  <c r="D368" i="47"/>
  <c r="C368" i="47"/>
  <c r="G317" i="35"/>
  <c r="H317" i="35"/>
  <c r="D317" i="35"/>
  <c r="C317" i="35"/>
  <c r="I317" i="35"/>
  <c r="B318" i="35" s="1"/>
  <c r="I370" i="55" l="1"/>
  <c r="B371" i="55" s="1"/>
  <c r="H370" i="55"/>
  <c r="G370" i="55"/>
  <c r="D370" i="55"/>
  <c r="C370" i="55"/>
  <c r="G370" i="54"/>
  <c r="D370" i="54"/>
  <c r="C370" i="54"/>
  <c r="I370" i="54"/>
  <c r="B371" i="54" s="1"/>
  <c r="H370" i="54"/>
  <c r="H370" i="53"/>
  <c r="D370" i="53"/>
  <c r="C370" i="53"/>
  <c r="I370" i="53"/>
  <c r="B371" i="53" s="1"/>
  <c r="G370" i="53"/>
  <c r="G370" i="52"/>
  <c r="D370" i="52"/>
  <c r="C370" i="52"/>
  <c r="I370" i="52"/>
  <c r="B371" i="52" s="1"/>
  <c r="H370" i="52"/>
  <c r="I370" i="51"/>
  <c r="B371" i="51" s="1"/>
  <c r="H370" i="51"/>
  <c r="G370" i="51"/>
  <c r="D370" i="51"/>
  <c r="C370" i="51"/>
  <c r="D369" i="50"/>
  <c r="C369" i="50"/>
  <c r="H369" i="50"/>
  <c r="G369" i="50"/>
  <c r="I369" i="50"/>
  <c r="B370" i="50" s="1"/>
  <c r="I369" i="49"/>
  <c r="B370" i="49" s="1"/>
  <c r="G369" i="49"/>
  <c r="H369" i="49"/>
  <c r="D369" i="49"/>
  <c r="C369" i="49"/>
  <c r="I369" i="48"/>
  <c r="B370" i="48" s="1"/>
  <c r="H369" i="48"/>
  <c r="D369" i="48"/>
  <c r="C369" i="48"/>
  <c r="G369" i="48"/>
  <c r="C369" i="47"/>
  <c r="I369" i="47"/>
  <c r="B370" i="47" s="1"/>
  <c r="H369" i="47"/>
  <c r="G369" i="47"/>
  <c r="D369" i="47"/>
  <c r="C318" i="35"/>
  <c r="H318" i="35"/>
  <c r="G318" i="35"/>
  <c r="I318" i="35"/>
  <c r="B319" i="35" s="1"/>
  <c r="D318" i="35"/>
  <c r="I371" i="55" l="1"/>
  <c r="B372" i="55" s="1"/>
  <c r="H371" i="55"/>
  <c r="G371" i="55"/>
  <c r="C371" i="55"/>
  <c r="D371" i="55"/>
  <c r="I371" i="54"/>
  <c r="B372" i="54" s="1"/>
  <c r="H371" i="54"/>
  <c r="G371" i="54"/>
  <c r="D371" i="54"/>
  <c r="C371" i="54"/>
  <c r="H371" i="53"/>
  <c r="G371" i="53"/>
  <c r="D371" i="53"/>
  <c r="C371" i="53"/>
  <c r="I371" i="53"/>
  <c r="B372" i="53" s="1"/>
  <c r="I371" i="52"/>
  <c r="B372" i="52" s="1"/>
  <c r="H371" i="52"/>
  <c r="G371" i="52"/>
  <c r="D371" i="52"/>
  <c r="C371" i="52"/>
  <c r="C371" i="51"/>
  <c r="I371" i="51"/>
  <c r="B372" i="51" s="1"/>
  <c r="H371" i="51"/>
  <c r="G371" i="51"/>
  <c r="D371" i="51"/>
  <c r="H370" i="50"/>
  <c r="G370" i="50"/>
  <c r="D370" i="50"/>
  <c r="C370" i="50"/>
  <c r="I370" i="50"/>
  <c r="B371" i="50" s="1"/>
  <c r="D370" i="49"/>
  <c r="C370" i="49"/>
  <c r="I370" i="49"/>
  <c r="B371" i="49" s="1"/>
  <c r="H370" i="49"/>
  <c r="G370" i="49"/>
  <c r="D370" i="48"/>
  <c r="C370" i="48"/>
  <c r="H370" i="48"/>
  <c r="G370" i="48"/>
  <c r="I370" i="48"/>
  <c r="B371" i="48" s="1"/>
  <c r="G370" i="47"/>
  <c r="D370" i="47"/>
  <c r="C370" i="47"/>
  <c r="I370" i="47"/>
  <c r="B371" i="47" s="1"/>
  <c r="H370" i="47"/>
  <c r="C319" i="35"/>
  <c r="G319" i="35"/>
  <c r="H319" i="35"/>
  <c r="D319" i="35"/>
  <c r="I319" i="35"/>
  <c r="B320" i="35" s="1"/>
  <c r="C372" i="55" l="1"/>
  <c r="I372" i="55"/>
  <c r="B373" i="55" s="1"/>
  <c r="G372" i="55"/>
  <c r="D372" i="55"/>
  <c r="H372" i="55"/>
  <c r="I372" i="54"/>
  <c r="B373" i="54" s="1"/>
  <c r="H372" i="54"/>
  <c r="G372" i="54"/>
  <c r="D372" i="54"/>
  <c r="C372" i="54"/>
  <c r="I372" i="53"/>
  <c r="B373" i="53" s="1"/>
  <c r="H372" i="53"/>
  <c r="G372" i="53"/>
  <c r="D372" i="53"/>
  <c r="C372" i="53"/>
  <c r="G372" i="52"/>
  <c r="D372" i="52"/>
  <c r="I372" i="52"/>
  <c r="B373" i="52" s="1"/>
  <c r="C372" i="52"/>
  <c r="H372" i="52"/>
  <c r="H372" i="51"/>
  <c r="G372" i="51"/>
  <c r="D372" i="51"/>
  <c r="C372" i="51"/>
  <c r="I372" i="51"/>
  <c r="B373" i="51" s="1"/>
  <c r="I371" i="50"/>
  <c r="B372" i="50" s="1"/>
  <c r="H371" i="50"/>
  <c r="G371" i="50"/>
  <c r="D371" i="50"/>
  <c r="C371" i="50"/>
  <c r="H371" i="49"/>
  <c r="G371" i="49"/>
  <c r="D371" i="49"/>
  <c r="C371" i="49"/>
  <c r="I371" i="49"/>
  <c r="B372" i="49" s="1"/>
  <c r="H371" i="48"/>
  <c r="G371" i="48"/>
  <c r="D371" i="48"/>
  <c r="C371" i="48"/>
  <c r="I371" i="48"/>
  <c r="B372" i="48" s="1"/>
  <c r="I371" i="47"/>
  <c r="B372" i="47" s="1"/>
  <c r="H371" i="47"/>
  <c r="G371" i="47"/>
  <c r="C371" i="47"/>
  <c r="D371" i="47"/>
  <c r="I320" i="35"/>
  <c r="B321" i="35" s="1"/>
  <c r="C320" i="35"/>
  <c r="G320" i="35"/>
  <c r="H320" i="35"/>
  <c r="D320" i="35"/>
  <c r="G373" i="55" l="1"/>
  <c r="D373" i="55"/>
  <c r="C373" i="55"/>
  <c r="I373" i="55"/>
  <c r="B374" i="55" s="1"/>
  <c r="H373" i="55"/>
  <c r="C373" i="54"/>
  <c r="I373" i="54"/>
  <c r="B374" i="54" s="1"/>
  <c r="H373" i="54"/>
  <c r="G373" i="54"/>
  <c r="D373" i="54"/>
  <c r="D373" i="53"/>
  <c r="I373" i="53"/>
  <c r="B374" i="53" s="1"/>
  <c r="H373" i="53"/>
  <c r="G373" i="53"/>
  <c r="C373" i="53"/>
  <c r="I373" i="52"/>
  <c r="B374" i="52" s="1"/>
  <c r="H373" i="52"/>
  <c r="D373" i="52"/>
  <c r="C373" i="52"/>
  <c r="G373" i="52"/>
  <c r="C373" i="51"/>
  <c r="I373" i="51"/>
  <c r="B374" i="51" s="1"/>
  <c r="H373" i="51"/>
  <c r="G373" i="51"/>
  <c r="D373" i="51"/>
  <c r="I372" i="50"/>
  <c r="B373" i="50" s="1"/>
  <c r="H372" i="50"/>
  <c r="D372" i="50"/>
  <c r="C372" i="50"/>
  <c r="G372" i="50"/>
  <c r="I372" i="49"/>
  <c r="B373" i="49" s="1"/>
  <c r="H372" i="49"/>
  <c r="G372" i="49"/>
  <c r="C372" i="49"/>
  <c r="D372" i="49"/>
  <c r="H372" i="48"/>
  <c r="G372" i="48"/>
  <c r="D372" i="48"/>
  <c r="I372" i="48"/>
  <c r="B373" i="48" s="1"/>
  <c r="C372" i="48"/>
  <c r="I372" i="47"/>
  <c r="B373" i="47" s="1"/>
  <c r="G372" i="47"/>
  <c r="H372" i="47"/>
  <c r="D372" i="47"/>
  <c r="C372" i="47"/>
  <c r="G321" i="35"/>
  <c r="D321" i="35"/>
  <c r="I321" i="35"/>
  <c r="B322" i="35" s="1"/>
  <c r="H321" i="35"/>
  <c r="C321" i="35"/>
  <c r="I374" i="55" l="1"/>
  <c r="B375" i="55" s="1"/>
  <c r="H374" i="55"/>
  <c r="G374" i="55"/>
  <c r="D374" i="55"/>
  <c r="C374" i="55"/>
  <c r="G374" i="54"/>
  <c r="D374" i="54"/>
  <c r="C374" i="54"/>
  <c r="I374" i="54"/>
  <c r="B375" i="54" s="1"/>
  <c r="H374" i="54"/>
  <c r="H374" i="53"/>
  <c r="D374" i="53"/>
  <c r="C374" i="53"/>
  <c r="I374" i="53"/>
  <c r="B375" i="53" s="1"/>
  <c r="G374" i="53"/>
  <c r="I374" i="52"/>
  <c r="B375" i="52" s="1"/>
  <c r="H374" i="52"/>
  <c r="G374" i="52"/>
  <c r="C374" i="52"/>
  <c r="D374" i="52"/>
  <c r="G374" i="51"/>
  <c r="D374" i="51"/>
  <c r="C374" i="51"/>
  <c r="I374" i="51"/>
  <c r="B375" i="51" s="1"/>
  <c r="H374" i="51"/>
  <c r="D373" i="50"/>
  <c r="C373" i="50"/>
  <c r="H373" i="50"/>
  <c r="G373" i="50"/>
  <c r="I373" i="50"/>
  <c r="B374" i="50" s="1"/>
  <c r="I373" i="49"/>
  <c r="B374" i="49" s="1"/>
  <c r="G373" i="49"/>
  <c r="D373" i="49"/>
  <c r="C373" i="49"/>
  <c r="H373" i="49"/>
  <c r="I373" i="48"/>
  <c r="B374" i="48" s="1"/>
  <c r="H373" i="48"/>
  <c r="G373" i="48"/>
  <c r="D373" i="48"/>
  <c r="C373" i="48"/>
  <c r="C373" i="47"/>
  <c r="I373" i="47"/>
  <c r="B374" i="47" s="1"/>
  <c r="H373" i="47"/>
  <c r="G373" i="47"/>
  <c r="D373" i="47"/>
  <c r="H322" i="35"/>
  <c r="I322" i="35"/>
  <c r="B323" i="35" s="1"/>
  <c r="C322" i="35"/>
  <c r="G322" i="35"/>
  <c r="D322" i="35"/>
  <c r="I375" i="55" l="1"/>
  <c r="B376" i="55" s="1"/>
  <c r="H375" i="55"/>
  <c r="G375" i="55"/>
  <c r="C375" i="55"/>
  <c r="D375" i="55"/>
  <c r="I375" i="54"/>
  <c r="B376" i="54" s="1"/>
  <c r="H375" i="54"/>
  <c r="G375" i="54"/>
  <c r="D375" i="54"/>
  <c r="C375" i="54"/>
  <c r="H375" i="53"/>
  <c r="G375" i="53"/>
  <c r="D375" i="53"/>
  <c r="C375" i="53"/>
  <c r="I375" i="53"/>
  <c r="B376" i="53" s="1"/>
  <c r="C375" i="52"/>
  <c r="I375" i="52"/>
  <c r="B376" i="52" s="1"/>
  <c r="G375" i="52"/>
  <c r="H375" i="52"/>
  <c r="D375" i="52"/>
  <c r="I375" i="51"/>
  <c r="B376" i="51" s="1"/>
  <c r="D375" i="51"/>
  <c r="H375" i="51"/>
  <c r="G375" i="51"/>
  <c r="C375" i="51"/>
  <c r="H374" i="50"/>
  <c r="G374" i="50"/>
  <c r="D374" i="50"/>
  <c r="C374" i="50"/>
  <c r="I374" i="50"/>
  <c r="B375" i="50" s="1"/>
  <c r="D374" i="49"/>
  <c r="C374" i="49"/>
  <c r="I374" i="49"/>
  <c r="B375" i="49" s="1"/>
  <c r="G374" i="49"/>
  <c r="H374" i="49"/>
  <c r="I374" i="48"/>
  <c r="B375" i="48" s="1"/>
  <c r="H374" i="48"/>
  <c r="G374" i="48"/>
  <c r="D374" i="48"/>
  <c r="C374" i="48"/>
  <c r="G374" i="47"/>
  <c r="D374" i="47"/>
  <c r="C374" i="47"/>
  <c r="I374" i="47"/>
  <c r="B375" i="47" s="1"/>
  <c r="H374" i="47"/>
  <c r="C323" i="35"/>
  <c r="G323" i="35"/>
  <c r="H323" i="35"/>
  <c r="D323" i="35"/>
  <c r="I323" i="35"/>
  <c r="B324" i="35" s="1"/>
  <c r="C376" i="55" l="1"/>
  <c r="I376" i="55"/>
  <c r="B377" i="55" s="1"/>
  <c r="G376" i="55"/>
  <c r="D376" i="55"/>
  <c r="H376" i="55"/>
  <c r="I376" i="54"/>
  <c r="B377" i="54" s="1"/>
  <c r="H376" i="54"/>
  <c r="G376" i="54"/>
  <c r="D376" i="54"/>
  <c r="C376" i="54"/>
  <c r="I376" i="53"/>
  <c r="B377" i="53" s="1"/>
  <c r="H376" i="53"/>
  <c r="G376" i="53"/>
  <c r="C376" i="53"/>
  <c r="D376" i="53"/>
  <c r="G376" i="52"/>
  <c r="D376" i="52"/>
  <c r="C376" i="52"/>
  <c r="I376" i="52"/>
  <c r="B377" i="52" s="1"/>
  <c r="H376" i="52"/>
  <c r="H376" i="51"/>
  <c r="C376" i="51"/>
  <c r="I376" i="51"/>
  <c r="B377" i="51" s="1"/>
  <c r="G376" i="51"/>
  <c r="D376" i="51"/>
  <c r="I375" i="50"/>
  <c r="B376" i="50" s="1"/>
  <c r="H375" i="50"/>
  <c r="G375" i="50"/>
  <c r="D375" i="50"/>
  <c r="C375" i="50"/>
  <c r="H375" i="49"/>
  <c r="G375" i="49"/>
  <c r="D375" i="49"/>
  <c r="C375" i="49"/>
  <c r="I375" i="49"/>
  <c r="B376" i="49" s="1"/>
  <c r="D375" i="48"/>
  <c r="C375" i="48"/>
  <c r="I375" i="48"/>
  <c r="B376" i="48" s="1"/>
  <c r="H375" i="48"/>
  <c r="G375" i="48"/>
  <c r="I375" i="47"/>
  <c r="B376" i="47" s="1"/>
  <c r="H375" i="47"/>
  <c r="G375" i="47"/>
  <c r="C375" i="47"/>
  <c r="D375" i="47"/>
  <c r="I324" i="35"/>
  <c r="B325" i="35" s="1"/>
  <c r="C324" i="35"/>
  <c r="G324" i="35"/>
  <c r="H324" i="35"/>
  <c r="D324" i="35"/>
  <c r="G377" i="55" l="1"/>
  <c r="D377" i="55"/>
  <c r="C377" i="55"/>
  <c r="I377" i="55"/>
  <c r="B378" i="55" s="1"/>
  <c r="H377" i="55"/>
  <c r="C377" i="54"/>
  <c r="I377" i="54"/>
  <c r="B378" i="54" s="1"/>
  <c r="H377" i="54"/>
  <c r="G377" i="54"/>
  <c r="D377" i="54"/>
  <c r="D377" i="53"/>
  <c r="I377" i="53"/>
  <c r="B378" i="53" s="1"/>
  <c r="H377" i="53"/>
  <c r="G377" i="53"/>
  <c r="C377" i="53"/>
  <c r="I377" i="52"/>
  <c r="B378" i="52" s="1"/>
  <c r="H377" i="52"/>
  <c r="G377" i="52"/>
  <c r="D377" i="52"/>
  <c r="C377" i="52"/>
  <c r="C377" i="51"/>
  <c r="I377" i="51"/>
  <c r="B378" i="51" s="1"/>
  <c r="H377" i="51"/>
  <c r="G377" i="51"/>
  <c r="D377" i="51"/>
  <c r="I376" i="50"/>
  <c r="B377" i="50" s="1"/>
  <c r="H376" i="50"/>
  <c r="D376" i="50"/>
  <c r="C376" i="50"/>
  <c r="G376" i="50"/>
  <c r="I376" i="49"/>
  <c r="B377" i="49" s="1"/>
  <c r="H376" i="49"/>
  <c r="G376" i="49"/>
  <c r="C376" i="49"/>
  <c r="D376" i="49"/>
  <c r="H376" i="48"/>
  <c r="G376" i="48"/>
  <c r="D376" i="48"/>
  <c r="C376" i="48"/>
  <c r="I376" i="48"/>
  <c r="B377" i="48" s="1"/>
  <c r="I376" i="47"/>
  <c r="B377" i="47" s="1"/>
  <c r="G376" i="47"/>
  <c r="H376" i="47"/>
  <c r="D376" i="47"/>
  <c r="C376" i="47"/>
  <c r="D325" i="35"/>
  <c r="G325" i="35"/>
  <c r="C325" i="35"/>
  <c r="H325" i="35"/>
  <c r="I325" i="35"/>
  <c r="B326" i="35" s="1"/>
  <c r="I378" i="55" l="1"/>
  <c r="B379" i="55" s="1"/>
  <c r="H378" i="55"/>
  <c r="G378" i="55"/>
  <c r="D378" i="55"/>
  <c r="C378" i="55"/>
  <c r="G378" i="54"/>
  <c r="D378" i="54"/>
  <c r="C378" i="54"/>
  <c r="I378" i="54"/>
  <c r="B379" i="54" s="1"/>
  <c r="H378" i="54"/>
  <c r="H378" i="53"/>
  <c r="D378" i="53"/>
  <c r="C378" i="53"/>
  <c r="I378" i="53"/>
  <c r="B379" i="53" s="1"/>
  <c r="G378" i="53"/>
  <c r="I378" i="52"/>
  <c r="B379" i="52" s="1"/>
  <c r="H378" i="52"/>
  <c r="G378" i="52"/>
  <c r="C378" i="52"/>
  <c r="D378" i="52"/>
  <c r="G378" i="51"/>
  <c r="I378" i="51"/>
  <c r="B379" i="51" s="1"/>
  <c r="H378" i="51"/>
  <c r="D378" i="51"/>
  <c r="C378" i="51"/>
  <c r="D377" i="50"/>
  <c r="C377" i="50"/>
  <c r="H377" i="50"/>
  <c r="G377" i="50"/>
  <c r="I377" i="50"/>
  <c r="B378" i="50" s="1"/>
  <c r="I377" i="49"/>
  <c r="B378" i="49" s="1"/>
  <c r="G377" i="49"/>
  <c r="C377" i="49"/>
  <c r="H377" i="49"/>
  <c r="D377" i="49"/>
  <c r="I377" i="48"/>
  <c r="B378" i="48" s="1"/>
  <c r="H377" i="48"/>
  <c r="G377" i="48"/>
  <c r="D377" i="48"/>
  <c r="C377" i="48"/>
  <c r="C377" i="47"/>
  <c r="I377" i="47"/>
  <c r="B378" i="47" s="1"/>
  <c r="H377" i="47"/>
  <c r="G377" i="47"/>
  <c r="D377" i="47"/>
  <c r="C326" i="35"/>
  <c r="I326" i="35"/>
  <c r="B327" i="35" s="1"/>
  <c r="G326" i="35"/>
  <c r="D326" i="35"/>
  <c r="H326" i="35"/>
  <c r="I379" i="55" l="1"/>
  <c r="B380" i="55" s="1"/>
  <c r="H379" i="55"/>
  <c r="G379" i="55"/>
  <c r="C379" i="55"/>
  <c r="D379" i="55"/>
  <c r="I379" i="54"/>
  <c r="B380" i="54" s="1"/>
  <c r="H379" i="54"/>
  <c r="G379" i="54"/>
  <c r="D379" i="54"/>
  <c r="C379" i="54"/>
  <c r="H379" i="53"/>
  <c r="G379" i="53"/>
  <c r="D379" i="53"/>
  <c r="C379" i="53"/>
  <c r="I379" i="53"/>
  <c r="B380" i="53" s="1"/>
  <c r="C379" i="52"/>
  <c r="I379" i="52"/>
  <c r="B380" i="52" s="1"/>
  <c r="G379" i="52"/>
  <c r="H379" i="52"/>
  <c r="D379" i="52"/>
  <c r="I379" i="51"/>
  <c r="B380" i="51" s="1"/>
  <c r="D379" i="51"/>
  <c r="H379" i="51"/>
  <c r="G379" i="51"/>
  <c r="C379" i="51"/>
  <c r="H378" i="50"/>
  <c r="G378" i="50"/>
  <c r="D378" i="50"/>
  <c r="C378" i="50"/>
  <c r="I378" i="50"/>
  <c r="B379" i="50" s="1"/>
  <c r="D378" i="49"/>
  <c r="C378" i="49"/>
  <c r="I378" i="49"/>
  <c r="B379" i="49" s="1"/>
  <c r="H378" i="49"/>
  <c r="G378" i="49"/>
  <c r="I378" i="48"/>
  <c r="B379" i="48" s="1"/>
  <c r="H378" i="48"/>
  <c r="G378" i="48"/>
  <c r="D378" i="48"/>
  <c r="C378" i="48"/>
  <c r="G378" i="47"/>
  <c r="D378" i="47"/>
  <c r="C378" i="47"/>
  <c r="I378" i="47"/>
  <c r="B379" i="47" s="1"/>
  <c r="H378" i="47"/>
  <c r="C327" i="35"/>
  <c r="G327" i="35"/>
  <c r="I327" i="35"/>
  <c r="B328" i="35" s="1"/>
  <c r="D327" i="35"/>
  <c r="H327" i="35"/>
  <c r="C380" i="55" l="1"/>
  <c r="I380" i="55"/>
  <c r="B381" i="55" s="1"/>
  <c r="G380" i="55"/>
  <c r="D380" i="55"/>
  <c r="H380" i="55"/>
  <c r="I380" i="54"/>
  <c r="B381" i="54" s="1"/>
  <c r="H380" i="54"/>
  <c r="G380" i="54"/>
  <c r="D380" i="54"/>
  <c r="C380" i="54"/>
  <c r="I380" i="53"/>
  <c r="B381" i="53" s="1"/>
  <c r="H380" i="53"/>
  <c r="G380" i="53"/>
  <c r="D380" i="53"/>
  <c r="C380" i="53"/>
  <c r="G380" i="52"/>
  <c r="D380" i="52"/>
  <c r="C380" i="52"/>
  <c r="I380" i="52"/>
  <c r="B381" i="52" s="1"/>
  <c r="H380" i="52"/>
  <c r="H380" i="51"/>
  <c r="I380" i="51"/>
  <c r="B381" i="51" s="1"/>
  <c r="G380" i="51"/>
  <c r="D380" i="51"/>
  <c r="C380" i="51"/>
  <c r="I379" i="50"/>
  <c r="B380" i="50" s="1"/>
  <c r="H379" i="50"/>
  <c r="G379" i="50"/>
  <c r="D379" i="50"/>
  <c r="C379" i="50"/>
  <c r="H379" i="49"/>
  <c r="G379" i="49"/>
  <c r="D379" i="49"/>
  <c r="C379" i="49"/>
  <c r="I379" i="49"/>
  <c r="B380" i="49" s="1"/>
  <c r="D379" i="48"/>
  <c r="C379" i="48"/>
  <c r="I379" i="48"/>
  <c r="B380" i="48" s="1"/>
  <c r="H379" i="48"/>
  <c r="G379" i="48"/>
  <c r="I379" i="47"/>
  <c r="B380" i="47" s="1"/>
  <c r="H379" i="47"/>
  <c r="G379" i="47"/>
  <c r="C379" i="47"/>
  <c r="D379" i="47"/>
  <c r="I328" i="35"/>
  <c r="B329" i="35" s="1"/>
  <c r="C328" i="35"/>
  <c r="H328" i="35"/>
  <c r="G328" i="35"/>
  <c r="D328" i="35"/>
  <c r="G381" i="55" l="1"/>
  <c r="D381" i="55"/>
  <c r="C381" i="55"/>
  <c r="I381" i="55"/>
  <c r="B382" i="55" s="1"/>
  <c r="H381" i="55"/>
  <c r="C381" i="54"/>
  <c r="I381" i="54"/>
  <c r="B382" i="54" s="1"/>
  <c r="H381" i="54"/>
  <c r="G381" i="54"/>
  <c r="D381" i="54"/>
  <c r="D381" i="53"/>
  <c r="I381" i="53"/>
  <c r="B382" i="53" s="1"/>
  <c r="H381" i="53"/>
  <c r="G381" i="53"/>
  <c r="C381" i="53"/>
  <c r="I381" i="52"/>
  <c r="B382" i="52" s="1"/>
  <c r="H381" i="52"/>
  <c r="G381" i="52"/>
  <c r="D381" i="52"/>
  <c r="C381" i="52"/>
  <c r="C381" i="51"/>
  <c r="G381" i="51"/>
  <c r="D381" i="51"/>
  <c r="I381" i="51"/>
  <c r="B382" i="51" s="1"/>
  <c r="H381" i="51"/>
  <c r="I380" i="50"/>
  <c r="B381" i="50" s="1"/>
  <c r="H380" i="50"/>
  <c r="D380" i="50"/>
  <c r="C380" i="50"/>
  <c r="G380" i="50"/>
  <c r="I380" i="49"/>
  <c r="B381" i="49" s="1"/>
  <c r="H380" i="49"/>
  <c r="G380" i="49"/>
  <c r="C380" i="49"/>
  <c r="D380" i="49"/>
  <c r="H380" i="48"/>
  <c r="G380" i="48"/>
  <c r="D380" i="48"/>
  <c r="C380" i="48"/>
  <c r="I380" i="48"/>
  <c r="B381" i="48" s="1"/>
  <c r="I380" i="47"/>
  <c r="B381" i="47" s="1"/>
  <c r="G380" i="47"/>
  <c r="H380" i="47"/>
  <c r="D380" i="47"/>
  <c r="C380" i="47"/>
  <c r="G329" i="35"/>
  <c r="D329" i="35"/>
  <c r="H329" i="35"/>
  <c r="I329" i="35"/>
  <c r="B330" i="35" s="1"/>
  <c r="C329" i="35"/>
  <c r="I382" i="55" l="1"/>
  <c r="B383" i="55" s="1"/>
  <c r="H382" i="55"/>
  <c r="G382" i="55"/>
  <c r="D382" i="55"/>
  <c r="C382" i="55"/>
  <c r="G382" i="54"/>
  <c r="D382" i="54"/>
  <c r="C382" i="54"/>
  <c r="I382" i="54"/>
  <c r="B383" i="54" s="1"/>
  <c r="H382" i="54"/>
  <c r="H382" i="53"/>
  <c r="D382" i="53"/>
  <c r="C382" i="53"/>
  <c r="G382" i="53"/>
  <c r="I382" i="53"/>
  <c r="B383" i="53" s="1"/>
  <c r="I382" i="52"/>
  <c r="B383" i="52" s="1"/>
  <c r="H382" i="52"/>
  <c r="G382" i="52"/>
  <c r="C382" i="52"/>
  <c r="D382" i="52"/>
  <c r="G382" i="51"/>
  <c r="I382" i="51"/>
  <c r="B383" i="51" s="1"/>
  <c r="H382" i="51"/>
  <c r="D382" i="51"/>
  <c r="C382" i="51"/>
  <c r="D381" i="50"/>
  <c r="C381" i="50"/>
  <c r="H381" i="50"/>
  <c r="G381" i="50"/>
  <c r="I381" i="50"/>
  <c r="B382" i="50" s="1"/>
  <c r="I381" i="49"/>
  <c r="B382" i="49" s="1"/>
  <c r="H381" i="49"/>
  <c r="G381" i="49"/>
  <c r="D381" i="49"/>
  <c r="C381" i="49"/>
  <c r="I381" i="48"/>
  <c r="B382" i="48" s="1"/>
  <c r="H381" i="48"/>
  <c r="G381" i="48"/>
  <c r="D381" i="48"/>
  <c r="C381" i="48"/>
  <c r="C381" i="47"/>
  <c r="I381" i="47"/>
  <c r="B382" i="47" s="1"/>
  <c r="H381" i="47"/>
  <c r="G381" i="47"/>
  <c r="D381" i="47"/>
  <c r="I330" i="35"/>
  <c r="B331" i="35" s="1"/>
  <c r="G330" i="35"/>
  <c r="C330" i="35"/>
  <c r="H330" i="35"/>
  <c r="D330" i="35"/>
  <c r="I383" i="55" l="1"/>
  <c r="B384" i="55" s="1"/>
  <c r="H383" i="55"/>
  <c r="G383" i="55"/>
  <c r="C383" i="55"/>
  <c r="D383" i="55"/>
  <c r="I383" i="54"/>
  <c r="B384" i="54" s="1"/>
  <c r="H383" i="54"/>
  <c r="G383" i="54"/>
  <c r="D383" i="54"/>
  <c r="C383" i="54"/>
  <c r="H383" i="53"/>
  <c r="G383" i="53"/>
  <c r="D383" i="53"/>
  <c r="C383" i="53"/>
  <c r="I383" i="53"/>
  <c r="B384" i="53" s="1"/>
  <c r="C383" i="52"/>
  <c r="I383" i="52"/>
  <c r="B384" i="52" s="1"/>
  <c r="G383" i="52"/>
  <c r="H383" i="52"/>
  <c r="D383" i="52"/>
  <c r="I383" i="51"/>
  <c r="B384" i="51" s="1"/>
  <c r="D383" i="51"/>
  <c r="C383" i="51"/>
  <c r="H383" i="51"/>
  <c r="G383" i="51"/>
  <c r="H382" i="50"/>
  <c r="G382" i="50"/>
  <c r="D382" i="50"/>
  <c r="C382" i="50"/>
  <c r="I382" i="50"/>
  <c r="B383" i="50" s="1"/>
  <c r="D382" i="49"/>
  <c r="C382" i="49"/>
  <c r="I382" i="49"/>
  <c r="B383" i="49" s="1"/>
  <c r="H382" i="49"/>
  <c r="G382" i="49"/>
  <c r="I382" i="48"/>
  <c r="B383" i="48" s="1"/>
  <c r="H382" i="48"/>
  <c r="G382" i="48"/>
  <c r="D382" i="48"/>
  <c r="C382" i="48"/>
  <c r="G382" i="47"/>
  <c r="D382" i="47"/>
  <c r="C382" i="47"/>
  <c r="I382" i="47"/>
  <c r="B383" i="47" s="1"/>
  <c r="H382" i="47"/>
  <c r="C331" i="35"/>
  <c r="G331" i="35"/>
  <c r="D331" i="35"/>
  <c r="H331" i="35"/>
  <c r="I331" i="35"/>
  <c r="B332" i="35" s="1"/>
  <c r="C384" i="55" l="1"/>
  <c r="I384" i="55"/>
  <c r="B385" i="55" s="1"/>
  <c r="G384" i="55"/>
  <c r="D384" i="55"/>
  <c r="H384" i="55"/>
  <c r="I384" i="54"/>
  <c r="B385" i="54" s="1"/>
  <c r="H384" i="54"/>
  <c r="G384" i="54"/>
  <c r="D384" i="54"/>
  <c r="C384" i="54"/>
  <c r="I384" i="53"/>
  <c r="B385" i="53" s="1"/>
  <c r="H384" i="53"/>
  <c r="G384" i="53"/>
  <c r="D384" i="53"/>
  <c r="C384" i="53"/>
  <c r="G384" i="52"/>
  <c r="D384" i="52"/>
  <c r="C384" i="52"/>
  <c r="I384" i="52"/>
  <c r="B385" i="52" s="1"/>
  <c r="H384" i="52"/>
  <c r="H384" i="51"/>
  <c r="I384" i="51"/>
  <c r="B385" i="51" s="1"/>
  <c r="G384" i="51"/>
  <c r="D384" i="51"/>
  <c r="C384" i="51"/>
  <c r="I383" i="50"/>
  <c r="B384" i="50" s="1"/>
  <c r="H383" i="50"/>
  <c r="G383" i="50"/>
  <c r="D383" i="50"/>
  <c r="C383" i="50"/>
  <c r="H383" i="49"/>
  <c r="G383" i="49"/>
  <c r="D383" i="49"/>
  <c r="C383" i="49"/>
  <c r="I383" i="49"/>
  <c r="B384" i="49" s="1"/>
  <c r="D383" i="48"/>
  <c r="C383" i="48"/>
  <c r="I383" i="48"/>
  <c r="B384" i="48" s="1"/>
  <c r="H383" i="48"/>
  <c r="G383" i="48"/>
  <c r="I383" i="47"/>
  <c r="B384" i="47" s="1"/>
  <c r="H383" i="47"/>
  <c r="G383" i="47"/>
  <c r="C383" i="47"/>
  <c r="D383" i="47"/>
  <c r="C332" i="35"/>
  <c r="I332" i="35"/>
  <c r="B333" i="35" s="1"/>
  <c r="H332" i="35"/>
  <c r="G332" i="35"/>
  <c r="D332" i="35"/>
  <c r="G385" i="55" l="1"/>
  <c r="D385" i="55"/>
  <c r="C385" i="55"/>
  <c r="I385" i="55"/>
  <c r="B386" i="55" s="1"/>
  <c r="H385" i="55"/>
  <c r="C385" i="54"/>
  <c r="I385" i="54"/>
  <c r="B386" i="54" s="1"/>
  <c r="H385" i="54"/>
  <c r="G385" i="54"/>
  <c r="D385" i="54"/>
  <c r="D385" i="53"/>
  <c r="I385" i="53"/>
  <c r="B386" i="53" s="1"/>
  <c r="H385" i="53"/>
  <c r="G385" i="53"/>
  <c r="C385" i="53"/>
  <c r="I385" i="52"/>
  <c r="B386" i="52" s="1"/>
  <c r="H385" i="52"/>
  <c r="G385" i="52"/>
  <c r="D385" i="52"/>
  <c r="C385" i="52"/>
  <c r="C385" i="51"/>
  <c r="I385" i="51"/>
  <c r="B386" i="51" s="1"/>
  <c r="H385" i="51"/>
  <c r="G385" i="51"/>
  <c r="D385" i="51"/>
  <c r="I384" i="50"/>
  <c r="B385" i="50" s="1"/>
  <c r="H384" i="50"/>
  <c r="D384" i="50"/>
  <c r="C384" i="50"/>
  <c r="G384" i="50"/>
  <c r="I384" i="49"/>
  <c r="B385" i="49" s="1"/>
  <c r="H384" i="49"/>
  <c r="G384" i="49"/>
  <c r="D384" i="49"/>
  <c r="C384" i="49"/>
  <c r="H384" i="48"/>
  <c r="G384" i="48"/>
  <c r="D384" i="48"/>
  <c r="C384" i="48"/>
  <c r="I384" i="48"/>
  <c r="B385" i="48" s="1"/>
  <c r="I384" i="47"/>
  <c r="B385" i="47" s="1"/>
  <c r="G384" i="47"/>
  <c r="H384" i="47"/>
  <c r="D384" i="47"/>
  <c r="C384" i="47"/>
  <c r="G333" i="35"/>
  <c r="D333" i="35"/>
  <c r="I333" i="35"/>
  <c r="B334" i="35" s="1"/>
  <c r="H333" i="35"/>
  <c r="C333" i="35"/>
  <c r="I386" i="55" l="1"/>
  <c r="B387" i="55" s="1"/>
  <c r="H386" i="55"/>
  <c r="G386" i="55"/>
  <c r="D386" i="55"/>
  <c r="C386" i="55"/>
  <c r="G386" i="54"/>
  <c r="D386" i="54"/>
  <c r="C386" i="54"/>
  <c r="I386" i="54"/>
  <c r="B387" i="54" s="1"/>
  <c r="H386" i="54"/>
  <c r="H386" i="53"/>
  <c r="D386" i="53"/>
  <c r="C386" i="53"/>
  <c r="I386" i="53"/>
  <c r="B387" i="53" s="1"/>
  <c r="G386" i="53"/>
  <c r="I386" i="52"/>
  <c r="B387" i="52" s="1"/>
  <c r="H386" i="52"/>
  <c r="G386" i="52"/>
  <c r="C386" i="52"/>
  <c r="D386" i="52"/>
  <c r="G386" i="51"/>
  <c r="I386" i="51"/>
  <c r="B387" i="51" s="1"/>
  <c r="H386" i="51"/>
  <c r="D386" i="51"/>
  <c r="C386" i="51"/>
  <c r="D385" i="50"/>
  <c r="C385" i="50"/>
  <c r="H385" i="50"/>
  <c r="G385" i="50"/>
  <c r="I385" i="50"/>
  <c r="B386" i="50" s="1"/>
  <c r="I385" i="49"/>
  <c r="B386" i="49" s="1"/>
  <c r="H385" i="49"/>
  <c r="G385" i="49"/>
  <c r="D385" i="49"/>
  <c r="C385" i="49"/>
  <c r="I385" i="48"/>
  <c r="B386" i="48" s="1"/>
  <c r="H385" i="48"/>
  <c r="G385" i="48"/>
  <c r="D385" i="48"/>
  <c r="C385" i="48"/>
  <c r="C385" i="47"/>
  <c r="I385" i="47"/>
  <c r="B386" i="47" s="1"/>
  <c r="H385" i="47"/>
  <c r="G385" i="47"/>
  <c r="D385" i="47"/>
  <c r="H334" i="35"/>
  <c r="C334" i="35"/>
  <c r="G334" i="35"/>
  <c r="D334" i="35"/>
  <c r="I334" i="35"/>
  <c r="B335" i="35" s="1"/>
  <c r="I387" i="55" l="1"/>
  <c r="B388" i="55" s="1"/>
  <c r="H387" i="55"/>
  <c r="G387" i="55"/>
  <c r="C387" i="55"/>
  <c r="D387" i="55"/>
  <c r="I387" i="54"/>
  <c r="B388" i="54" s="1"/>
  <c r="H387" i="54"/>
  <c r="G387" i="54"/>
  <c r="D387" i="54"/>
  <c r="C387" i="54"/>
  <c r="H387" i="53"/>
  <c r="G387" i="53"/>
  <c r="D387" i="53"/>
  <c r="C387" i="53"/>
  <c r="I387" i="53"/>
  <c r="B388" i="53" s="1"/>
  <c r="C387" i="52"/>
  <c r="I387" i="52"/>
  <c r="B388" i="52" s="1"/>
  <c r="G387" i="52"/>
  <c r="H387" i="52"/>
  <c r="D387" i="52"/>
  <c r="I387" i="51"/>
  <c r="B388" i="51" s="1"/>
  <c r="D387" i="51"/>
  <c r="H387" i="51"/>
  <c r="G387" i="51"/>
  <c r="C387" i="51"/>
  <c r="H386" i="50"/>
  <c r="G386" i="50"/>
  <c r="D386" i="50"/>
  <c r="C386" i="50"/>
  <c r="I386" i="50"/>
  <c r="B387" i="50" s="1"/>
  <c r="D386" i="49"/>
  <c r="C386" i="49"/>
  <c r="I386" i="49"/>
  <c r="B387" i="49" s="1"/>
  <c r="H386" i="49"/>
  <c r="G386" i="49"/>
  <c r="I386" i="48"/>
  <c r="B387" i="48" s="1"/>
  <c r="H386" i="48"/>
  <c r="G386" i="48"/>
  <c r="D386" i="48"/>
  <c r="C386" i="48"/>
  <c r="D386" i="47"/>
  <c r="H386" i="47"/>
  <c r="G386" i="47"/>
  <c r="C386" i="47"/>
  <c r="I386" i="47"/>
  <c r="B387" i="47" s="1"/>
  <c r="C335" i="35"/>
  <c r="G335" i="35"/>
  <c r="H335" i="35"/>
  <c r="D335" i="35"/>
  <c r="I335" i="35"/>
  <c r="B336" i="35" s="1"/>
  <c r="C388" i="55" l="1"/>
  <c r="I388" i="55"/>
  <c r="B389" i="55" s="1"/>
  <c r="G388" i="55"/>
  <c r="D388" i="55"/>
  <c r="H388" i="55"/>
  <c r="I388" i="54"/>
  <c r="B389" i="54" s="1"/>
  <c r="H388" i="54"/>
  <c r="G388" i="54"/>
  <c r="D388" i="54"/>
  <c r="C388" i="54"/>
  <c r="I388" i="53"/>
  <c r="B389" i="53" s="1"/>
  <c r="H388" i="53"/>
  <c r="G388" i="53"/>
  <c r="D388" i="53"/>
  <c r="C388" i="53"/>
  <c r="G388" i="52"/>
  <c r="D388" i="52"/>
  <c r="C388" i="52"/>
  <c r="I388" i="52"/>
  <c r="B389" i="52" s="1"/>
  <c r="H388" i="52"/>
  <c r="H388" i="51"/>
  <c r="G388" i="51"/>
  <c r="D388" i="51"/>
  <c r="C388" i="51"/>
  <c r="I388" i="51"/>
  <c r="B389" i="51" s="1"/>
  <c r="I387" i="50"/>
  <c r="B388" i="50" s="1"/>
  <c r="H387" i="50"/>
  <c r="G387" i="50"/>
  <c r="D387" i="50"/>
  <c r="C387" i="50"/>
  <c r="H387" i="49"/>
  <c r="G387" i="49"/>
  <c r="D387" i="49"/>
  <c r="C387" i="49"/>
  <c r="I387" i="49"/>
  <c r="B388" i="49" s="1"/>
  <c r="D387" i="48"/>
  <c r="C387" i="48"/>
  <c r="I387" i="48"/>
  <c r="B388" i="48" s="1"/>
  <c r="H387" i="48"/>
  <c r="G387" i="48"/>
  <c r="H387" i="47"/>
  <c r="G387" i="47"/>
  <c r="I387" i="47"/>
  <c r="B388" i="47" s="1"/>
  <c r="D387" i="47"/>
  <c r="C387" i="47"/>
  <c r="I336" i="35"/>
  <c r="B337" i="35" s="1"/>
  <c r="C336" i="35"/>
  <c r="G336" i="35"/>
  <c r="D336" i="35"/>
  <c r="H336" i="35"/>
  <c r="G389" i="55" l="1"/>
  <c r="D389" i="55"/>
  <c r="C389" i="55"/>
  <c r="I389" i="55"/>
  <c r="B390" i="55" s="1"/>
  <c r="H389" i="55"/>
  <c r="C389" i="54"/>
  <c r="I389" i="54"/>
  <c r="B390" i="54" s="1"/>
  <c r="H389" i="54"/>
  <c r="G389" i="54"/>
  <c r="D389" i="54"/>
  <c r="D389" i="53"/>
  <c r="I389" i="53"/>
  <c r="B390" i="53" s="1"/>
  <c r="G389" i="53"/>
  <c r="C389" i="53"/>
  <c r="H389" i="53"/>
  <c r="I389" i="52"/>
  <c r="B390" i="52" s="1"/>
  <c r="H389" i="52"/>
  <c r="G389" i="52"/>
  <c r="D389" i="52"/>
  <c r="C389" i="52"/>
  <c r="C389" i="51"/>
  <c r="I389" i="51"/>
  <c r="B390" i="51" s="1"/>
  <c r="H389" i="51"/>
  <c r="G389" i="51"/>
  <c r="D389" i="51"/>
  <c r="I388" i="50"/>
  <c r="B389" i="50" s="1"/>
  <c r="H388" i="50"/>
  <c r="D388" i="50"/>
  <c r="C388" i="50"/>
  <c r="G388" i="50"/>
  <c r="I388" i="49"/>
  <c r="B389" i="49" s="1"/>
  <c r="H388" i="49"/>
  <c r="G388" i="49"/>
  <c r="D388" i="49"/>
  <c r="C388" i="49"/>
  <c r="H388" i="48"/>
  <c r="G388" i="48"/>
  <c r="D388" i="48"/>
  <c r="C388" i="48"/>
  <c r="I388" i="48"/>
  <c r="B389" i="48" s="1"/>
  <c r="D388" i="47"/>
  <c r="G388" i="47"/>
  <c r="C388" i="47"/>
  <c r="I388" i="47"/>
  <c r="B389" i="47" s="1"/>
  <c r="H388" i="47"/>
  <c r="D337" i="35"/>
  <c r="G337" i="35"/>
  <c r="I337" i="35"/>
  <c r="B338" i="35" s="1"/>
  <c r="H337" i="35"/>
  <c r="C337" i="35"/>
  <c r="I390" i="55" l="1"/>
  <c r="B391" i="55" s="1"/>
  <c r="H390" i="55"/>
  <c r="G390" i="55"/>
  <c r="D390" i="55"/>
  <c r="C390" i="55"/>
  <c r="G390" i="54"/>
  <c r="D390" i="54"/>
  <c r="C390" i="54"/>
  <c r="I390" i="54"/>
  <c r="B391" i="54" s="1"/>
  <c r="H390" i="54"/>
  <c r="H390" i="53"/>
  <c r="D390" i="53"/>
  <c r="C390" i="53"/>
  <c r="G390" i="53"/>
  <c r="I390" i="53"/>
  <c r="B391" i="53" s="1"/>
  <c r="I390" i="52"/>
  <c r="B391" i="52" s="1"/>
  <c r="H390" i="52"/>
  <c r="G390" i="52"/>
  <c r="C390" i="52"/>
  <c r="D390" i="52"/>
  <c r="G390" i="51"/>
  <c r="D390" i="51"/>
  <c r="C390" i="51"/>
  <c r="I390" i="51"/>
  <c r="B391" i="51" s="1"/>
  <c r="H390" i="51"/>
  <c r="D389" i="50"/>
  <c r="C389" i="50"/>
  <c r="H389" i="50"/>
  <c r="G389" i="50"/>
  <c r="I389" i="50"/>
  <c r="B390" i="50" s="1"/>
  <c r="I389" i="49"/>
  <c r="B390" i="49" s="1"/>
  <c r="H389" i="49"/>
  <c r="G389" i="49"/>
  <c r="D389" i="49"/>
  <c r="C389" i="49"/>
  <c r="I389" i="48"/>
  <c r="B390" i="48" s="1"/>
  <c r="H389" i="48"/>
  <c r="G389" i="48"/>
  <c r="D389" i="48"/>
  <c r="C389" i="48"/>
  <c r="H389" i="47"/>
  <c r="I389" i="47"/>
  <c r="B390" i="47" s="1"/>
  <c r="D389" i="47"/>
  <c r="G389" i="47"/>
  <c r="C389" i="47"/>
  <c r="H338" i="35"/>
  <c r="C338" i="35"/>
  <c r="G338" i="35"/>
  <c r="D338" i="35"/>
  <c r="I338" i="35"/>
  <c r="B339" i="35" s="1"/>
  <c r="I391" i="55" l="1"/>
  <c r="B392" i="55" s="1"/>
  <c r="H391" i="55"/>
  <c r="G391" i="55"/>
  <c r="C391" i="55"/>
  <c r="D391" i="55"/>
  <c r="I391" i="54"/>
  <c r="B392" i="54" s="1"/>
  <c r="H391" i="54"/>
  <c r="G391" i="54"/>
  <c r="D391" i="54"/>
  <c r="C391" i="54"/>
  <c r="H391" i="53"/>
  <c r="G391" i="53"/>
  <c r="D391" i="53"/>
  <c r="C391" i="53"/>
  <c r="I391" i="53"/>
  <c r="B392" i="53" s="1"/>
  <c r="C391" i="52"/>
  <c r="I391" i="52"/>
  <c r="B392" i="52" s="1"/>
  <c r="G391" i="52"/>
  <c r="H391" i="52"/>
  <c r="D391" i="52"/>
  <c r="I391" i="51"/>
  <c r="B392" i="51" s="1"/>
  <c r="H391" i="51"/>
  <c r="D391" i="51"/>
  <c r="G391" i="51"/>
  <c r="C391" i="51"/>
  <c r="H390" i="50"/>
  <c r="G390" i="50"/>
  <c r="D390" i="50"/>
  <c r="C390" i="50"/>
  <c r="I390" i="50"/>
  <c r="B391" i="50" s="1"/>
  <c r="D390" i="49"/>
  <c r="C390" i="49"/>
  <c r="I390" i="49"/>
  <c r="B391" i="49" s="1"/>
  <c r="H390" i="49"/>
  <c r="G390" i="49"/>
  <c r="I390" i="48"/>
  <c r="B391" i="48" s="1"/>
  <c r="H390" i="48"/>
  <c r="G390" i="48"/>
  <c r="D390" i="48"/>
  <c r="C390" i="48"/>
  <c r="D390" i="47"/>
  <c r="C390" i="47"/>
  <c r="I390" i="47"/>
  <c r="B391" i="47" s="1"/>
  <c r="H390" i="47"/>
  <c r="G390" i="47"/>
  <c r="C339" i="35"/>
  <c r="G339" i="35"/>
  <c r="I339" i="35"/>
  <c r="B340" i="35" s="1"/>
  <c r="D339" i="35"/>
  <c r="H339" i="35"/>
  <c r="C392" i="55" l="1"/>
  <c r="I392" i="55"/>
  <c r="B393" i="55" s="1"/>
  <c r="G392" i="55"/>
  <c r="D392" i="55"/>
  <c r="H392" i="55"/>
  <c r="I392" i="54"/>
  <c r="B393" i="54" s="1"/>
  <c r="H392" i="54"/>
  <c r="G392" i="54"/>
  <c r="D392" i="54"/>
  <c r="C392" i="54"/>
  <c r="I392" i="53"/>
  <c r="B393" i="53" s="1"/>
  <c r="H392" i="53"/>
  <c r="G392" i="53"/>
  <c r="D392" i="53"/>
  <c r="C392" i="53"/>
  <c r="G392" i="52"/>
  <c r="D392" i="52"/>
  <c r="C392" i="52"/>
  <c r="I392" i="52"/>
  <c r="B393" i="52" s="1"/>
  <c r="H392" i="52"/>
  <c r="I392" i="51"/>
  <c r="B393" i="51" s="1"/>
  <c r="H392" i="51"/>
  <c r="D392" i="51"/>
  <c r="C392" i="51"/>
  <c r="G392" i="51"/>
  <c r="I391" i="50"/>
  <c r="B392" i="50" s="1"/>
  <c r="H391" i="50"/>
  <c r="G391" i="50"/>
  <c r="D391" i="50"/>
  <c r="C391" i="50"/>
  <c r="H391" i="49"/>
  <c r="G391" i="49"/>
  <c r="D391" i="49"/>
  <c r="C391" i="49"/>
  <c r="I391" i="49"/>
  <c r="B392" i="49" s="1"/>
  <c r="D391" i="48"/>
  <c r="C391" i="48"/>
  <c r="I391" i="48"/>
  <c r="B392" i="48" s="1"/>
  <c r="H391" i="48"/>
  <c r="G391" i="48"/>
  <c r="H391" i="47"/>
  <c r="I391" i="47"/>
  <c r="B392" i="47" s="1"/>
  <c r="G391" i="47"/>
  <c r="C391" i="47"/>
  <c r="D391" i="47"/>
  <c r="I340" i="35"/>
  <c r="B341" i="35" s="1"/>
  <c r="C340" i="35"/>
  <c r="H340" i="35"/>
  <c r="D340" i="35"/>
  <c r="G340" i="35"/>
  <c r="G393" i="55" l="1"/>
  <c r="D393" i="55"/>
  <c r="C393" i="55"/>
  <c r="I393" i="55"/>
  <c r="B394" i="55" s="1"/>
  <c r="H393" i="55"/>
  <c r="C393" i="54"/>
  <c r="I393" i="54"/>
  <c r="B394" i="54" s="1"/>
  <c r="H393" i="54"/>
  <c r="G393" i="54"/>
  <c r="D393" i="54"/>
  <c r="D393" i="53"/>
  <c r="I393" i="53"/>
  <c r="B394" i="53" s="1"/>
  <c r="C393" i="53"/>
  <c r="H393" i="53"/>
  <c r="G393" i="53"/>
  <c r="I393" i="52"/>
  <c r="B394" i="52" s="1"/>
  <c r="H393" i="52"/>
  <c r="G393" i="52"/>
  <c r="D393" i="52"/>
  <c r="C393" i="52"/>
  <c r="C393" i="51"/>
  <c r="I393" i="51"/>
  <c r="B394" i="51" s="1"/>
  <c r="H393" i="51"/>
  <c r="G393" i="51"/>
  <c r="D393" i="51"/>
  <c r="I392" i="50"/>
  <c r="B393" i="50" s="1"/>
  <c r="H392" i="50"/>
  <c r="D392" i="50"/>
  <c r="C392" i="50"/>
  <c r="G392" i="50"/>
  <c r="I392" i="49"/>
  <c r="B393" i="49" s="1"/>
  <c r="H392" i="49"/>
  <c r="G392" i="49"/>
  <c r="D392" i="49"/>
  <c r="C392" i="49"/>
  <c r="H392" i="48"/>
  <c r="G392" i="48"/>
  <c r="D392" i="48"/>
  <c r="C392" i="48"/>
  <c r="I392" i="48"/>
  <c r="B393" i="48" s="1"/>
  <c r="D392" i="47"/>
  <c r="I392" i="47"/>
  <c r="B393" i="47" s="1"/>
  <c r="H392" i="47"/>
  <c r="G392" i="47"/>
  <c r="C392" i="47"/>
  <c r="G341" i="35"/>
  <c r="D341" i="35"/>
  <c r="I341" i="35"/>
  <c r="B342" i="35" s="1"/>
  <c r="H341" i="35"/>
  <c r="C341" i="35"/>
  <c r="I394" i="55" l="1"/>
  <c r="B395" i="55" s="1"/>
  <c r="H394" i="55"/>
  <c r="G394" i="55"/>
  <c r="D394" i="55"/>
  <c r="C394" i="55"/>
  <c r="G394" i="54"/>
  <c r="D394" i="54"/>
  <c r="C394" i="54"/>
  <c r="I394" i="54"/>
  <c r="B395" i="54" s="1"/>
  <c r="H394" i="54"/>
  <c r="H394" i="53"/>
  <c r="D394" i="53"/>
  <c r="C394" i="53"/>
  <c r="I394" i="53"/>
  <c r="B395" i="53" s="1"/>
  <c r="G394" i="53"/>
  <c r="I394" i="52"/>
  <c r="B395" i="52" s="1"/>
  <c r="H394" i="52"/>
  <c r="G394" i="52"/>
  <c r="C394" i="52"/>
  <c r="D394" i="52"/>
  <c r="G394" i="51"/>
  <c r="D394" i="51"/>
  <c r="C394" i="51"/>
  <c r="I394" i="51"/>
  <c r="B395" i="51" s="1"/>
  <c r="H394" i="51"/>
  <c r="D393" i="50"/>
  <c r="C393" i="50"/>
  <c r="H393" i="50"/>
  <c r="G393" i="50"/>
  <c r="I393" i="50"/>
  <c r="B394" i="50" s="1"/>
  <c r="I393" i="49"/>
  <c r="B394" i="49" s="1"/>
  <c r="H393" i="49"/>
  <c r="G393" i="49"/>
  <c r="D393" i="49"/>
  <c r="C393" i="49"/>
  <c r="I393" i="48"/>
  <c r="B394" i="48" s="1"/>
  <c r="H393" i="48"/>
  <c r="G393" i="48"/>
  <c r="D393" i="48"/>
  <c r="C393" i="48"/>
  <c r="H393" i="47"/>
  <c r="I393" i="47"/>
  <c r="B394" i="47" s="1"/>
  <c r="G393" i="47"/>
  <c r="D393" i="47"/>
  <c r="C393" i="47"/>
  <c r="H342" i="35"/>
  <c r="C342" i="35"/>
  <c r="D342" i="35"/>
  <c r="G342" i="35"/>
  <c r="I342" i="35"/>
  <c r="B343" i="35" s="1"/>
  <c r="I395" i="55" l="1"/>
  <c r="B396" i="55" s="1"/>
  <c r="H395" i="55"/>
  <c r="G395" i="55"/>
  <c r="C395" i="55"/>
  <c r="D395" i="55"/>
  <c r="I395" i="54"/>
  <c r="B396" i="54" s="1"/>
  <c r="H395" i="54"/>
  <c r="G395" i="54"/>
  <c r="D395" i="54"/>
  <c r="C395" i="54"/>
  <c r="H395" i="53"/>
  <c r="G395" i="53"/>
  <c r="D395" i="53"/>
  <c r="C395" i="53"/>
  <c r="I395" i="53"/>
  <c r="B396" i="53" s="1"/>
  <c r="C395" i="52"/>
  <c r="I395" i="52"/>
  <c r="B396" i="52" s="1"/>
  <c r="G395" i="52"/>
  <c r="H395" i="52"/>
  <c r="D395" i="52"/>
  <c r="I395" i="51"/>
  <c r="B396" i="51" s="1"/>
  <c r="H395" i="51"/>
  <c r="G395" i="51"/>
  <c r="D395" i="51"/>
  <c r="C395" i="51"/>
  <c r="H394" i="50"/>
  <c r="G394" i="50"/>
  <c r="D394" i="50"/>
  <c r="C394" i="50"/>
  <c r="I394" i="50"/>
  <c r="B395" i="50" s="1"/>
  <c r="D394" i="49"/>
  <c r="C394" i="49"/>
  <c r="I394" i="49"/>
  <c r="B395" i="49" s="1"/>
  <c r="H394" i="49"/>
  <c r="G394" i="49"/>
  <c r="I394" i="48"/>
  <c r="B395" i="48" s="1"/>
  <c r="H394" i="48"/>
  <c r="G394" i="48"/>
  <c r="D394" i="48"/>
  <c r="C394" i="48"/>
  <c r="D394" i="47"/>
  <c r="H394" i="47"/>
  <c r="I394" i="47"/>
  <c r="B395" i="47" s="1"/>
  <c r="G394" i="47"/>
  <c r="C394" i="47"/>
  <c r="C343" i="35"/>
  <c r="G343" i="35"/>
  <c r="H343" i="35"/>
  <c r="D343" i="35"/>
  <c r="I343" i="35"/>
  <c r="B344" i="35" s="1"/>
  <c r="C396" i="55" l="1"/>
  <c r="I396" i="55"/>
  <c r="B397" i="55" s="1"/>
  <c r="G396" i="55"/>
  <c r="D396" i="55"/>
  <c r="H396" i="55"/>
  <c r="I396" i="54"/>
  <c r="B397" i="54" s="1"/>
  <c r="H396" i="54"/>
  <c r="G396" i="54"/>
  <c r="D396" i="54"/>
  <c r="C396" i="54"/>
  <c r="I396" i="53"/>
  <c r="B397" i="53" s="1"/>
  <c r="H396" i="53"/>
  <c r="G396" i="53"/>
  <c r="D396" i="53"/>
  <c r="C396" i="53"/>
  <c r="G396" i="52"/>
  <c r="D396" i="52"/>
  <c r="C396" i="52"/>
  <c r="I396" i="52"/>
  <c r="B397" i="52" s="1"/>
  <c r="H396" i="52"/>
  <c r="I396" i="51"/>
  <c r="B397" i="51" s="1"/>
  <c r="H396" i="51"/>
  <c r="G396" i="51"/>
  <c r="D396" i="51"/>
  <c r="C396" i="51"/>
  <c r="I395" i="50"/>
  <c r="B396" i="50" s="1"/>
  <c r="H395" i="50"/>
  <c r="G395" i="50"/>
  <c r="D395" i="50"/>
  <c r="C395" i="50"/>
  <c r="H395" i="49"/>
  <c r="G395" i="49"/>
  <c r="D395" i="49"/>
  <c r="C395" i="49"/>
  <c r="I395" i="49"/>
  <c r="B396" i="49" s="1"/>
  <c r="D395" i="48"/>
  <c r="C395" i="48"/>
  <c r="I395" i="48"/>
  <c r="B396" i="48" s="1"/>
  <c r="H395" i="48"/>
  <c r="G395" i="48"/>
  <c r="H395" i="47"/>
  <c r="G395" i="47"/>
  <c r="D395" i="47"/>
  <c r="C395" i="47"/>
  <c r="I395" i="47"/>
  <c r="B396" i="47" s="1"/>
  <c r="C344" i="35"/>
  <c r="I344" i="35"/>
  <c r="B345" i="35" s="1"/>
  <c r="G344" i="35"/>
  <c r="D344" i="35"/>
  <c r="H344" i="35"/>
  <c r="G397" i="55" l="1"/>
  <c r="D397" i="55"/>
  <c r="C397" i="55"/>
  <c r="I397" i="55"/>
  <c r="B398" i="55" s="1"/>
  <c r="H397" i="55"/>
  <c r="C397" i="54"/>
  <c r="I397" i="54"/>
  <c r="B398" i="54" s="1"/>
  <c r="H397" i="54"/>
  <c r="G397" i="54"/>
  <c r="D397" i="54"/>
  <c r="D397" i="53"/>
  <c r="I397" i="53"/>
  <c r="B398" i="53" s="1"/>
  <c r="G397" i="53"/>
  <c r="H397" i="53"/>
  <c r="C397" i="53"/>
  <c r="I397" i="52"/>
  <c r="B398" i="52" s="1"/>
  <c r="H397" i="52"/>
  <c r="G397" i="52"/>
  <c r="D397" i="52"/>
  <c r="C397" i="52"/>
  <c r="C397" i="51"/>
  <c r="H397" i="51"/>
  <c r="G397" i="51"/>
  <c r="D397" i="51"/>
  <c r="I397" i="51"/>
  <c r="B398" i="51" s="1"/>
  <c r="I396" i="50"/>
  <c r="B397" i="50" s="1"/>
  <c r="H396" i="50"/>
  <c r="D396" i="50"/>
  <c r="C396" i="50"/>
  <c r="G396" i="50"/>
  <c r="I396" i="49"/>
  <c r="B397" i="49" s="1"/>
  <c r="H396" i="49"/>
  <c r="G396" i="49"/>
  <c r="D396" i="49"/>
  <c r="C396" i="49"/>
  <c r="H396" i="48"/>
  <c r="G396" i="48"/>
  <c r="D396" i="48"/>
  <c r="C396" i="48"/>
  <c r="I396" i="48"/>
  <c r="B397" i="48" s="1"/>
  <c r="D396" i="47"/>
  <c r="I396" i="47"/>
  <c r="B397" i="47" s="1"/>
  <c r="G396" i="47"/>
  <c r="H396" i="47"/>
  <c r="C396" i="47"/>
  <c r="G345" i="35"/>
  <c r="D345" i="35"/>
  <c r="H345" i="35"/>
  <c r="C345" i="35"/>
  <c r="I345" i="35"/>
  <c r="B346" i="35" s="1"/>
  <c r="I398" i="55" l="1"/>
  <c r="B399" i="55" s="1"/>
  <c r="H398" i="55"/>
  <c r="G398" i="55"/>
  <c r="D398" i="55"/>
  <c r="C398" i="55"/>
  <c r="G398" i="54"/>
  <c r="D398" i="54"/>
  <c r="C398" i="54"/>
  <c r="I398" i="54"/>
  <c r="B399" i="54" s="1"/>
  <c r="H398" i="54"/>
  <c r="H398" i="53"/>
  <c r="D398" i="53"/>
  <c r="C398" i="53"/>
  <c r="I398" i="53"/>
  <c r="B399" i="53" s="1"/>
  <c r="G398" i="53"/>
  <c r="I398" i="52"/>
  <c r="B399" i="52" s="1"/>
  <c r="H398" i="52"/>
  <c r="G398" i="52"/>
  <c r="C398" i="52"/>
  <c r="D398" i="52"/>
  <c r="G398" i="51"/>
  <c r="D398" i="51"/>
  <c r="C398" i="51"/>
  <c r="I398" i="51"/>
  <c r="B399" i="51" s="1"/>
  <c r="H398" i="51"/>
  <c r="D397" i="50"/>
  <c r="C397" i="50"/>
  <c r="H397" i="50"/>
  <c r="G397" i="50"/>
  <c r="I397" i="50"/>
  <c r="B398" i="50" s="1"/>
  <c r="I397" i="49"/>
  <c r="B398" i="49" s="1"/>
  <c r="H397" i="49"/>
  <c r="G397" i="49"/>
  <c r="D397" i="49"/>
  <c r="C397" i="49"/>
  <c r="I397" i="48"/>
  <c r="B398" i="48" s="1"/>
  <c r="H397" i="48"/>
  <c r="G397" i="48"/>
  <c r="D397" i="48"/>
  <c r="C397" i="48"/>
  <c r="H397" i="47"/>
  <c r="D397" i="47"/>
  <c r="C397" i="47"/>
  <c r="I397" i="47"/>
  <c r="B398" i="47" s="1"/>
  <c r="G397" i="47"/>
  <c r="C346" i="35"/>
  <c r="I346" i="35"/>
  <c r="B347" i="35" s="1"/>
  <c r="G346" i="35"/>
  <c r="D346" i="35"/>
  <c r="H346" i="35"/>
  <c r="I399" i="55" l="1"/>
  <c r="B400" i="55" s="1"/>
  <c r="H399" i="55"/>
  <c r="G399" i="55"/>
  <c r="C399" i="55"/>
  <c r="D399" i="55"/>
  <c r="I399" i="54"/>
  <c r="B400" i="54" s="1"/>
  <c r="H399" i="54"/>
  <c r="G399" i="54"/>
  <c r="D399" i="54"/>
  <c r="C399" i="54"/>
  <c r="H399" i="53"/>
  <c r="G399" i="53"/>
  <c r="D399" i="53"/>
  <c r="C399" i="53"/>
  <c r="I399" i="53"/>
  <c r="B400" i="53" s="1"/>
  <c r="C399" i="52"/>
  <c r="I399" i="52"/>
  <c r="B400" i="52" s="1"/>
  <c r="G399" i="52"/>
  <c r="H399" i="52"/>
  <c r="D399" i="52"/>
  <c r="I399" i="51"/>
  <c r="B400" i="51" s="1"/>
  <c r="H399" i="51"/>
  <c r="G399" i="51"/>
  <c r="D399" i="51"/>
  <c r="C399" i="51"/>
  <c r="H398" i="50"/>
  <c r="G398" i="50"/>
  <c r="D398" i="50"/>
  <c r="C398" i="50"/>
  <c r="I398" i="50"/>
  <c r="B399" i="50" s="1"/>
  <c r="D398" i="49"/>
  <c r="C398" i="49"/>
  <c r="I398" i="49"/>
  <c r="B399" i="49" s="1"/>
  <c r="H398" i="49"/>
  <c r="G398" i="49"/>
  <c r="I398" i="48"/>
  <c r="B399" i="48" s="1"/>
  <c r="H398" i="48"/>
  <c r="G398" i="48"/>
  <c r="D398" i="48"/>
  <c r="C398" i="48"/>
  <c r="D398" i="47"/>
  <c r="I398" i="47"/>
  <c r="B399" i="47" s="1"/>
  <c r="H398" i="47"/>
  <c r="C398" i="47"/>
  <c r="G398" i="47"/>
  <c r="C347" i="35"/>
  <c r="G347" i="35"/>
  <c r="H347" i="35"/>
  <c r="D347" i="35"/>
  <c r="I347" i="35"/>
  <c r="B348" i="35" s="1"/>
  <c r="C400" i="55" l="1"/>
  <c r="I400" i="55"/>
  <c r="B401" i="55" s="1"/>
  <c r="G400" i="55"/>
  <c r="D400" i="55"/>
  <c r="H400" i="55"/>
  <c r="I400" i="54"/>
  <c r="B401" i="54" s="1"/>
  <c r="H400" i="54"/>
  <c r="G400" i="54"/>
  <c r="D400" i="54"/>
  <c r="C400" i="54"/>
  <c r="I400" i="53"/>
  <c r="B401" i="53" s="1"/>
  <c r="H400" i="53"/>
  <c r="G400" i="53"/>
  <c r="C400" i="53"/>
  <c r="D400" i="53"/>
  <c r="G400" i="52"/>
  <c r="D400" i="52"/>
  <c r="C400" i="52"/>
  <c r="I400" i="52"/>
  <c r="B401" i="52" s="1"/>
  <c r="H400" i="52"/>
  <c r="I400" i="51"/>
  <c r="B401" i="51" s="1"/>
  <c r="H400" i="51"/>
  <c r="D400" i="51"/>
  <c r="C400" i="51"/>
  <c r="G400" i="51"/>
  <c r="I399" i="50"/>
  <c r="B400" i="50" s="1"/>
  <c r="H399" i="50"/>
  <c r="G399" i="50"/>
  <c r="D399" i="50"/>
  <c r="C399" i="50"/>
  <c r="H399" i="49"/>
  <c r="G399" i="49"/>
  <c r="D399" i="49"/>
  <c r="C399" i="49"/>
  <c r="I399" i="49"/>
  <c r="B400" i="49" s="1"/>
  <c r="D399" i="48"/>
  <c r="C399" i="48"/>
  <c r="I399" i="48"/>
  <c r="B400" i="48" s="1"/>
  <c r="H399" i="48"/>
  <c r="G399" i="48"/>
  <c r="H399" i="47"/>
  <c r="C399" i="47"/>
  <c r="I399" i="47"/>
  <c r="B400" i="47" s="1"/>
  <c r="G399" i="47"/>
  <c r="D399" i="47"/>
  <c r="C348" i="35"/>
  <c r="I348" i="35"/>
  <c r="B349" i="35" s="1"/>
  <c r="G348" i="35"/>
  <c r="D348" i="35"/>
  <c r="H348" i="35"/>
  <c r="G401" i="55" l="1"/>
  <c r="D401" i="55"/>
  <c r="C401" i="55"/>
  <c r="I401" i="55"/>
  <c r="B402" i="55" s="1"/>
  <c r="H401" i="55"/>
  <c r="C401" i="54"/>
  <c r="I401" i="54"/>
  <c r="B402" i="54" s="1"/>
  <c r="H401" i="54"/>
  <c r="D401" i="54"/>
  <c r="G401" i="54"/>
  <c r="D401" i="53"/>
  <c r="I401" i="53"/>
  <c r="B402" i="53" s="1"/>
  <c r="H401" i="53"/>
  <c r="C401" i="53"/>
  <c r="G401" i="53"/>
  <c r="I401" i="52"/>
  <c r="B402" i="52" s="1"/>
  <c r="H401" i="52"/>
  <c r="G401" i="52"/>
  <c r="D401" i="52"/>
  <c r="C401" i="52"/>
  <c r="C401" i="51"/>
  <c r="I401" i="51"/>
  <c r="B402" i="51" s="1"/>
  <c r="H401" i="51"/>
  <c r="G401" i="51"/>
  <c r="D401" i="51"/>
  <c r="I400" i="50"/>
  <c r="B401" i="50" s="1"/>
  <c r="H400" i="50"/>
  <c r="D400" i="50"/>
  <c r="C400" i="50"/>
  <c r="G400" i="50"/>
  <c r="I400" i="49"/>
  <c r="B401" i="49" s="1"/>
  <c r="H400" i="49"/>
  <c r="G400" i="49"/>
  <c r="D400" i="49"/>
  <c r="C400" i="49"/>
  <c r="H400" i="48"/>
  <c r="G400" i="48"/>
  <c r="D400" i="48"/>
  <c r="C400" i="48"/>
  <c r="I400" i="48"/>
  <c r="B401" i="48" s="1"/>
  <c r="D400" i="47"/>
  <c r="I400" i="47"/>
  <c r="B401" i="47" s="1"/>
  <c r="H400" i="47"/>
  <c r="G400" i="47"/>
  <c r="C400" i="47"/>
  <c r="G349" i="35"/>
  <c r="D349" i="35"/>
  <c r="I349" i="35"/>
  <c r="B350" i="35" s="1"/>
  <c r="C349" i="35"/>
  <c r="H349" i="35"/>
  <c r="I402" i="55" l="1"/>
  <c r="B403" i="55" s="1"/>
  <c r="H402" i="55"/>
  <c r="G402" i="55"/>
  <c r="D402" i="55"/>
  <c r="C402" i="55"/>
  <c r="G402" i="54"/>
  <c r="D402" i="54"/>
  <c r="C402" i="54"/>
  <c r="I402" i="54"/>
  <c r="B403" i="54" s="1"/>
  <c r="H402" i="54"/>
  <c r="H402" i="53"/>
  <c r="D402" i="53"/>
  <c r="C402" i="53"/>
  <c r="I402" i="53"/>
  <c r="B403" i="53" s="1"/>
  <c r="G402" i="53"/>
  <c r="I402" i="52"/>
  <c r="B403" i="52" s="1"/>
  <c r="H402" i="52"/>
  <c r="G402" i="52"/>
  <c r="C402" i="52"/>
  <c r="D402" i="52"/>
  <c r="G402" i="51"/>
  <c r="D402" i="51"/>
  <c r="C402" i="51"/>
  <c r="I402" i="51"/>
  <c r="B403" i="51" s="1"/>
  <c r="H402" i="51"/>
  <c r="D401" i="50"/>
  <c r="C401" i="50"/>
  <c r="H401" i="50"/>
  <c r="G401" i="50"/>
  <c r="I401" i="50"/>
  <c r="B402" i="50" s="1"/>
  <c r="I401" i="49"/>
  <c r="B402" i="49" s="1"/>
  <c r="H401" i="49"/>
  <c r="G401" i="49"/>
  <c r="D401" i="49"/>
  <c r="C401" i="49"/>
  <c r="I401" i="48"/>
  <c r="B402" i="48" s="1"/>
  <c r="H401" i="48"/>
  <c r="G401" i="48"/>
  <c r="D401" i="48"/>
  <c r="C401" i="48"/>
  <c r="H401" i="47"/>
  <c r="I401" i="47"/>
  <c r="B402" i="47" s="1"/>
  <c r="G401" i="47"/>
  <c r="D401" i="47"/>
  <c r="C401" i="47"/>
  <c r="C350" i="35"/>
  <c r="H350" i="35"/>
  <c r="G350" i="35"/>
  <c r="D350" i="35"/>
  <c r="I350" i="35"/>
  <c r="B351" i="35" s="1"/>
  <c r="I403" i="55" l="1"/>
  <c r="B404" i="55" s="1"/>
  <c r="H403" i="55"/>
  <c r="G403" i="55"/>
  <c r="C403" i="55"/>
  <c r="D403" i="55"/>
  <c r="I403" i="54"/>
  <c r="B404" i="54" s="1"/>
  <c r="H403" i="54"/>
  <c r="G403" i="54"/>
  <c r="D403" i="54"/>
  <c r="C403" i="54"/>
  <c r="H403" i="53"/>
  <c r="G403" i="53"/>
  <c r="D403" i="53"/>
  <c r="C403" i="53"/>
  <c r="I403" i="53"/>
  <c r="B404" i="53" s="1"/>
  <c r="C403" i="52"/>
  <c r="I403" i="52"/>
  <c r="B404" i="52" s="1"/>
  <c r="G403" i="52"/>
  <c r="H403" i="52"/>
  <c r="D403" i="52"/>
  <c r="I403" i="51"/>
  <c r="B404" i="51" s="1"/>
  <c r="H403" i="51"/>
  <c r="G403" i="51"/>
  <c r="D403" i="51"/>
  <c r="C403" i="51"/>
  <c r="H402" i="50"/>
  <c r="G402" i="50"/>
  <c r="D402" i="50"/>
  <c r="C402" i="50"/>
  <c r="I402" i="50"/>
  <c r="B403" i="50" s="1"/>
  <c r="D402" i="49"/>
  <c r="C402" i="49"/>
  <c r="I402" i="49"/>
  <c r="B403" i="49" s="1"/>
  <c r="H402" i="49"/>
  <c r="G402" i="49"/>
  <c r="I402" i="48"/>
  <c r="B403" i="48" s="1"/>
  <c r="H402" i="48"/>
  <c r="G402" i="48"/>
  <c r="D402" i="48"/>
  <c r="C402" i="48"/>
  <c r="D402" i="47"/>
  <c r="H402" i="47"/>
  <c r="G402" i="47"/>
  <c r="C402" i="47"/>
  <c r="I402" i="47"/>
  <c r="B403" i="47" s="1"/>
  <c r="C351" i="35"/>
  <c r="G351" i="35"/>
  <c r="H351" i="35"/>
  <c r="D351" i="35"/>
  <c r="I351" i="35"/>
  <c r="B352" i="35" s="1"/>
  <c r="C404" i="55" l="1"/>
  <c r="I404" i="55"/>
  <c r="B405" i="55" s="1"/>
  <c r="G404" i="55"/>
  <c r="D404" i="55"/>
  <c r="H404" i="55"/>
  <c r="I404" i="54"/>
  <c r="B405" i="54" s="1"/>
  <c r="H404" i="54"/>
  <c r="G404" i="54"/>
  <c r="D404" i="54"/>
  <c r="C404" i="54"/>
  <c r="I404" i="53"/>
  <c r="B405" i="53" s="1"/>
  <c r="H404" i="53"/>
  <c r="G404" i="53"/>
  <c r="D404" i="53"/>
  <c r="C404" i="53"/>
  <c r="G404" i="52"/>
  <c r="D404" i="52"/>
  <c r="C404" i="52"/>
  <c r="I404" i="52"/>
  <c r="B405" i="52" s="1"/>
  <c r="H404" i="52"/>
  <c r="I404" i="51"/>
  <c r="B405" i="51" s="1"/>
  <c r="H404" i="51"/>
  <c r="G404" i="51"/>
  <c r="D404" i="51"/>
  <c r="C404" i="51"/>
  <c r="I403" i="50"/>
  <c r="B404" i="50" s="1"/>
  <c r="H403" i="50"/>
  <c r="G403" i="50"/>
  <c r="D403" i="50"/>
  <c r="C403" i="50"/>
  <c r="H403" i="49"/>
  <c r="G403" i="49"/>
  <c r="D403" i="49"/>
  <c r="C403" i="49"/>
  <c r="I403" i="49"/>
  <c r="B404" i="49" s="1"/>
  <c r="D403" i="48"/>
  <c r="C403" i="48"/>
  <c r="I403" i="48"/>
  <c r="B404" i="48" s="1"/>
  <c r="H403" i="48"/>
  <c r="G403" i="48"/>
  <c r="H403" i="47"/>
  <c r="G403" i="47"/>
  <c r="I403" i="47"/>
  <c r="B404" i="47" s="1"/>
  <c r="D403" i="47"/>
  <c r="C403" i="47"/>
  <c r="I352" i="35"/>
  <c r="B353" i="35" s="1"/>
  <c r="C352" i="35"/>
  <c r="H352" i="35"/>
  <c r="D352" i="35"/>
  <c r="G352" i="35"/>
  <c r="G405" i="55" l="1"/>
  <c r="D405" i="55"/>
  <c r="C405" i="55"/>
  <c r="I405" i="55"/>
  <c r="B406" i="55" s="1"/>
  <c r="H405" i="55"/>
  <c r="C405" i="54"/>
  <c r="I405" i="54"/>
  <c r="B406" i="54" s="1"/>
  <c r="H405" i="54"/>
  <c r="G405" i="54"/>
  <c r="D405" i="54"/>
  <c r="D405" i="53"/>
  <c r="I405" i="53"/>
  <c r="B406" i="53" s="1"/>
  <c r="H405" i="53"/>
  <c r="G405" i="53"/>
  <c r="C405" i="53"/>
  <c r="I405" i="52"/>
  <c r="B406" i="52" s="1"/>
  <c r="H405" i="52"/>
  <c r="G405" i="52"/>
  <c r="D405" i="52"/>
  <c r="C405" i="52"/>
  <c r="C405" i="51"/>
  <c r="H405" i="51"/>
  <c r="G405" i="51"/>
  <c r="D405" i="51"/>
  <c r="I405" i="51"/>
  <c r="B406" i="51" s="1"/>
  <c r="I404" i="50"/>
  <c r="B405" i="50" s="1"/>
  <c r="H404" i="50"/>
  <c r="D404" i="50"/>
  <c r="C404" i="50"/>
  <c r="G404" i="50"/>
  <c r="I404" i="49"/>
  <c r="B405" i="49" s="1"/>
  <c r="H404" i="49"/>
  <c r="G404" i="49"/>
  <c r="D404" i="49"/>
  <c r="C404" i="49"/>
  <c r="H404" i="48"/>
  <c r="G404" i="48"/>
  <c r="D404" i="48"/>
  <c r="C404" i="48"/>
  <c r="I404" i="48"/>
  <c r="B405" i="48" s="1"/>
  <c r="D404" i="47"/>
  <c r="G404" i="47"/>
  <c r="C404" i="47"/>
  <c r="I404" i="47"/>
  <c r="B405" i="47" s="1"/>
  <c r="H404" i="47"/>
  <c r="G353" i="35"/>
  <c r="D353" i="35"/>
  <c r="I353" i="35"/>
  <c r="B354" i="35" s="1"/>
  <c r="H353" i="35"/>
  <c r="C353" i="35"/>
  <c r="I406" i="55" l="1"/>
  <c r="B407" i="55" s="1"/>
  <c r="H406" i="55"/>
  <c r="G406" i="55"/>
  <c r="D406" i="55"/>
  <c r="C406" i="55"/>
  <c r="G406" i="54"/>
  <c r="D406" i="54"/>
  <c r="C406" i="54"/>
  <c r="I406" i="54"/>
  <c r="B407" i="54" s="1"/>
  <c r="H406" i="54"/>
  <c r="H406" i="53"/>
  <c r="D406" i="53"/>
  <c r="C406" i="53"/>
  <c r="I406" i="53"/>
  <c r="B407" i="53" s="1"/>
  <c r="G406" i="53"/>
  <c r="I406" i="52"/>
  <c r="B407" i="52" s="1"/>
  <c r="H406" i="52"/>
  <c r="G406" i="52"/>
  <c r="C406" i="52"/>
  <c r="D406" i="52"/>
  <c r="G406" i="51"/>
  <c r="D406" i="51"/>
  <c r="C406" i="51"/>
  <c r="I406" i="51"/>
  <c r="B407" i="51" s="1"/>
  <c r="H406" i="51"/>
  <c r="D405" i="50"/>
  <c r="C405" i="50"/>
  <c r="H405" i="50"/>
  <c r="G405" i="50"/>
  <c r="I405" i="50"/>
  <c r="B406" i="50" s="1"/>
  <c r="I405" i="49"/>
  <c r="B406" i="49" s="1"/>
  <c r="H405" i="49"/>
  <c r="G405" i="49"/>
  <c r="D405" i="49"/>
  <c r="C405" i="49"/>
  <c r="I405" i="48"/>
  <c r="B406" i="48" s="1"/>
  <c r="H405" i="48"/>
  <c r="G405" i="48"/>
  <c r="D405" i="48"/>
  <c r="C405" i="48"/>
  <c r="H405" i="47"/>
  <c r="I405" i="47"/>
  <c r="B406" i="47" s="1"/>
  <c r="D405" i="47"/>
  <c r="G405" i="47"/>
  <c r="C405" i="47"/>
  <c r="H354" i="35"/>
  <c r="C354" i="35"/>
  <c r="D354" i="35"/>
  <c r="G354" i="35"/>
  <c r="I354" i="35"/>
  <c r="B355" i="35" s="1"/>
  <c r="I407" i="55" l="1"/>
  <c r="B408" i="55" s="1"/>
  <c r="H407" i="55"/>
  <c r="G407" i="55"/>
  <c r="C407" i="55"/>
  <c r="D407" i="55"/>
  <c r="I407" i="54"/>
  <c r="B408" i="54" s="1"/>
  <c r="H407" i="54"/>
  <c r="G407" i="54"/>
  <c r="D407" i="54"/>
  <c r="C407" i="54"/>
  <c r="H407" i="53"/>
  <c r="G407" i="53"/>
  <c r="D407" i="53"/>
  <c r="C407" i="53"/>
  <c r="I407" i="53"/>
  <c r="B408" i="53" s="1"/>
  <c r="C407" i="52"/>
  <c r="I407" i="52"/>
  <c r="B408" i="52" s="1"/>
  <c r="G407" i="52"/>
  <c r="H407" i="52"/>
  <c r="D407" i="52"/>
  <c r="I407" i="51"/>
  <c r="B408" i="51" s="1"/>
  <c r="H407" i="51"/>
  <c r="G407" i="51"/>
  <c r="D407" i="51"/>
  <c r="C407" i="51"/>
  <c r="H406" i="50"/>
  <c r="G406" i="50"/>
  <c r="D406" i="50"/>
  <c r="C406" i="50"/>
  <c r="I406" i="50"/>
  <c r="B407" i="50" s="1"/>
  <c r="D406" i="49"/>
  <c r="C406" i="49"/>
  <c r="I406" i="49"/>
  <c r="B407" i="49" s="1"/>
  <c r="H406" i="49"/>
  <c r="G406" i="49"/>
  <c r="I406" i="48"/>
  <c r="B407" i="48" s="1"/>
  <c r="H406" i="48"/>
  <c r="G406" i="48"/>
  <c r="D406" i="48"/>
  <c r="C406" i="48"/>
  <c r="D406" i="47"/>
  <c r="C406" i="47"/>
  <c r="I406" i="47"/>
  <c r="B407" i="47" s="1"/>
  <c r="H406" i="47"/>
  <c r="G406" i="47"/>
  <c r="C355" i="35"/>
  <c r="G355" i="35"/>
  <c r="H355" i="35"/>
  <c r="D355" i="35"/>
  <c r="I355" i="35"/>
  <c r="B356" i="35" s="1"/>
  <c r="C408" i="55" l="1"/>
  <c r="I408" i="55"/>
  <c r="B409" i="55" s="1"/>
  <c r="G408" i="55"/>
  <c r="D408" i="55"/>
  <c r="H408" i="55"/>
  <c r="I408" i="54"/>
  <c r="B409" i="54" s="1"/>
  <c r="H408" i="54"/>
  <c r="G408" i="54"/>
  <c r="D408" i="54"/>
  <c r="C408" i="54"/>
  <c r="I408" i="53"/>
  <c r="B409" i="53" s="1"/>
  <c r="H408" i="53"/>
  <c r="G408" i="53"/>
  <c r="C408" i="53"/>
  <c r="D408" i="53"/>
  <c r="G408" i="52"/>
  <c r="D408" i="52"/>
  <c r="C408" i="52"/>
  <c r="I408" i="52"/>
  <c r="B409" i="52" s="1"/>
  <c r="H408" i="52"/>
  <c r="I408" i="51"/>
  <c r="B409" i="51" s="1"/>
  <c r="H408" i="51"/>
  <c r="D408" i="51"/>
  <c r="C408" i="51"/>
  <c r="G408" i="51"/>
  <c r="I407" i="50"/>
  <c r="B408" i="50" s="1"/>
  <c r="H407" i="50"/>
  <c r="G407" i="50"/>
  <c r="D407" i="50"/>
  <c r="C407" i="50"/>
  <c r="H407" i="49"/>
  <c r="G407" i="49"/>
  <c r="D407" i="49"/>
  <c r="C407" i="49"/>
  <c r="I407" i="49"/>
  <c r="B408" i="49" s="1"/>
  <c r="D407" i="48"/>
  <c r="C407" i="48"/>
  <c r="I407" i="48"/>
  <c r="B408" i="48" s="1"/>
  <c r="H407" i="48"/>
  <c r="G407" i="48"/>
  <c r="H407" i="47"/>
  <c r="I407" i="47"/>
  <c r="B408" i="47" s="1"/>
  <c r="G407" i="47"/>
  <c r="C407" i="47"/>
  <c r="D407" i="47"/>
  <c r="I356" i="35"/>
  <c r="B357" i="35" s="1"/>
  <c r="C356" i="35"/>
  <c r="G356" i="35"/>
  <c r="D356" i="35"/>
  <c r="H356" i="35"/>
  <c r="G409" i="55" l="1"/>
  <c r="D409" i="55"/>
  <c r="C409" i="55"/>
  <c r="I409" i="55"/>
  <c r="B410" i="55" s="1"/>
  <c r="H409" i="55"/>
  <c r="C409" i="54"/>
  <c r="I409" i="54"/>
  <c r="B410" i="54" s="1"/>
  <c r="H409" i="54"/>
  <c r="G409" i="54"/>
  <c r="D409" i="54"/>
  <c r="D409" i="53"/>
  <c r="I409" i="53"/>
  <c r="B410" i="53" s="1"/>
  <c r="H409" i="53"/>
  <c r="G409" i="53"/>
  <c r="C409" i="53"/>
  <c r="I409" i="52"/>
  <c r="B410" i="52" s="1"/>
  <c r="H409" i="52"/>
  <c r="G409" i="52"/>
  <c r="D409" i="52"/>
  <c r="C409" i="52"/>
  <c r="C409" i="51"/>
  <c r="I409" i="51"/>
  <c r="B410" i="51" s="1"/>
  <c r="H409" i="51"/>
  <c r="G409" i="51"/>
  <c r="D409" i="51"/>
  <c r="I408" i="50"/>
  <c r="B409" i="50" s="1"/>
  <c r="H408" i="50"/>
  <c r="D408" i="50"/>
  <c r="C408" i="50"/>
  <c r="G408" i="50"/>
  <c r="I408" i="49"/>
  <c r="B409" i="49" s="1"/>
  <c r="H408" i="49"/>
  <c r="G408" i="49"/>
  <c r="D408" i="49"/>
  <c r="C408" i="49"/>
  <c r="H408" i="48"/>
  <c r="G408" i="48"/>
  <c r="D408" i="48"/>
  <c r="C408" i="48"/>
  <c r="I408" i="48"/>
  <c r="B409" i="48" s="1"/>
  <c r="D408" i="47"/>
  <c r="I408" i="47"/>
  <c r="B409" i="47" s="1"/>
  <c r="H408" i="47"/>
  <c r="G408" i="47"/>
  <c r="C408" i="47"/>
  <c r="D357" i="35"/>
  <c r="G357" i="35"/>
  <c r="I357" i="35"/>
  <c r="B358" i="35" s="1"/>
  <c r="H357" i="35"/>
  <c r="C357" i="35"/>
  <c r="I410" i="55" l="1"/>
  <c r="B411" i="55" s="1"/>
  <c r="H410" i="55"/>
  <c r="G410" i="55"/>
  <c r="D410" i="55"/>
  <c r="C410" i="55"/>
  <c r="G410" i="54"/>
  <c r="D410" i="54"/>
  <c r="C410" i="54"/>
  <c r="I410" i="54"/>
  <c r="B411" i="54" s="1"/>
  <c r="H410" i="54"/>
  <c r="H410" i="53"/>
  <c r="D410" i="53"/>
  <c r="C410" i="53"/>
  <c r="I410" i="53"/>
  <c r="B411" i="53" s="1"/>
  <c r="G410" i="53"/>
  <c r="I410" i="52"/>
  <c r="B411" i="52" s="1"/>
  <c r="H410" i="52"/>
  <c r="G410" i="52"/>
  <c r="C410" i="52"/>
  <c r="D410" i="52"/>
  <c r="G410" i="51"/>
  <c r="D410" i="51"/>
  <c r="C410" i="51"/>
  <c r="I410" i="51"/>
  <c r="B411" i="51" s="1"/>
  <c r="H410" i="51"/>
  <c r="D409" i="50"/>
  <c r="C409" i="50"/>
  <c r="H409" i="50"/>
  <c r="G409" i="50"/>
  <c r="I409" i="50"/>
  <c r="B410" i="50" s="1"/>
  <c r="I409" i="49"/>
  <c r="B410" i="49" s="1"/>
  <c r="H409" i="49"/>
  <c r="G409" i="49"/>
  <c r="D409" i="49"/>
  <c r="C409" i="49"/>
  <c r="I409" i="48"/>
  <c r="B410" i="48" s="1"/>
  <c r="H409" i="48"/>
  <c r="G409" i="48"/>
  <c r="D409" i="48"/>
  <c r="C409" i="48"/>
  <c r="H409" i="47"/>
  <c r="I409" i="47"/>
  <c r="B410" i="47" s="1"/>
  <c r="G409" i="47"/>
  <c r="D409" i="47"/>
  <c r="C409" i="47"/>
  <c r="C358" i="35"/>
  <c r="I358" i="35"/>
  <c r="B359" i="35" s="1"/>
  <c r="D358" i="35"/>
  <c r="G358" i="35"/>
  <c r="H358" i="35"/>
  <c r="I411" i="55" l="1"/>
  <c r="B412" i="55" s="1"/>
  <c r="H411" i="55"/>
  <c r="G411" i="55"/>
  <c r="C411" i="55"/>
  <c r="D411" i="55"/>
  <c r="I411" i="54"/>
  <c r="B412" i="54" s="1"/>
  <c r="H411" i="54"/>
  <c r="G411" i="54"/>
  <c r="D411" i="54"/>
  <c r="C411" i="54"/>
  <c r="H411" i="53"/>
  <c r="G411" i="53"/>
  <c r="D411" i="53"/>
  <c r="C411" i="53"/>
  <c r="I411" i="53"/>
  <c r="B412" i="53" s="1"/>
  <c r="C411" i="52"/>
  <c r="I411" i="52"/>
  <c r="B412" i="52" s="1"/>
  <c r="G411" i="52"/>
  <c r="H411" i="52"/>
  <c r="D411" i="52"/>
  <c r="I411" i="51"/>
  <c r="B412" i="51" s="1"/>
  <c r="H411" i="51"/>
  <c r="G411" i="51"/>
  <c r="D411" i="51"/>
  <c r="C411" i="51"/>
  <c r="H410" i="50"/>
  <c r="G410" i="50"/>
  <c r="D410" i="50"/>
  <c r="C410" i="50"/>
  <c r="I410" i="50"/>
  <c r="B411" i="50" s="1"/>
  <c r="D410" i="49"/>
  <c r="C410" i="49"/>
  <c r="I410" i="49"/>
  <c r="B411" i="49" s="1"/>
  <c r="H410" i="49"/>
  <c r="G410" i="49"/>
  <c r="I410" i="48"/>
  <c r="B411" i="48" s="1"/>
  <c r="H410" i="48"/>
  <c r="G410" i="48"/>
  <c r="D410" i="48"/>
  <c r="C410" i="48"/>
  <c r="D410" i="47"/>
  <c r="H410" i="47"/>
  <c r="I410" i="47"/>
  <c r="B411" i="47" s="1"/>
  <c r="G410" i="47"/>
  <c r="C410" i="47"/>
  <c r="C359" i="35"/>
  <c r="G359" i="35"/>
  <c r="H359" i="35"/>
  <c r="D359" i="35"/>
  <c r="I359" i="35"/>
  <c r="B360" i="35" s="1"/>
  <c r="C412" i="55" l="1"/>
  <c r="I412" i="55"/>
  <c r="B413" i="55" s="1"/>
  <c r="G412" i="55"/>
  <c r="D412" i="55"/>
  <c r="H412" i="55"/>
  <c r="I412" i="54"/>
  <c r="B413" i="54" s="1"/>
  <c r="H412" i="54"/>
  <c r="G412" i="54"/>
  <c r="D412" i="54"/>
  <c r="C412" i="54"/>
  <c r="I412" i="53"/>
  <c r="B413" i="53" s="1"/>
  <c r="H412" i="53"/>
  <c r="G412" i="53"/>
  <c r="D412" i="53"/>
  <c r="C412" i="53"/>
  <c r="G412" i="52"/>
  <c r="D412" i="52"/>
  <c r="C412" i="52"/>
  <c r="I412" i="52"/>
  <c r="B413" i="52" s="1"/>
  <c r="H412" i="52"/>
  <c r="I412" i="51"/>
  <c r="B413" i="51" s="1"/>
  <c r="H412" i="51"/>
  <c r="G412" i="51"/>
  <c r="D412" i="51"/>
  <c r="C412" i="51"/>
  <c r="I411" i="50"/>
  <c r="B412" i="50" s="1"/>
  <c r="H411" i="50"/>
  <c r="G411" i="50"/>
  <c r="D411" i="50"/>
  <c r="C411" i="50"/>
  <c r="H411" i="49"/>
  <c r="G411" i="49"/>
  <c r="D411" i="49"/>
  <c r="C411" i="49"/>
  <c r="I411" i="49"/>
  <c r="B412" i="49" s="1"/>
  <c r="D411" i="48"/>
  <c r="C411" i="48"/>
  <c r="I411" i="48"/>
  <c r="B412" i="48" s="1"/>
  <c r="H411" i="48"/>
  <c r="G411" i="48"/>
  <c r="H411" i="47"/>
  <c r="G411" i="47"/>
  <c r="D411" i="47"/>
  <c r="C411" i="47"/>
  <c r="I411" i="47"/>
  <c r="B412" i="47" s="1"/>
  <c r="I360" i="35"/>
  <c r="B361" i="35" s="1"/>
  <c r="C360" i="35"/>
  <c r="H360" i="35"/>
  <c r="G360" i="35"/>
  <c r="D360" i="35"/>
  <c r="G413" i="55" l="1"/>
  <c r="D413" i="55"/>
  <c r="C413" i="55"/>
  <c r="I413" i="55"/>
  <c r="B414" i="55" s="1"/>
  <c r="H413" i="55"/>
  <c r="C413" i="54"/>
  <c r="I413" i="54"/>
  <c r="B414" i="54" s="1"/>
  <c r="H413" i="54"/>
  <c r="G413" i="54"/>
  <c r="D413" i="54"/>
  <c r="D413" i="53"/>
  <c r="I413" i="53"/>
  <c r="B414" i="53" s="1"/>
  <c r="H413" i="53"/>
  <c r="G413" i="53"/>
  <c r="C413" i="53"/>
  <c r="I413" i="52"/>
  <c r="B414" i="52" s="1"/>
  <c r="H413" i="52"/>
  <c r="G413" i="52"/>
  <c r="D413" i="52"/>
  <c r="C413" i="52"/>
  <c r="C413" i="51"/>
  <c r="H413" i="51"/>
  <c r="G413" i="51"/>
  <c r="D413" i="51"/>
  <c r="I413" i="51"/>
  <c r="B414" i="51" s="1"/>
  <c r="I412" i="50"/>
  <c r="B413" i="50" s="1"/>
  <c r="H412" i="50"/>
  <c r="D412" i="50"/>
  <c r="C412" i="50"/>
  <c r="G412" i="50"/>
  <c r="I412" i="49"/>
  <c r="B413" i="49" s="1"/>
  <c r="H412" i="49"/>
  <c r="G412" i="49"/>
  <c r="D412" i="49"/>
  <c r="C412" i="49"/>
  <c r="H412" i="48"/>
  <c r="G412" i="48"/>
  <c r="D412" i="48"/>
  <c r="C412" i="48"/>
  <c r="I412" i="48"/>
  <c r="B413" i="48" s="1"/>
  <c r="D412" i="47"/>
  <c r="I412" i="47"/>
  <c r="B413" i="47" s="1"/>
  <c r="G412" i="47"/>
  <c r="H412" i="47"/>
  <c r="C412" i="47"/>
  <c r="G361" i="35"/>
  <c r="I361" i="35"/>
  <c r="B362" i="35" s="1"/>
  <c r="D361" i="35"/>
  <c r="C361" i="35"/>
  <c r="H361" i="35"/>
  <c r="I414" i="55" l="1"/>
  <c r="B415" i="55" s="1"/>
  <c r="H414" i="55"/>
  <c r="G414" i="55"/>
  <c r="D414" i="55"/>
  <c r="C414" i="55"/>
  <c r="G414" i="54"/>
  <c r="D414" i="54"/>
  <c r="C414" i="54"/>
  <c r="I414" i="54"/>
  <c r="B415" i="54" s="1"/>
  <c r="H414" i="54"/>
  <c r="H414" i="53"/>
  <c r="D414" i="53"/>
  <c r="C414" i="53"/>
  <c r="G414" i="53"/>
  <c r="I414" i="53"/>
  <c r="B415" i="53" s="1"/>
  <c r="I414" i="52"/>
  <c r="B415" i="52" s="1"/>
  <c r="H414" i="52"/>
  <c r="G414" i="52"/>
  <c r="C414" i="52"/>
  <c r="D414" i="52"/>
  <c r="G414" i="51"/>
  <c r="D414" i="51"/>
  <c r="C414" i="51"/>
  <c r="I414" i="51"/>
  <c r="B415" i="51" s="1"/>
  <c r="H414" i="51"/>
  <c r="D413" i="50"/>
  <c r="C413" i="50"/>
  <c r="H413" i="50"/>
  <c r="G413" i="50"/>
  <c r="I413" i="50"/>
  <c r="B414" i="50" s="1"/>
  <c r="I413" i="49"/>
  <c r="B414" i="49" s="1"/>
  <c r="H413" i="49"/>
  <c r="G413" i="49"/>
  <c r="D413" i="49"/>
  <c r="C413" i="49"/>
  <c r="I413" i="48"/>
  <c r="B414" i="48" s="1"/>
  <c r="H413" i="48"/>
  <c r="G413" i="48"/>
  <c r="D413" i="48"/>
  <c r="C413" i="48"/>
  <c r="H413" i="47"/>
  <c r="D413" i="47"/>
  <c r="C413" i="47"/>
  <c r="I413" i="47"/>
  <c r="B414" i="47" s="1"/>
  <c r="G413" i="47"/>
  <c r="I362" i="35"/>
  <c r="B363" i="35" s="1"/>
  <c r="C362" i="35"/>
  <c r="H362" i="35"/>
  <c r="G362" i="35"/>
  <c r="D362" i="35"/>
  <c r="I415" i="55" l="1"/>
  <c r="B416" i="55" s="1"/>
  <c r="H415" i="55"/>
  <c r="G415" i="55"/>
  <c r="C415" i="55"/>
  <c r="D415" i="55"/>
  <c r="I415" i="54"/>
  <c r="B416" i="54" s="1"/>
  <c r="H415" i="54"/>
  <c r="G415" i="54"/>
  <c r="D415" i="54"/>
  <c r="C415" i="54"/>
  <c r="H415" i="53"/>
  <c r="G415" i="53"/>
  <c r="D415" i="53"/>
  <c r="C415" i="53"/>
  <c r="I415" i="53"/>
  <c r="B416" i="53" s="1"/>
  <c r="C415" i="52"/>
  <c r="I415" i="52"/>
  <c r="B416" i="52" s="1"/>
  <c r="G415" i="52"/>
  <c r="H415" i="52"/>
  <c r="D415" i="52"/>
  <c r="I415" i="51"/>
  <c r="B416" i="51" s="1"/>
  <c r="H415" i="51"/>
  <c r="G415" i="51"/>
  <c r="D415" i="51"/>
  <c r="C415" i="51"/>
  <c r="H414" i="50"/>
  <c r="G414" i="50"/>
  <c r="D414" i="50"/>
  <c r="C414" i="50"/>
  <c r="I414" i="50"/>
  <c r="B415" i="50" s="1"/>
  <c r="D414" i="49"/>
  <c r="C414" i="49"/>
  <c r="I414" i="49"/>
  <c r="B415" i="49" s="1"/>
  <c r="H414" i="49"/>
  <c r="G414" i="49"/>
  <c r="I414" i="48"/>
  <c r="B415" i="48" s="1"/>
  <c r="H414" i="48"/>
  <c r="G414" i="48"/>
  <c r="D414" i="48"/>
  <c r="C414" i="48"/>
  <c r="D414" i="47"/>
  <c r="I414" i="47"/>
  <c r="B415" i="47" s="1"/>
  <c r="H414" i="47"/>
  <c r="C414" i="47"/>
  <c r="G414" i="47"/>
  <c r="C363" i="35"/>
  <c r="G363" i="35"/>
  <c r="I363" i="35"/>
  <c r="B364" i="35" s="1"/>
  <c r="D363" i="35"/>
  <c r="H363" i="35"/>
  <c r="C416" i="55" l="1"/>
  <c r="I416" i="55"/>
  <c r="B417" i="55" s="1"/>
  <c r="G416" i="55"/>
  <c r="D416" i="55"/>
  <c r="H416" i="55"/>
  <c r="I416" i="54"/>
  <c r="B417" i="54" s="1"/>
  <c r="H416" i="54"/>
  <c r="G416" i="54"/>
  <c r="D416" i="54"/>
  <c r="C416" i="54"/>
  <c r="I416" i="53"/>
  <c r="B417" i="53" s="1"/>
  <c r="H416" i="53"/>
  <c r="G416" i="53"/>
  <c r="D416" i="53"/>
  <c r="C416" i="53"/>
  <c r="G416" i="52"/>
  <c r="D416" i="52"/>
  <c r="C416" i="52"/>
  <c r="I416" i="52"/>
  <c r="B417" i="52" s="1"/>
  <c r="H416" i="52"/>
  <c r="I416" i="51"/>
  <c r="B417" i="51" s="1"/>
  <c r="H416" i="51"/>
  <c r="D416" i="51"/>
  <c r="C416" i="51"/>
  <c r="G416" i="51"/>
  <c r="I415" i="50"/>
  <c r="B416" i="50" s="1"/>
  <c r="H415" i="50"/>
  <c r="G415" i="50"/>
  <c r="D415" i="50"/>
  <c r="C415" i="50"/>
  <c r="H415" i="49"/>
  <c r="G415" i="49"/>
  <c r="D415" i="49"/>
  <c r="C415" i="49"/>
  <c r="I415" i="49"/>
  <c r="B416" i="49" s="1"/>
  <c r="D415" i="48"/>
  <c r="C415" i="48"/>
  <c r="I415" i="48"/>
  <c r="B416" i="48" s="1"/>
  <c r="H415" i="48"/>
  <c r="G415" i="48"/>
  <c r="H415" i="47"/>
  <c r="C415" i="47"/>
  <c r="I415" i="47"/>
  <c r="B416" i="47" s="1"/>
  <c r="G415" i="47"/>
  <c r="D415" i="47"/>
  <c r="C364" i="35"/>
  <c r="I364" i="35"/>
  <c r="B365" i="35" s="1"/>
  <c r="H364" i="35"/>
  <c r="D364" i="35"/>
  <c r="G364" i="35"/>
  <c r="G417" i="55" l="1"/>
  <c r="D417" i="55"/>
  <c r="C417" i="55"/>
  <c r="I417" i="55"/>
  <c r="B418" i="55" s="1"/>
  <c r="H417" i="55"/>
  <c r="C417" i="54"/>
  <c r="I417" i="54"/>
  <c r="B418" i="54" s="1"/>
  <c r="H417" i="54"/>
  <c r="G417" i="54"/>
  <c r="D417" i="54"/>
  <c r="D417" i="53"/>
  <c r="I417" i="53"/>
  <c r="B418" i="53" s="1"/>
  <c r="H417" i="53"/>
  <c r="G417" i="53"/>
  <c r="C417" i="53"/>
  <c r="I417" i="52"/>
  <c r="B418" i="52" s="1"/>
  <c r="H417" i="52"/>
  <c r="G417" i="52"/>
  <c r="D417" i="52"/>
  <c r="C417" i="52"/>
  <c r="C417" i="51"/>
  <c r="I417" i="51"/>
  <c r="B418" i="51" s="1"/>
  <c r="H417" i="51"/>
  <c r="G417" i="51"/>
  <c r="D417" i="51"/>
  <c r="I416" i="50"/>
  <c r="B417" i="50" s="1"/>
  <c r="H416" i="50"/>
  <c r="D416" i="50"/>
  <c r="C416" i="50"/>
  <c r="G416" i="50"/>
  <c r="I416" i="49"/>
  <c r="B417" i="49" s="1"/>
  <c r="H416" i="49"/>
  <c r="G416" i="49"/>
  <c r="D416" i="49"/>
  <c r="C416" i="49"/>
  <c r="H416" i="48"/>
  <c r="G416" i="48"/>
  <c r="D416" i="48"/>
  <c r="C416" i="48"/>
  <c r="I416" i="48"/>
  <c r="B417" i="48" s="1"/>
  <c r="D416" i="47"/>
  <c r="I416" i="47"/>
  <c r="B417" i="47" s="1"/>
  <c r="H416" i="47"/>
  <c r="G416" i="47"/>
  <c r="C416" i="47"/>
  <c r="G365" i="35"/>
  <c r="D365" i="35"/>
  <c r="H365" i="35"/>
  <c r="I365" i="35"/>
  <c r="B366" i="35" s="1"/>
  <c r="C365" i="35"/>
  <c r="I418" i="55" l="1"/>
  <c r="B419" i="55" s="1"/>
  <c r="H418" i="55"/>
  <c r="G418" i="55"/>
  <c r="D418" i="55"/>
  <c r="C418" i="55"/>
  <c r="G418" i="54"/>
  <c r="D418" i="54"/>
  <c r="C418" i="54"/>
  <c r="I418" i="54"/>
  <c r="B419" i="54" s="1"/>
  <c r="H418" i="54"/>
  <c r="H418" i="53"/>
  <c r="D418" i="53"/>
  <c r="C418" i="53"/>
  <c r="I418" i="53"/>
  <c r="B419" i="53" s="1"/>
  <c r="G418" i="53"/>
  <c r="I418" i="52"/>
  <c r="B419" i="52" s="1"/>
  <c r="H418" i="52"/>
  <c r="G418" i="52"/>
  <c r="C418" i="52"/>
  <c r="D418" i="52"/>
  <c r="G418" i="51"/>
  <c r="D418" i="51"/>
  <c r="C418" i="51"/>
  <c r="I418" i="51"/>
  <c r="B419" i="51" s="1"/>
  <c r="H418" i="51"/>
  <c r="D417" i="50"/>
  <c r="C417" i="50"/>
  <c r="H417" i="50"/>
  <c r="G417" i="50"/>
  <c r="I417" i="50"/>
  <c r="B418" i="50" s="1"/>
  <c r="I417" i="49"/>
  <c r="B418" i="49" s="1"/>
  <c r="H417" i="49"/>
  <c r="G417" i="49"/>
  <c r="D417" i="49"/>
  <c r="C417" i="49"/>
  <c r="I417" i="48"/>
  <c r="B418" i="48" s="1"/>
  <c r="H417" i="48"/>
  <c r="G417" i="48"/>
  <c r="D417" i="48"/>
  <c r="C417" i="48"/>
  <c r="H417" i="47"/>
  <c r="I417" i="47"/>
  <c r="B418" i="47" s="1"/>
  <c r="G417" i="47"/>
  <c r="D417" i="47"/>
  <c r="C417" i="47"/>
  <c r="H366" i="35"/>
  <c r="C366" i="35"/>
  <c r="G366" i="35"/>
  <c r="I366" i="35"/>
  <c r="B367" i="35" s="1"/>
  <c r="D366" i="35"/>
  <c r="I419" i="55" l="1"/>
  <c r="B420" i="55" s="1"/>
  <c r="H419" i="55"/>
  <c r="G419" i="55"/>
  <c r="C419" i="55"/>
  <c r="D419" i="55"/>
  <c r="I419" i="54"/>
  <c r="B420" i="54" s="1"/>
  <c r="H419" i="54"/>
  <c r="G419" i="54"/>
  <c r="D419" i="54"/>
  <c r="C419" i="54"/>
  <c r="H419" i="53"/>
  <c r="G419" i="53"/>
  <c r="D419" i="53"/>
  <c r="C419" i="53"/>
  <c r="I419" i="53"/>
  <c r="B420" i="53" s="1"/>
  <c r="C419" i="52"/>
  <c r="I419" i="52"/>
  <c r="B420" i="52" s="1"/>
  <c r="G419" i="52"/>
  <c r="H419" i="52"/>
  <c r="D419" i="52"/>
  <c r="I419" i="51"/>
  <c r="B420" i="51" s="1"/>
  <c r="H419" i="51"/>
  <c r="G419" i="51"/>
  <c r="D419" i="51"/>
  <c r="C419" i="51"/>
  <c r="H418" i="50"/>
  <c r="G418" i="50"/>
  <c r="D418" i="50"/>
  <c r="C418" i="50"/>
  <c r="I418" i="50"/>
  <c r="B419" i="50" s="1"/>
  <c r="D418" i="49"/>
  <c r="C418" i="49"/>
  <c r="I418" i="49"/>
  <c r="B419" i="49" s="1"/>
  <c r="H418" i="49"/>
  <c r="G418" i="49"/>
  <c r="I418" i="48"/>
  <c r="B419" i="48" s="1"/>
  <c r="H418" i="48"/>
  <c r="G418" i="48"/>
  <c r="D418" i="48"/>
  <c r="C418" i="48"/>
  <c r="D418" i="47"/>
  <c r="H418" i="47"/>
  <c r="G418" i="47"/>
  <c r="C418" i="47"/>
  <c r="I418" i="47"/>
  <c r="B419" i="47" s="1"/>
  <c r="C367" i="35"/>
  <c r="G367" i="35"/>
  <c r="D367" i="35"/>
  <c r="H367" i="35"/>
  <c r="I367" i="35"/>
  <c r="B368" i="35" s="1"/>
  <c r="C420" i="55" l="1"/>
  <c r="I420" i="55"/>
  <c r="B421" i="55" s="1"/>
  <c r="G420" i="55"/>
  <c r="D420" i="55"/>
  <c r="H420" i="55"/>
  <c r="I420" i="54"/>
  <c r="B421" i="54" s="1"/>
  <c r="H420" i="54"/>
  <c r="G420" i="54"/>
  <c r="D420" i="54"/>
  <c r="C420" i="54"/>
  <c r="I420" i="53"/>
  <c r="B421" i="53" s="1"/>
  <c r="H420" i="53"/>
  <c r="G420" i="53"/>
  <c r="D420" i="53"/>
  <c r="C420" i="53"/>
  <c r="G420" i="52"/>
  <c r="D420" i="52"/>
  <c r="C420" i="52"/>
  <c r="I420" i="52"/>
  <c r="B421" i="52" s="1"/>
  <c r="H420" i="52"/>
  <c r="I420" i="51"/>
  <c r="B421" i="51" s="1"/>
  <c r="H420" i="51"/>
  <c r="G420" i="51"/>
  <c r="D420" i="51"/>
  <c r="C420" i="51"/>
  <c r="I419" i="50"/>
  <c r="B420" i="50" s="1"/>
  <c r="H419" i="50"/>
  <c r="G419" i="50"/>
  <c r="D419" i="50"/>
  <c r="C419" i="50"/>
  <c r="H419" i="49"/>
  <c r="G419" i="49"/>
  <c r="D419" i="49"/>
  <c r="C419" i="49"/>
  <c r="I419" i="49"/>
  <c r="B420" i="49" s="1"/>
  <c r="D419" i="48"/>
  <c r="C419" i="48"/>
  <c r="I419" i="48"/>
  <c r="B420" i="48" s="1"/>
  <c r="H419" i="48"/>
  <c r="G419" i="48"/>
  <c r="H419" i="47"/>
  <c r="G419" i="47"/>
  <c r="I419" i="47"/>
  <c r="B420" i="47" s="1"/>
  <c r="D419" i="47"/>
  <c r="C419" i="47"/>
  <c r="I368" i="35"/>
  <c r="B369" i="35" s="1"/>
  <c r="C368" i="35"/>
  <c r="G368" i="35"/>
  <c r="D368" i="35"/>
  <c r="H368" i="35"/>
  <c r="G421" i="55" l="1"/>
  <c r="D421" i="55"/>
  <c r="C421" i="55"/>
  <c r="I421" i="55"/>
  <c r="B422" i="55" s="1"/>
  <c r="H421" i="55"/>
  <c r="C421" i="54"/>
  <c r="I421" i="54"/>
  <c r="B422" i="54" s="1"/>
  <c r="H421" i="54"/>
  <c r="G421" i="54"/>
  <c r="D421" i="54"/>
  <c r="D421" i="53"/>
  <c r="I421" i="53"/>
  <c r="B422" i="53" s="1"/>
  <c r="G421" i="53"/>
  <c r="C421" i="53"/>
  <c r="H421" i="53"/>
  <c r="I421" i="52"/>
  <c r="B422" i="52" s="1"/>
  <c r="H421" i="52"/>
  <c r="G421" i="52"/>
  <c r="D421" i="52"/>
  <c r="C421" i="52"/>
  <c r="C421" i="51"/>
  <c r="I421" i="51"/>
  <c r="B422" i="51" s="1"/>
  <c r="H421" i="51"/>
  <c r="G421" i="51"/>
  <c r="D421" i="51"/>
  <c r="I420" i="50"/>
  <c r="B421" i="50" s="1"/>
  <c r="H420" i="50"/>
  <c r="D420" i="50"/>
  <c r="C420" i="50"/>
  <c r="G420" i="50"/>
  <c r="I420" i="49"/>
  <c r="B421" i="49" s="1"/>
  <c r="H420" i="49"/>
  <c r="G420" i="49"/>
  <c r="D420" i="49"/>
  <c r="C420" i="49"/>
  <c r="H420" i="48"/>
  <c r="G420" i="48"/>
  <c r="D420" i="48"/>
  <c r="C420" i="48"/>
  <c r="I420" i="48"/>
  <c r="B421" i="48" s="1"/>
  <c r="D420" i="47"/>
  <c r="G420" i="47"/>
  <c r="C420" i="47"/>
  <c r="I420" i="47"/>
  <c r="B421" i="47" s="1"/>
  <c r="H420" i="47"/>
  <c r="D369" i="35"/>
  <c r="G369" i="35"/>
  <c r="C369" i="35"/>
  <c r="H369" i="35"/>
  <c r="I369" i="35"/>
  <c r="B370" i="35" s="1"/>
  <c r="I422" i="55" l="1"/>
  <c r="B423" i="55" s="1"/>
  <c r="H422" i="55"/>
  <c r="G422" i="55"/>
  <c r="D422" i="55"/>
  <c r="C422" i="55"/>
  <c r="G422" i="54"/>
  <c r="D422" i="54"/>
  <c r="C422" i="54"/>
  <c r="I422" i="54"/>
  <c r="B423" i="54" s="1"/>
  <c r="H422" i="54"/>
  <c r="H422" i="53"/>
  <c r="D422" i="53"/>
  <c r="C422" i="53"/>
  <c r="G422" i="53"/>
  <c r="I422" i="53"/>
  <c r="B423" i="53" s="1"/>
  <c r="I422" i="52"/>
  <c r="B423" i="52" s="1"/>
  <c r="H422" i="52"/>
  <c r="G422" i="52"/>
  <c r="C422" i="52"/>
  <c r="D422" i="52"/>
  <c r="G422" i="51"/>
  <c r="D422" i="51"/>
  <c r="C422" i="51"/>
  <c r="I422" i="51"/>
  <c r="B423" i="51" s="1"/>
  <c r="H422" i="51"/>
  <c r="D421" i="50"/>
  <c r="C421" i="50"/>
  <c r="H421" i="50"/>
  <c r="G421" i="50"/>
  <c r="I421" i="50"/>
  <c r="B422" i="50" s="1"/>
  <c r="I421" i="49"/>
  <c r="B422" i="49" s="1"/>
  <c r="H421" i="49"/>
  <c r="G421" i="49"/>
  <c r="D421" i="49"/>
  <c r="C421" i="49"/>
  <c r="I421" i="48"/>
  <c r="B422" i="48" s="1"/>
  <c r="H421" i="48"/>
  <c r="G421" i="48"/>
  <c r="D421" i="48"/>
  <c r="C421" i="48"/>
  <c r="H421" i="47"/>
  <c r="I421" i="47"/>
  <c r="B422" i="47" s="1"/>
  <c r="D421" i="47"/>
  <c r="G421" i="47"/>
  <c r="C421" i="47"/>
  <c r="H370" i="35"/>
  <c r="C370" i="35"/>
  <c r="G370" i="35"/>
  <c r="D370" i="35"/>
  <c r="I370" i="35"/>
  <c r="B371" i="35" s="1"/>
  <c r="I423" i="55" l="1"/>
  <c r="B424" i="55" s="1"/>
  <c r="H423" i="55"/>
  <c r="G423" i="55"/>
  <c r="C423" i="55"/>
  <c r="D423" i="55"/>
  <c r="I423" i="54"/>
  <c r="B424" i="54" s="1"/>
  <c r="H423" i="54"/>
  <c r="G423" i="54"/>
  <c r="D423" i="54"/>
  <c r="C423" i="54"/>
  <c r="H423" i="53"/>
  <c r="G423" i="53"/>
  <c r="D423" i="53"/>
  <c r="C423" i="53"/>
  <c r="I423" i="53"/>
  <c r="B424" i="53" s="1"/>
  <c r="C423" i="52"/>
  <c r="I423" i="52"/>
  <c r="B424" i="52" s="1"/>
  <c r="G423" i="52"/>
  <c r="H423" i="52"/>
  <c r="D423" i="52"/>
  <c r="I423" i="51"/>
  <c r="B424" i="51" s="1"/>
  <c r="H423" i="51"/>
  <c r="G423" i="51"/>
  <c r="D423" i="51"/>
  <c r="C423" i="51"/>
  <c r="H422" i="50"/>
  <c r="G422" i="50"/>
  <c r="D422" i="50"/>
  <c r="C422" i="50"/>
  <c r="I422" i="50"/>
  <c r="B423" i="50" s="1"/>
  <c r="D422" i="49"/>
  <c r="C422" i="49"/>
  <c r="I422" i="49"/>
  <c r="B423" i="49" s="1"/>
  <c r="H422" i="49"/>
  <c r="G422" i="49"/>
  <c r="I422" i="48"/>
  <c r="B423" i="48" s="1"/>
  <c r="H422" i="48"/>
  <c r="G422" i="48"/>
  <c r="D422" i="48"/>
  <c r="C422" i="48"/>
  <c r="D422" i="47"/>
  <c r="C422" i="47"/>
  <c r="I422" i="47"/>
  <c r="B423" i="47" s="1"/>
  <c r="H422" i="47"/>
  <c r="G422" i="47"/>
  <c r="C371" i="35"/>
  <c r="G371" i="35"/>
  <c r="I371" i="35"/>
  <c r="B372" i="35" s="1"/>
  <c r="D371" i="35"/>
  <c r="H371" i="35"/>
  <c r="C424" i="55" l="1"/>
  <c r="I424" i="55"/>
  <c r="B425" i="55" s="1"/>
  <c r="G424" i="55"/>
  <c r="D424" i="55"/>
  <c r="H424" i="55"/>
  <c r="I424" i="54"/>
  <c r="B425" i="54" s="1"/>
  <c r="H424" i="54"/>
  <c r="G424" i="54"/>
  <c r="D424" i="54"/>
  <c r="C424" i="54"/>
  <c r="I424" i="53"/>
  <c r="B425" i="53" s="1"/>
  <c r="H424" i="53"/>
  <c r="G424" i="53"/>
  <c r="D424" i="53"/>
  <c r="C424" i="53"/>
  <c r="G424" i="52"/>
  <c r="D424" i="52"/>
  <c r="C424" i="52"/>
  <c r="I424" i="52"/>
  <c r="B425" i="52" s="1"/>
  <c r="H424" i="52"/>
  <c r="I424" i="51"/>
  <c r="B425" i="51" s="1"/>
  <c r="H424" i="51"/>
  <c r="G424" i="51"/>
  <c r="D424" i="51"/>
  <c r="C424" i="51"/>
  <c r="I423" i="50"/>
  <c r="B424" i="50" s="1"/>
  <c r="H423" i="50"/>
  <c r="G423" i="50"/>
  <c r="D423" i="50"/>
  <c r="C423" i="50"/>
  <c r="H423" i="49"/>
  <c r="G423" i="49"/>
  <c r="D423" i="49"/>
  <c r="C423" i="49"/>
  <c r="I423" i="49"/>
  <c r="B424" i="49" s="1"/>
  <c r="D423" i="48"/>
  <c r="C423" i="48"/>
  <c r="I423" i="48"/>
  <c r="B424" i="48" s="1"/>
  <c r="H423" i="48"/>
  <c r="G423" i="48"/>
  <c r="H423" i="47"/>
  <c r="I423" i="47"/>
  <c r="B424" i="47" s="1"/>
  <c r="G423" i="47"/>
  <c r="C423" i="47"/>
  <c r="D423" i="47"/>
  <c r="I372" i="35"/>
  <c r="B373" i="35" s="1"/>
  <c r="C372" i="35"/>
  <c r="G372" i="35"/>
  <c r="D372" i="35"/>
  <c r="H372" i="35"/>
  <c r="G425" i="55" l="1"/>
  <c r="D425" i="55"/>
  <c r="C425" i="55"/>
  <c r="I425" i="55"/>
  <c r="B426" i="55" s="1"/>
  <c r="H425" i="55"/>
  <c r="C425" i="54"/>
  <c r="I425" i="54"/>
  <c r="B426" i="54" s="1"/>
  <c r="H425" i="54"/>
  <c r="G425" i="54"/>
  <c r="D425" i="54"/>
  <c r="D425" i="53"/>
  <c r="I425" i="53"/>
  <c r="B426" i="53" s="1"/>
  <c r="C425" i="53"/>
  <c r="H425" i="53"/>
  <c r="G425" i="53"/>
  <c r="I425" i="52"/>
  <c r="B426" i="52" s="1"/>
  <c r="H425" i="52"/>
  <c r="G425" i="52"/>
  <c r="D425" i="52"/>
  <c r="C425" i="52"/>
  <c r="C425" i="51"/>
  <c r="I425" i="51"/>
  <c r="B426" i="51" s="1"/>
  <c r="H425" i="51"/>
  <c r="G425" i="51"/>
  <c r="D425" i="51"/>
  <c r="I424" i="50"/>
  <c r="B425" i="50" s="1"/>
  <c r="H424" i="50"/>
  <c r="D424" i="50"/>
  <c r="C424" i="50"/>
  <c r="G424" i="50"/>
  <c r="I424" i="49"/>
  <c r="B425" i="49" s="1"/>
  <c r="H424" i="49"/>
  <c r="G424" i="49"/>
  <c r="D424" i="49"/>
  <c r="C424" i="49"/>
  <c r="H424" i="48"/>
  <c r="G424" i="48"/>
  <c r="D424" i="48"/>
  <c r="C424" i="48"/>
  <c r="I424" i="48"/>
  <c r="B425" i="48" s="1"/>
  <c r="D424" i="47"/>
  <c r="I424" i="47"/>
  <c r="B425" i="47" s="1"/>
  <c r="H424" i="47"/>
  <c r="G424" i="47"/>
  <c r="C424" i="47"/>
  <c r="G373" i="35"/>
  <c r="D373" i="35"/>
  <c r="H373" i="35"/>
  <c r="I373" i="35"/>
  <c r="B374" i="35" s="1"/>
  <c r="C373" i="35"/>
  <c r="I426" i="55" l="1"/>
  <c r="B427" i="55" s="1"/>
  <c r="H426" i="55"/>
  <c r="G426" i="55"/>
  <c r="D426" i="55"/>
  <c r="C426" i="55"/>
  <c r="G426" i="54"/>
  <c r="D426" i="54"/>
  <c r="C426" i="54"/>
  <c r="I426" i="54"/>
  <c r="B427" i="54" s="1"/>
  <c r="H426" i="54"/>
  <c r="H426" i="53"/>
  <c r="D426" i="53"/>
  <c r="C426" i="53"/>
  <c r="I426" i="53"/>
  <c r="B427" i="53" s="1"/>
  <c r="G426" i="53"/>
  <c r="I426" i="52"/>
  <c r="B427" i="52" s="1"/>
  <c r="H426" i="52"/>
  <c r="G426" i="52"/>
  <c r="C426" i="52"/>
  <c r="D426" i="52"/>
  <c r="G426" i="51"/>
  <c r="D426" i="51"/>
  <c r="C426" i="51"/>
  <c r="H426" i="51"/>
  <c r="I426" i="51"/>
  <c r="B427" i="51" s="1"/>
  <c r="D425" i="50"/>
  <c r="C425" i="50"/>
  <c r="H425" i="50"/>
  <c r="G425" i="50"/>
  <c r="I425" i="50"/>
  <c r="B426" i="50" s="1"/>
  <c r="I425" i="49"/>
  <c r="B426" i="49" s="1"/>
  <c r="H425" i="49"/>
  <c r="G425" i="49"/>
  <c r="D425" i="49"/>
  <c r="C425" i="49"/>
  <c r="I425" i="48"/>
  <c r="B426" i="48" s="1"/>
  <c r="H425" i="48"/>
  <c r="G425" i="48"/>
  <c r="D425" i="48"/>
  <c r="C425" i="48"/>
  <c r="H425" i="47"/>
  <c r="I425" i="47"/>
  <c r="B426" i="47" s="1"/>
  <c r="G425" i="47"/>
  <c r="D425" i="47"/>
  <c r="C425" i="47"/>
  <c r="H374" i="35"/>
  <c r="I374" i="35"/>
  <c r="B375" i="35" s="1"/>
  <c r="C374" i="35"/>
  <c r="G374" i="35"/>
  <c r="D374" i="35"/>
  <c r="I427" i="55" l="1"/>
  <c r="B428" i="55" s="1"/>
  <c r="H427" i="55"/>
  <c r="G427" i="55"/>
  <c r="C427" i="55"/>
  <c r="D427" i="55"/>
  <c r="I427" i="54"/>
  <c r="B428" i="54" s="1"/>
  <c r="H427" i="54"/>
  <c r="G427" i="54"/>
  <c r="D427" i="54"/>
  <c r="C427" i="54"/>
  <c r="H427" i="53"/>
  <c r="G427" i="53"/>
  <c r="D427" i="53"/>
  <c r="C427" i="53"/>
  <c r="I427" i="53"/>
  <c r="B428" i="53" s="1"/>
  <c r="C427" i="52"/>
  <c r="I427" i="52"/>
  <c r="B428" i="52" s="1"/>
  <c r="G427" i="52"/>
  <c r="H427" i="52"/>
  <c r="D427" i="52"/>
  <c r="I427" i="51"/>
  <c r="B428" i="51" s="1"/>
  <c r="H427" i="51"/>
  <c r="G427" i="51"/>
  <c r="D427" i="51"/>
  <c r="C427" i="51"/>
  <c r="H426" i="50"/>
  <c r="G426" i="50"/>
  <c r="D426" i="50"/>
  <c r="C426" i="50"/>
  <c r="I426" i="50"/>
  <c r="B427" i="50" s="1"/>
  <c r="D426" i="49"/>
  <c r="C426" i="49"/>
  <c r="I426" i="49"/>
  <c r="B427" i="49" s="1"/>
  <c r="H426" i="49"/>
  <c r="G426" i="49"/>
  <c r="I426" i="48"/>
  <c r="B427" i="48" s="1"/>
  <c r="H426" i="48"/>
  <c r="G426" i="48"/>
  <c r="D426" i="48"/>
  <c r="C426" i="48"/>
  <c r="D426" i="47"/>
  <c r="H426" i="47"/>
  <c r="I426" i="47"/>
  <c r="B427" i="47" s="1"/>
  <c r="G426" i="47"/>
  <c r="C426" i="47"/>
  <c r="C375" i="35"/>
  <c r="G375" i="35"/>
  <c r="D375" i="35"/>
  <c r="H375" i="35"/>
  <c r="I375" i="35"/>
  <c r="B376" i="35" s="1"/>
  <c r="C428" i="55" l="1"/>
  <c r="I428" i="55"/>
  <c r="B429" i="55" s="1"/>
  <c r="G428" i="55"/>
  <c r="D428" i="55"/>
  <c r="H428" i="55"/>
  <c r="I428" i="54"/>
  <c r="B429" i="54" s="1"/>
  <c r="H428" i="54"/>
  <c r="G428" i="54"/>
  <c r="D428" i="54"/>
  <c r="C428" i="54"/>
  <c r="I428" i="53"/>
  <c r="B429" i="53" s="1"/>
  <c r="H428" i="53"/>
  <c r="G428" i="53"/>
  <c r="D428" i="53"/>
  <c r="C428" i="53"/>
  <c r="G428" i="52"/>
  <c r="D428" i="52"/>
  <c r="C428" i="52"/>
  <c r="I428" i="52"/>
  <c r="B429" i="52" s="1"/>
  <c r="H428" i="52"/>
  <c r="I428" i="51"/>
  <c r="B429" i="51" s="1"/>
  <c r="H428" i="51"/>
  <c r="G428" i="51"/>
  <c r="D428" i="51"/>
  <c r="C428" i="51"/>
  <c r="I427" i="50"/>
  <c r="B428" i="50" s="1"/>
  <c r="H427" i="50"/>
  <c r="G427" i="50"/>
  <c r="D427" i="50"/>
  <c r="C427" i="50"/>
  <c r="H427" i="49"/>
  <c r="G427" i="49"/>
  <c r="D427" i="49"/>
  <c r="C427" i="49"/>
  <c r="I427" i="49"/>
  <c r="B428" i="49" s="1"/>
  <c r="D427" i="48"/>
  <c r="C427" i="48"/>
  <c r="I427" i="48"/>
  <c r="B428" i="48" s="1"/>
  <c r="H427" i="48"/>
  <c r="G427" i="48"/>
  <c r="H427" i="47"/>
  <c r="G427" i="47"/>
  <c r="D427" i="47"/>
  <c r="C427" i="47"/>
  <c r="I427" i="47"/>
  <c r="B428" i="47" s="1"/>
  <c r="C376" i="35"/>
  <c r="I376" i="35"/>
  <c r="B377" i="35" s="1"/>
  <c r="D376" i="35"/>
  <c r="G376" i="35"/>
  <c r="H376" i="35"/>
  <c r="G429" i="55" l="1"/>
  <c r="D429" i="55"/>
  <c r="C429" i="55"/>
  <c r="I429" i="55"/>
  <c r="B430" i="55" s="1"/>
  <c r="H429" i="55"/>
  <c r="C429" i="54"/>
  <c r="I429" i="54"/>
  <c r="B430" i="54" s="1"/>
  <c r="H429" i="54"/>
  <c r="G429" i="54"/>
  <c r="D429" i="54"/>
  <c r="D429" i="53"/>
  <c r="I429" i="53"/>
  <c r="B430" i="53" s="1"/>
  <c r="G429" i="53"/>
  <c r="C429" i="53"/>
  <c r="H429" i="53"/>
  <c r="I429" i="52"/>
  <c r="B430" i="52" s="1"/>
  <c r="H429" i="52"/>
  <c r="G429" i="52"/>
  <c r="D429" i="52"/>
  <c r="C429" i="52"/>
  <c r="C429" i="51"/>
  <c r="I429" i="51"/>
  <c r="B430" i="51" s="1"/>
  <c r="H429" i="51"/>
  <c r="G429" i="51"/>
  <c r="D429" i="51"/>
  <c r="I428" i="50"/>
  <c r="B429" i="50" s="1"/>
  <c r="H428" i="50"/>
  <c r="D428" i="50"/>
  <c r="C428" i="50"/>
  <c r="G428" i="50"/>
  <c r="I428" i="49"/>
  <c r="B429" i="49" s="1"/>
  <c r="H428" i="49"/>
  <c r="G428" i="49"/>
  <c r="D428" i="49"/>
  <c r="C428" i="49"/>
  <c r="H428" i="48"/>
  <c r="G428" i="48"/>
  <c r="D428" i="48"/>
  <c r="C428" i="48"/>
  <c r="I428" i="48"/>
  <c r="B429" i="48" s="1"/>
  <c r="D428" i="47"/>
  <c r="I428" i="47"/>
  <c r="B429" i="47" s="1"/>
  <c r="G428" i="47"/>
  <c r="H428" i="47"/>
  <c r="C428" i="47"/>
  <c r="G377" i="35"/>
  <c r="D377" i="35"/>
  <c r="I377" i="35"/>
  <c r="B378" i="35" s="1"/>
  <c r="H377" i="35"/>
  <c r="C377" i="35"/>
  <c r="I430" i="55" l="1"/>
  <c r="B431" i="55" s="1"/>
  <c r="H430" i="55"/>
  <c r="G430" i="55"/>
  <c r="D430" i="55"/>
  <c r="C430" i="55"/>
  <c r="G430" i="54"/>
  <c r="D430" i="54"/>
  <c r="C430" i="54"/>
  <c r="I430" i="54"/>
  <c r="B431" i="54" s="1"/>
  <c r="H430" i="54"/>
  <c r="H430" i="53"/>
  <c r="D430" i="53"/>
  <c r="C430" i="53"/>
  <c r="I430" i="53"/>
  <c r="B431" i="53" s="1"/>
  <c r="G430" i="53"/>
  <c r="I430" i="52"/>
  <c r="B431" i="52" s="1"/>
  <c r="H430" i="52"/>
  <c r="G430" i="52"/>
  <c r="C430" i="52"/>
  <c r="D430" i="52"/>
  <c r="G430" i="51"/>
  <c r="D430" i="51"/>
  <c r="C430" i="51"/>
  <c r="I430" i="51"/>
  <c r="B431" i="51" s="1"/>
  <c r="H430" i="51"/>
  <c r="I429" i="50"/>
  <c r="B430" i="50" s="1"/>
  <c r="D429" i="50"/>
  <c r="C429" i="50"/>
  <c r="H429" i="50"/>
  <c r="G429" i="50"/>
  <c r="I429" i="49"/>
  <c r="B430" i="49" s="1"/>
  <c r="H429" i="49"/>
  <c r="G429" i="49"/>
  <c r="D429" i="49"/>
  <c r="C429" i="49"/>
  <c r="I429" i="48"/>
  <c r="B430" i="48" s="1"/>
  <c r="H429" i="48"/>
  <c r="G429" i="48"/>
  <c r="D429" i="48"/>
  <c r="C429" i="48"/>
  <c r="H429" i="47"/>
  <c r="D429" i="47"/>
  <c r="C429" i="47"/>
  <c r="I429" i="47"/>
  <c r="B430" i="47" s="1"/>
  <c r="G429" i="47"/>
  <c r="C378" i="35"/>
  <c r="I378" i="35"/>
  <c r="B379" i="35" s="1"/>
  <c r="G378" i="35"/>
  <c r="D378" i="35"/>
  <c r="H378" i="35"/>
  <c r="I431" i="55" l="1"/>
  <c r="B432" i="55" s="1"/>
  <c r="H431" i="55"/>
  <c r="G431" i="55"/>
  <c r="C431" i="55"/>
  <c r="D431" i="55"/>
  <c r="I431" i="54"/>
  <c r="B432" i="54" s="1"/>
  <c r="H431" i="54"/>
  <c r="G431" i="54"/>
  <c r="D431" i="54"/>
  <c r="C431" i="54"/>
  <c r="H431" i="53"/>
  <c r="I431" i="53"/>
  <c r="B432" i="53" s="1"/>
  <c r="G431" i="53"/>
  <c r="D431" i="53"/>
  <c r="C431" i="53"/>
  <c r="C431" i="52"/>
  <c r="I431" i="52"/>
  <c r="B432" i="52" s="1"/>
  <c r="G431" i="52"/>
  <c r="H431" i="52"/>
  <c r="D431" i="52"/>
  <c r="I431" i="51"/>
  <c r="B432" i="51" s="1"/>
  <c r="H431" i="51"/>
  <c r="G431" i="51"/>
  <c r="D431" i="51"/>
  <c r="C431" i="51"/>
  <c r="D430" i="50"/>
  <c r="C430" i="50"/>
  <c r="I430" i="50"/>
  <c r="B431" i="50" s="1"/>
  <c r="H430" i="50"/>
  <c r="G430" i="50"/>
  <c r="D430" i="49"/>
  <c r="C430" i="49"/>
  <c r="I430" i="49"/>
  <c r="B431" i="49" s="1"/>
  <c r="H430" i="49"/>
  <c r="G430" i="49"/>
  <c r="I430" i="48"/>
  <c r="B431" i="48" s="1"/>
  <c r="H430" i="48"/>
  <c r="G430" i="48"/>
  <c r="D430" i="48"/>
  <c r="C430" i="48"/>
  <c r="D430" i="47"/>
  <c r="I430" i="47"/>
  <c r="B431" i="47" s="1"/>
  <c r="H430" i="47"/>
  <c r="C430" i="47"/>
  <c r="G430" i="47"/>
  <c r="C379" i="35"/>
  <c r="G379" i="35"/>
  <c r="H379" i="35"/>
  <c r="D379" i="35"/>
  <c r="I379" i="35"/>
  <c r="B380" i="35" s="1"/>
  <c r="C432" i="55" l="1"/>
  <c r="I432" i="55"/>
  <c r="B433" i="55" s="1"/>
  <c r="G432" i="55"/>
  <c r="D432" i="55"/>
  <c r="H432" i="55"/>
  <c r="I432" i="54"/>
  <c r="B433" i="54" s="1"/>
  <c r="H432" i="54"/>
  <c r="G432" i="54"/>
  <c r="D432" i="54"/>
  <c r="C432" i="54"/>
  <c r="G432" i="53"/>
  <c r="C432" i="53"/>
  <c r="I432" i="53"/>
  <c r="B433" i="53" s="1"/>
  <c r="D432" i="53"/>
  <c r="H432" i="53"/>
  <c r="G432" i="52"/>
  <c r="D432" i="52"/>
  <c r="C432" i="52"/>
  <c r="I432" i="52"/>
  <c r="B433" i="52" s="1"/>
  <c r="H432" i="52"/>
  <c r="I432" i="51"/>
  <c r="B433" i="51" s="1"/>
  <c r="H432" i="51"/>
  <c r="G432" i="51"/>
  <c r="D432" i="51"/>
  <c r="C432" i="51"/>
  <c r="H431" i="50"/>
  <c r="G431" i="50"/>
  <c r="D431" i="50"/>
  <c r="C431" i="50"/>
  <c r="I431" i="50"/>
  <c r="B432" i="50" s="1"/>
  <c r="H431" i="49"/>
  <c r="G431" i="49"/>
  <c r="D431" i="49"/>
  <c r="C431" i="49"/>
  <c r="I431" i="49"/>
  <c r="B432" i="49" s="1"/>
  <c r="D431" i="48"/>
  <c r="C431" i="48"/>
  <c r="I431" i="48"/>
  <c r="B432" i="48" s="1"/>
  <c r="H431" i="48"/>
  <c r="G431" i="48"/>
  <c r="H431" i="47"/>
  <c r="G431" i="47"/>
  <c r="D431" i="47"/>
  <c r="C431" i="47"/>
  <c r="I431" i="47"/>
  <c r="B432" i="47" s="1"/>
  <c r="I380" i="35"/>
  <c r="B381" i="35" s="1"/>
  <c r="C380" i="35"/>
  <c r="H380" i="35"/>
  <c r="G380" i="35"/>
  <c r="D380" i="35"/>
  <c r="G433" i="55" l="1"/>
  <c r="D433" i="55"/>
  <c r="C433" i="55"/>
  <c r="I433" i="55"/>
  <c r="B434" i="55" s="1"/>
  <c r="H433" i="55"/>
  <c r="I433" i="54"/>
  <c r="B434" i="54" s="1"/>
  <c r="H433" i="54"/>
  <c r="G433" i="54"/>
  <c r="D433" i="54"/>
  <c r="C433" i="54"/>
  <c r="I433" i="53"/>
  <c r="B434" i="53" s="1"/>
  <c r="G433" i="53"/>
  <c r="D433" i="53"/>
  <c r="C433" i="53"/>
  <c r="H433" i="53"/>
  <c r="I433" i="52"/>
  <c r="B434" i="52" s="1"/>
  <c r="H433" i="52"/>
  <c r="G433" i="52"/>
  <c r="D433" i="52"/>
  <c r="C433" i="52"/>
  <c r="C433" i="51"/>
  <c r="I433" i="51"/>
  <c r="B434" i="51" s="1"/>
  <c r="G433" i="51"/>
  <c r="D433" i="51"/>
  <c r="H433" i="51"/>
  <c r="I432" i="50"/>
  <c r="B433" i="50" s="1"/>
  <c r="H432" i="50"/>
  <c r="G432" i="50"/>
  <c r="D432" i="50"/>
  <c r="C432" i="50"/>
  <c r="I432" i="49"/>
  <c r="B433" i="49" s="1"/>
  <c r="H432" i="49"/>
  <c r="G432" i="49"/>
  <c r="D432" i="49"/>
  <c r="C432" i="49"/>
  <c r="H432" i="48"/>
  <c r="G432" i="48"/>
  <c r="D432" i="48"/>
  <c r="C432" i="48"/>
  <c r="I432" i="48"/>
  <c r="B433" i="48" s="1"/>
  <c r="I432" i="47"/>
  <c r="B433" i="47" s="1"/>
  <c r="H432" i="47"/>
  <c r="D432" i="47"/>
  <c r="G432" i="47"/>
  <c r="C432" i="47"/>
  <c r="G381" i="35"/>
  <c r="D381" i="35"/>
  <c r="C381" i="35"/>
  <c r="I381" i="35"/>
  <c r="B382" i="35" s="1"/>
  <c r="H381" i="35"/>
  <c r="I434" i="55" l="1"/>
  <c r="B435" i="55" s="1"/>
  <c r="H434" i="55"/>
  <c r="G434" i="55"/>
  <c r="D434" i="55"/>
  <c r="C434" i="55"/>
  <c r="C434" i="54"/>
  <c r="I434" i="54"/>
  <c r="B435" i="54" s="1"/>
  <c r="H434" i="54"/>
  <c r="G434" i="54"/>
  <c r="D434" i="54"/>
  <c r="D434" i="53"/>
  <c r="I434" i="53"/>
  <c r="B435" i="53" s="1"/>
  <c r="H434" i="53"/>
  <c r="G434" i="53"/>
  <c r="C434" i="53"/>
  <c r="I434" i="52"/>
  <c r="B435" i="52" s="1"/>
  <c r="H434" i="52"/>
  <c r="G434" i="52"/>
  <c r="C434" i="52"/>
  <c r="D434" i="52"/>
  <c r="G434" i="51"/>
  <c r="D434" i="51"/>
  <c r="C434" i="51"/>
  <c r="I434" i="51"/>
  <c r="B435" i="51" s="1"/>
  <c r="H434" i="51"/>
  <c r="I433" i="50"/>
  <c r="B434" i="50" s="1"/>
  <c r="H433" i="50"/>
  <c r="G433" i="50"/>
  <c r="D433" i="50"/>
  <c r="C433" i="50"/>
  <c r="I433" i="49"/>
  <c r="B434" i="49" s="1"/>
  <c r="H433" i="49"/>
  <c r="G433" i="49"/>
  <c r="D433" i="49"/>
  <c r="C433" i="49"/>
  <c r="I433" i="48"/>
  <c r="B434" i="48" s="1"/>
  <c r="H433" i="48"/>
  <c r="G433" i="48"/>
  <c r="D433" i="48"/>
  <c r="C433" i="48"/>
  <c r="H433" i="47"/>
  <c r="I433" i="47"/>
  <c r="B434" i="47" s="1"/>
  <c r="G433" i="47"/>
  <c r="D433" i="47"/>
  <c r="C433" i="47"/>
  <c r="C382" i="35"/>
  <c r="G382" i="35"/>
  <c r="D382" i="35"/>
  <c r="H382" i="35"/>
  <c r="I382" i="35"/>
  <c r="B383" i="35" s="1"/>
  <c r="I435" i="55" l="1"/>
  <c r="B436" i="55" s="1"/>
  <c r="H435" i="55"/>
  <c r="G435" i="55"/>
  <c r="C435" i="55"/>
  <c r="D435" i="55"/>
  <c r="G435" i="54"/>
  <c r="D435" i="54"/>
  <c r="C435" i="54"/>
  <c r="I435" i="54"/>
  <c r="B436" i="54" s="1"/>
  <c r="H435" i="54"/>
  <c r="C435" i="53"/>
  <c r="H435" i="53"/>
  <c r="I435" i="53"/>
  <c r="B436" i="53" s="1"/>
  <c r="D435" i="53"/>
  <c r="G435" i="53"/>
  <c r="C435" i="52"/>
  <c r="I435" i="52"/>
  <c r="B436" i="52" s="1"/>
  <c r="G435" i="52"/>
  <c r="H435" i="52"/>
  <c r="D435" i="52"/>
  <c r="I435" i="51"/>
  <c r="B436" i="51" s="1"/>
  <c r="H435" i="51"/>
  <c r="G435" i="51"/>
  <c r="D435" i="51"/>
  <c r="C435" i="51"/>
  <c r="D434" i="50"/>
  <c r="C434" i="50"/>
  <c r="I434" i="50"/>
  <c r="B435" i="50" s="1"/>
  <c r="H434" i="50"/>
  <c r="G434" i="50"/>
  <c r="D434" i="49"/>
  <c r="C434" i="49"/>
  <c r="I434" i="49"/>
  <c r="B435" i="49" s="1"/>
  <c r="H434" i="49"/>
  <c r="G434" i="49"/>
  <c r="I434" i="48"/>
  <c r="B435" i="48" s="1"/>
  <c r="H434" i="48"/>
  <c r="G434" i="48"/>
  <c r="D434" i="48"/>
  <c r="C434" i="48"/>
  <c r="D434" i="47"/>
  <c r="C434" i="47"/>
  <c r="I434" i="47"/>
  <c r="B435" i="47" s="1"/>
  <c r="H434" i="47"/>
  <c r="G434" i="47"/>
  <c r="C383" i="35"/>
  <c r="G383" i="35"/>
  <c r="H383" i="35"/>
  <c r="D383" i="35"/>
  <c r="I383" i="35"/>
  <c r="B384" i="35" s="1"/>
  <c r="C436" i="55" l="1"/>
  <c r="I436" i="55"/>
  <c r="B437" i="55" s="1"/>
  <c r="G436" i="55"/>
  <c r="D436" i="55"/>
  <c r="H436" i="55"/>
  <c r="I436" i="54"/>
  <c r="B437" i="54" s="1"/>
  <c r="H436" i="54"/>
  <c r="G436" i="54"/>
  <c r="D436" i="54"/>
  <c r="C436" i="54"/>
  <c r="G436" i="53"/>
  <c r="I436" i="53"/>
  <c r="B437" i="53" s="1"/>
  <c r="H436" i="53"/>
  <c r="D436" i="53"/>
  <c r="C436" i="53"/>
  <c r="G436" i="52"/>
  <c r="D436" i="52"/>
  <c r="C436" i="52"/>
  <c r="I436" i="52"/>
  <c r="B437" i="52" s="1"/>
  <c r="H436" i="52"/>
  <c r="I436" i="51"/>
  <c r="B437" i="51" s="1"/>
  <c r="H436" i="51"/>
  <c r="G436" i="51"/>
  <c r="D436" i="51"/>
  <c r="C436" i="51"/>
  <c r="H435" i="50"/>
  <c r="G435" i="50"/>
  <c r="D435" i="50"/>
  <c r="C435" i="50"/>
  <c r="I435" i="50"/>
  <c r="B436" i="50" s="1"/>
  <c r="H435" i="49"/>
  <c r="G435" i="49"/>
  <c r="D435" i="49"/>
  <c r="C435" i="49"/>
  <c r="I435" i="49"/>
  <c r="B436" i="49" s="1"/>
  <c r="D435" i="48"/>
  <c r="C435" i="48"/>
  <c r="I435" i="48"/>
  <c r="B436" i="48" s="1"/>
  <c r="H435" i="48"/>
  <c r="G435" i="48"/>
  <c r="H435" i="47"/>
  <c r="G435" i="47"/>
  <c r="D435" i="47"/>
  <c r="C435" i="47"/>
  <c r="I435" i="47"/>
  <c r="B436" i="47" s="1"/>
  <c r="I384" i="35"/>
  <c r="B385" i="35" s="1"/>
  <c r="C384" i="35"/>
  <c r="H384" i="35"/>
  <c r="D384" i="35"/>
  <c r="G384" i="35"/>
  <c r="G437" i="55" l="1"/>
  <c r="D437" i="55"/>
  <c r="C437" i="55"/>
  <c r="I437" i="55"/>
  <c r="B438" i="55" s="1"/>
  <c r="H437" i="55"/>
  <c r="I437" i="54"/>
  <c r="B438" i="54" s="1"/>
  <c r="H437" i="54"/>
  <c r="G437" i="54"/>
  <c r="D437" i="54"/>
  <c r="C437" i="54"/>
  <c r="I437" i="53"/>
  <c r="B438" i="53" s="1"/>
  <c r="G437" i="53"/>
  <c r="C437" i="53"/>
  <c r="D437" i="53"/>
  <c r="H437" i="53"/>
  <c r="I437" i="52"/>
  <c r="B438" i="52" s="1"/>
  <c r="H437" i="52"/>
  <c r="G437" i="52"/>
  <c r="D437" i="52"/>
  <c r="C437" i="52"/>
  <c r="C437" i="51"/>
  <c r="I437" i="51"/>
  <c r="B438" i="51" s="1"/>
  <c r="D437" i="51"/>
  <c r="H437" i="51"/>
  <c r="G437" i="51"/>
  <c r="I436" i="50"/>
  <c r="B437" i="50" s="1"/>
  <c r="H436" i="50"/>
  <c r="G436" i="50"/>
  <c r="D436" i="50"/>
  <c r="C436" i="50"/>
  <c r="I436" i="49"/>
  <c r="B437" i="49" s="1"/>
  <c r="H436" i="49"/>
  <c r="G436" i="49"/>
  <c r="D436" i="49"/>
  <c r="C436" i="49"/>
  <c r="H436" i="48"/>
  <c r="G436" i="48"/>
  <c r="D436" i="48"/>
  <c r="C436" i="48"/>
  <c r="I436" i="48"/>
  <c r="B437" i="48" s="1"/>
  <c r="I436" i="47"/>
  <c r="B437" i="47" s="1"/>
  <c r="H436" i="47"/>
  <c r="D436" i="47"/>
  <c r="G436" i="47"/>
  <c r="C436" i="47"/>
  <c r="G385" i="35"/>
  <c r="D385" i="35"/>
  <c r="I385" i="35"/>
  <c r="B386" i="35" s="1"/>
  <c r="H385" i="35"/>
  <c r="C385" i="35"/>
  <c r="I438" i="55" l="1"/>
  <c r="B439" i="55" s="1"/>
  <c r="H438" i="55"/>
  <c r="G438" i="55"/>
  <c r="D438" i="55"/>
  <c r="C438" i="55"/>
  <c r="C438" i="54"/>
  <c r="I438" i="54"/>
  <c r="B439" i="54" s="1"/>
  <c r="H438" i="54"/>
  <c r="G438" i="54"/>
  <c r="D438" i="54"/>
  <c r="D438" i="53"/>
  <c r="I438" i="53"/>
  <c r="B439" i="53" s="1"/>
  <c r="H438" i="53"/>
  <c r="G438" i="53"/>
  <c r="C438" i="53"/>
  <c r="I438" i="52"/>
  <c r="B439" i="52" s="1"/>
  <c r="H438" i="52"/>
  <c r="G438" i="52"/>
  <c r="C438" i="52"/>
  <c r="D438" i="52"/>
  <c r="G438" i="51"/>
  <c r="D438" i="51"/>
  <c r="C438" i="51"/>
  <c r="I438" i="51"/>
  <c r="B439" i="51" s="1"/>
  <c r="H438" i="51"/>
  <c r="I437" i="50"/>
  <c r="B438" i="50" s="1"/>
  <c r="H437" i="50"/>
  <c r="G437" i="50"/>
  <c r="D437" i="50"/>
  <c r="C437" i="50"/>
  <c r="I437" i="49"/>
  <c r="B438" i="49" s="1"/>
  <c r="H437" i="49"/>
  <c r="G437" i="49"/>
  <c r="D437" i="49"/>
  <c r="C437" i="49"/>
  <c r="I437" i="48"/>
  <c r="B438" i="48" s="1"/>
  <c r="H437" i="48"/>
  <c r="G437" i="48"/>
  <c r="D437" i="48"/>
  <c r="C437" i="48"/>
  <c r="H437" i="47"/>
  <c r="I437" i="47"/>
  <c r="B438" i="47" s="1"/>
  <c r="G437" i="47"/>
  <c r="D437" i="47"/>
  <c r="C437" i="47"/>
  <c r="H386" i="35"/>
  <c r="G386" i="35"/>
  <c r="I386" i="35"/>
  <c r="B387" i="35" s="1"/>
  <c r="C386" i="35"/>
  <c r="D386" i="35"/>
  <c r="I439" i="55" l="1"/>
  <c r="B440" i="55" s="1"/>
  <c r="H439" i="55"/>
  <c r="G439" i="55"/>
  <c r="C439" i="55"/>
  <c r="D439" i="55"/>
  <c r="G439" i="54"/>
  <c r="D439" i="54"/>
  <c r="C439" i="54"/>
  <c r="I439" i="54"/>
  <c r="B440" i="54" s="1"/>
  <c r="H439" i="54"/>
  <c r="C439" i="53"/>
  <c r="H439" i="53"/>
  <c r="D439" i="53"/>
  <c r="I439" i="53"/>
  <c r="B440" i="53" s="1"/>
  <c r="G439" i="53"/>
  <c r="C439" i="52"/>
  <c r="I439" i="52"/>
  <c r="B440" i="52" s="1"/>
  <c r="G439" i="52"/>
  <c r="H439" i="52"/>
  <c r="D439" i="52"/>
  <c r="I439" i="51"/>
  <c r="B440" i="51" s="1"/>
  <c r="H439" i="51"/>
  <c r="G439" i="51"/>
  <c r="D439" i="51"/>
  <c r="C439" i="51"/>
  <c r="D438" i="50"/>
  <c r="C438" i="50"/>
  <c r="I438" i="50"/>
  <c r="B439" i="50" s="1"/>
  <c r="H438" i="50"/>
  <c r="G438" i="50"/>
  <c r="D438" i="49"/>
  <c r="C438" i="49"/>
  <c r="I438" i="49"/>
  <c r="B439" i="49" s="1"/>
  <c r="H438" i="49"/>
  <c r="G438" i="49"/>
  <c r="I438" i="48"/>
  <c r="B439" i="48" s="1"/>
  <c r="H438" i="48"/>
  <c r="G438" i="48"/>
  <c r="D438" i="48"/>
  <c r="C438" i="48"/>
  <c r="D438" i="47"/>
  <c r="C438" i="47"/>
  <c r="I438" i="47"/>
  <c r="B439" i="47" s="1"/>
  <c r="H438" i="47"/>
  <c r="G438" i="47"/>
  <c r="C387" i="35"/>
  <c r="G387" i="35"/>
  <c r="D387" i="35"/>
  <c r="I387" i="35"/>
  <c r="B388" i="35" s="1"/>
  <c r="H387" i="35"/>
  <c r="C440" i="55" l="1"/>
  <c r="I440" i="55"/>
  <c r="B441" i="55" s="1"/>
  <c r="G440" i="55"/>
  <c r="D440" i="55"/>
  <c r="H440" i="55"/>
  <c r="I440" i="54"/>
  <c r="B441" i="54" s="1"/>
  <c r="H440" i="54"/>
  <c r="G440" i="54"/>
  <c r="D440" i="54"/>
  <c r="C440" i="54"/>
  <c r="G440" i="53"/>
  <c r="H440" i="53"/>
  <c r="D440" i="53"/>
  <c r="C440" i="53"/>
  <c r="I440" i="53"/>
  <c r="B441" i="53" s="1"/>
  <c r="G440" i="52"/>
  <c r="D440" i="52"/>
  <c r="C440" i="52"/>
  <c r="I440" i="52"/>
  <c r="B441" i="52" s="1"/>
  <c r="H440" i="52"/>
  <c r="I440" i="51"/>
  <c r="B441" i="51" s="1"/>
  <c r="H440" i="51"/>
  <c r="G440" i="51"/>
  <c r="D440" i="51"/>
  <c r="C440" i="51"/>
  <c r="H439" i="50"/>
  <c r="G439" i="50"/>
  <c r="D439" i="50"/>
  <c r="C439" i="50"/>
  <c r="I439" i="50"/>
  <c r="B440" i="50" s="1"/>
  <c r="I439" i="49"/>
  <c r="B440" i="49" s="1"/>
  <c r="H439" i="49"/>
  <c r="G439" i="49"/>
  <c r="D439" i="49"/>
  <c r="C439" i="49"/>
  <c r="D439" i="48"/>
  <c r="C439" i="48"/>
  <c r="I439" i="48"/>
  <c r="B440" i="48" s="1"/>
  <c r="H439" i="48"/>
  <c r="G439" i="48"/>
  <c r="H439" i="47"/>
  <c r="G439" i="47"/>
  <c r="D439" i="47"/>
  <c r="C439" i="47"/>
  <c r="I439" i="47"/>
  <c r="B440" i="47" s="1"/>
  <c r="I388" i="35"/>
  <c r="B389" i="35" s="1"/>
  <c r="C388" i="35"/>
  <c r="G388" i="35"/>
  <c r="H388" i="35"/>
  <c r="D388" i="35"/>
  <c r="G441" i="55" l="1"/>
  <c r="D441" i="55"/>
  <c r="C441" i="55"/>
  <c r="I441" i="55"/>
  <c r="B442" i="55" s="1"/>
  <c r="H441" i="55"/>
  <c r="I441" i="54"/>
  <c r="B442" i="54" s="1"/>
  <c r="H441" i="54"/>
  <c r="G441" i="54"/>
  <c r="D441" i="54"/>
  <c r="C441" i="54"/>
  <c r="I441" i="53"/>
  <c r="B442" i="53" s="1"/>
  <c r="C441" i="53"/>
  <c r="H441" i="53"/>
  <c r="G441" i="53"/>
  <c r="D441" i="53"/>
  <c r="I441" i="52"/>
  <c r="B442" i="52" s="1"/>
  <c r="H441" i="52"/>
  <c r="G441" i="52"/>
  <c r="D441" i="52"/>
  <c r="C441" i="52"/>
  <c r="C441" i="51"/>
  <c r="I441" i="51"/>
  <c r="B442" i="51" s="1"/>
  <c r="H441" i="51"/>
  <c r="G441" i="51"/>
  <c r="D441" i="51"/>
  <c r="I440" i="50"/>
  <c r="B441" i="50" s="1"/>
  <c r="H440" i="50"/>
  <c r="G440" i="50"/>
  <c r="D440" i="50"/>
  <c r="C440" i="50"/>
  <c r="I440" i="49"/>
  <c r="B441" i="49" s="1"/>
  <c r="H440" i="49"/>
  <c r="G440" i="49"/>
  <c r="D440" i="49"/>
  <c r="C440" i="49"/>
  <c r="H440" i="48"/>
  <c r="G440" i="48"/>
  <c r="D440" i="48"/>
  <c r="C440" i="48"/>
  <c r="I440" i="48"/>
  <c r="B441" i="48" s="1"/>
  <c r="I440" i="47"/>
  <c r="B441" i="47" s="1"/>
  <c r="H440" i="47"/>
  <c r="D440" i="47"/>
  <c r="G440" i="47"/>
  <c r="C440" i="47"/>
  <c r="D389" i="35"/>
  <c r="G389" i="35"/>
  <c r="I389" i="35"/>
  <c r="B390" i="35" s="1"/>
  <c r="H389" i="35"/>
  <c r="C389" i="35"/>
  <c r="I442" i="55" l="1"/>
  <c r="B443" i="55" s="1"/>
  <c r="H442" i="55"/>
  <c r="G442" i="55"/>
  <c r="D442" i="55"/>
  <c r="C442" i="55"/>
  <c r="C442" i="54"/>
  <c r="I442" i="54"/>
  <c r="B443" i="54" s="1"/>
  <c r="H442" i="54"/>
  <c r="G442" i="54"/>
  <c r="D442" i="54"/>
  <c r="D442" i="53"/>
  <c r="I442" i="53"/>
  <c r="B443" i="53" s="1"/>
  <c r="G442" i="53"/>
  <c r="C442" i="53"/>
  <c r="H442" i="53"/>
  <c r="I442" i="52"/>
  <c r="B443" i="52" s="1"/>
  <c r="H442" i="52"/>
  <c r="G442" i="52"/>
  <c r="C442" i="52"/>
  <c r="D442" i="52"/>
  <c r="G442" i="51"/>
  <c r="D442" i="51"/>
  <c r="C442" i="51"/>
  <c r="I442" i="51"/>
  <c r="B443" i="51" s="1"/>
  <c r="H442" i="51"/>
  <c r="I441" i="50"/>
  <c r="B442" i="50" s="1"/>
  <c r="H441" i="50"/>
  <c r="G441" i="50"/>
  <c r="D441" i="50"/>
  <c r="C441" i="50"/>
  <c r="C441" i="49"/>
  <c r="I441" i="49"/>
  <c r="B442" i="49" s="1"/>
  <c r="H441" i="49"/>
  <c r="G441" i="49"/>
  <c r="D441" i="49"/>
  <c r="I441" i="48"/>
  <c r="B442" i="48" s="1"/>
  <c r="H441" i="48"/>
  <c r="G441" i="48"/>
  <c r="D441" i="48"/>
  <c r="C441" i="48"/>
  <c r="H441" i="47"/>
  <c r="I441" i="47"/>
  <c r="B442" i="47" s="1"/>
  <c r="G441" i="47"/>
  <c r="D441" i="47"/>
  <c r="C441" i="47"/>
  <c r="C390" i="35"/>
  <c r="I390" i="35"/>
  <c r="B391" i="35" s="1"/>
  <c r="G390" i="35"/>
  <c r="D390" i="35"/>
  <c r="H390" i="35"/>
  <c r="I443" i="55" l="1"/>
  <c r="B444" i="55" s="1"/>
  <c r="H443" i="55"/>
  <c r="G443" i="55"/>
  <c r="C443" i="55"/>
  <c r="D443" i="55"/>
  <c r="G443" i="54"/>
  <c r="D443" i="54"/>
  <c r="C443" i="54"/>
  <c r="I443" i="54"/>
  <c r="B444" i="54" s="1"/>
  <c r="H443" i="54"/>
  <c r="C443" i="53"/>
  <c r="H443" i="53"/>
  <c r="I443" i="53"/>
  <c r="B444" i="53" s="1"/>
  <c r="G443" i="53"/>
  <c r="D443" i="53"/>
  <c r="C443" i="52"/>
  <c r="I443" i="52"/>
  <c r="B444" i="52" s="1"/>
  <c r="G443" i="52"/>
  <c r="H443" i="52"/>
  <c r="D443" i="52"/>
  <c r="I443" i="51"/>
  <c r="B444" i="51" s="1"/>
  <c r="H443" i="51"/>
  <c r="G443" i="51"/>
  <c r="D443" i="51"/>
  <c r="C443" i="51"/>
  <c r="D442" i="50"/>
  <c r="C442" i="50"/>
  <c r="I442" i="50"/>
  <c r="B443" i="50" s="1"/>
  <c r="H442" i="50"/>
  <c r="G442" i="50"/>
  <c r="G442" i="49"/>
  <c r="C442" i="49"/>
  <c r="I442" i="49"/>
  <c r="B443" i="49" s="1"/>
  <c r="H442" i="49"/>
  <c r="D442" i="49"/>
  <c r="I442" i="48"/>
  <c r="B443" i="48" s="1"/>
  <c r="H442" i="48"/>
  <c r="G442" i="48"/>
  <c r="D442" i="48"/>
  <c r="C442" i="48"/>
  <c r="D442" i="47"/>
  <c r="C442" i="47"/>
  <c r="I442" i="47"/>
  <c r="B443" i="47" s="1"/>
  <c r="H442" i="47"/>
  <c r="G442" i="47"/>
  <c r="C391" i="35"/>
  <c r="G391" i="35"/>
  <c r="H391" i="35"/>
  <c r="D391" i="35"/>
  <c r="I391" i="35"/>
  <c r="B392" i="35" s="1"/>
  <c r="C444" i="55" l="1"/>
  <c r="I444" i="55"/>
  <c r="B445" i="55" s="1"/>
  <c r="G444" i="55"/>
  <c r="D444" i="55"/>
  <c r="H444" i="55"/>
  <c r="I444" i="54"/>
  <c r="B445" i="54" s="1"/>
  <c r="H444" i="54"/>
  <c r="G444" i="54"/>
  <c r="D444" i="54"/>
  <c r="C444" i="54"/>
  <c r="G444" i="53"/>
  <c r="H444" i="53"/>
  <c r="C444" i="53"/>
  <c r="I444" i="53"/>
  <c r="B445" i="53" s="1"/>
  <c r="D444" i="53"/>
  <c r="G444" i="52"/>
  <c r="D444" i="52"/>
  <c r="C444" i="52"/>
  <c r="I444" i="52"/>
  <c r="B445" i="52" s="1"/>
  <c r="H444" i="52"/>
  <c r="I444" i="51"/>
  <c r="B445" i="51" s="1"/>
  <c r="H444" i="51"/>
  <c r="G444" i="51"/>
  <c r="C444" i="51"/>
  <c r="D444" i="51"/>
  <c r="H443" i="50"/>
  <c r="G443" i="50"/>
  <c r="D443" i="50"/>
  <c r="C443" i="50"/>
  <c r="I443" i="50"/>
  <c r="B444" i="50" s="1"/>
  <c r="I443" i="49"/>
  <c r="B444" i="49" s="1"/>
  <c r="G443" i="49"/>
  <c r="D443" i="49"/>
  <c r="C443" i="49"/>
  <c r="H443" i="49"/>
  <c r="D443" i="48"/>
  <c r="C443" i="48"/>
  <c r="I443" i="48"/>
  <c r="B444" i="48" s="1"/>
  <c r="H443" i="48"/>
  <c r="G443" i="48"/>
  <c r="H443" i="47"/>
  <c r="G443" i="47"/>
  <c r="D443" i="47"/>
  <c r="C443" i="47"/>
  <c r="I443" i="47"/>
  <c r="B444" i="47" s="1"/>
  <c r="I392" i="35"/>
  <c r="B393" i="35" s="1"/>
  <c r="C392" i="35"/>
  <c r="G392" i="35"/>
  <c r="H392" i="35"/>
  <c r="D392" i="35"/>
  <c r="G445" i="55" l="1"/>
  <c r="D445" i="55"/>
  <c r="C445" i="55"/>
  <c r="I445" i="55"/>
  <c r="B446" i="55" s="1"/>
  <c r="H445" i="55"/>
  <c r="I445" i="54"/>
  <c r="B446" i="54" s="1"/>
  <c r="H445" i="54"/>
  <c r="G445" i="54"/>
  <c r="D445" i="54"/>
  <c r="C445" i="54"/>
  <c r="I445" i="53"/>
  <c r="B446" i="53" s="1"/>
  <c r="H445" i="53"/>
  <c r="G445" i="53"/>
  <c r="D445" i="53"/>
  <c r="C445" i="53"/>
  <c r="I445" i="52"/>
  <c r="B446" i="52" s="1"/>
  <c r="H445" i="52"/>
  <c r="G445" i="52"/>
  <c r="D445" i="52"/>
  <c r="C445" i="52"/>
  <c r="C445" i="51"/>
  <c r="I445" i="51"/>
  <c r="B446" i="51" s="1"/>
  <c r="H445" i="51"/>
  <c r="G445" i="51"/>
  <c r="D445" i="51"/>
  <c r="I444" i="50"/>
  <c r="B445" i="50" s="1"/>
  <c r="H444" i="50"/>
  <c r="G444" i="50"/>
  <c r="D444" i="50"/>
  <c r="C444" i="50"/>
  <c r="I444" i="49"/>
  <c r="B445" i="49" s="1"/>
  <c r="H444" i="49"/>
  <c r="G444" i="49"/>
  <c r="D444" i="49"/>
  <c r="C444" i="49"/>
  <c r="H444" i="48"/>
  <c r="G444" i="48"/>
  <c r="D444" i="48"/>
  <c r="C444" i="48"/>
  <c r="I444" i="48"/>
  <c r="B445" i="48" s="1"/>
  <c r="I444" i="47"/>
  <c r="B445" i="47" s="1"/>
  <c r="H444" i="47"/>
  <c r="D444" i="47"/>
  <c r="G444" i="47"/>
  <c r="C444" i="47"/>
  <c r="G393" i="35"/>
  <c r="D393" i="35"/>
  <c r="I393" i="35"/>
  <c r="B394" i="35" s="1"/>
  <c r="H393" i="35"/>
  <c r="C393" i="35"/>
  <c r="I446" i="55" l="1"/>
  <c r="B447" i="55" s="1"/>
  <c r="H446" i="55"/>
  <c r="G446" i="55"/>
  <c r="D446" i="55"/>
  <c r="C446" i="55"/>
  <c r="C446" i="54"/>
  <c r="I446" i="54"/>
  <c r="B447" i="54" s="1"/>
  <c r="H446" i="54"/>
  <c r="G446" i="54"/>
  <c r="D446" i="54"/>
  <c r="H446" i="53"/>
  <c r="G446" i="53"/>
  <c r="D446" i="53"/>
  <c r="I446" i="53"/>
  <c r="B447" i="53" s="1"/>
  <c r="C446" i="53"/>
  <c r="I446" i="52"/>
  <c r="B447" i="52" s="1"/>
  <c r="H446" i="52"/>
  <c r="G446" i="52"/>
  <c r="C446" i="52"/>
  <c r="D446" i="52"/>
  <c r="G446" i="51"/>
  <c r="D446" i="51"/>
  <c r="C446" i="51"/>
  <c r="I446" i="51"/>
  <c r="B447" i="51" s="1"/>
  <c r="H446" i="51"/>
  <c r="I445" i="50"/>
  <c r="B446" i="50" s="1"/>
  <c r="H445" i="50"/>
  <c r="G445" i="50"/>
  <c r="D445" i="50"/>
  <c r="C445" i="50"/>
  <c r="C445" i="49"/>
  <c r="I445" i="49"/>
  <c r="B446" i="49" s="1"/>
  <c r="H445" i="49"/>
  <c r="G445" i="49"/>
  <c r="D445" i="49"/>
  <c r="I445" i="48"/>
  <c r="B446" i="48" s="1"/>
  <c r="H445" i="48"/>
  <c r="G445" i="48"/>
  <c r="D445" i="48"/>
  <c r="C445" i="48"/>
  <c r="H445" i="47"/>
  <c r="I445" i="47"/>
  <c r="B446" i="47" s="1"/>
  <c r="G445" i="47"/>
  <c r="D445" i="47"/>
  <c r="C445" i="47"/>
  <c r="I394" i="35"/>
  <c r="B395" i="35" s="1"/>
  <c r="G394" i="35"/>
  <c r="D394" i="35"/>
  <c r="H394" i="35"/>
  <c r="C394" i="35"/>
  <c r="I447" i="55" l="1"/>
  <c r="B448" i="55" s="1"/>
  <c r="H447" i="55"/>
  <c r="G447" i="55"/>
  <c r="C447" i="55"/>
  <c r="D447" i="55"/>
  <c r="G447" i="54"/>
  <c r="D447" i="54"/>
  <c r="C447" i="54"/>
  <c r="I447" i="54"/>
  <c r="B448" i="54" s="1"/>
  <c r="H447" i="54"/>
  <c r="C447" i="53"/>
  <c r="I447" i="53"/>
  <c r="B448" i="53" s="1"/>
  <c r="H447" i="53"/>
  <c r="G447" i="53"/>
  <c r="D447" i="53"/>
  <c r="C447" i="52"/>
  <c r="I447" i="52"/>
  <c r="B448" i="52" s="1"/>
  <c r="G447" i="52"/>
  <c r="H447" i="52"/>
  <c r="D447" i="52"/>
  <c r="I447" i="51"/>
  <c r="B448" i="51" s="1"/>
  <c r="H447" i="51"/>
  <c r="G447" i="51"/>
  <c r="D447" i="51"/>
  <c r="C447" i="51"/>
  <c r="D446" i="50"/>
  <c r="C446" i="50"/>
  <c r="I446" i="50"/>
  <c r="B447" i="50" s="1"/>
  <c r="H446" i="50"/>
  <c r="G446" i="50"/>
  <c r="G446" i="49"/>
  <c r="C446" i="49"/>
  <c r="H446" i="49"/>
  <c r="D446" i="49"/>
  <c r="I446" i="49"/>
  <c r="B447" i="49" s="1"/>
  <c r="I446" i="48"/>
  <c r="B447" i="48" s="1"/>
  <c r="H446" i="48"/>
  <c r="G446" i="48"/>
  <c r="D446" i="48"/>
  <c r="C446" i="48"/>
  <c r="D446" i="47"/>
  <c r="C446" i="47"/>
  <c r="I446" i="47"/>
  <c r="B447" i="47" s="1"/>
  <c r="H446" i="47"/>
  <c r="G446" i="47"/>
  <c r="C395" i="35"/>
  <c r="G395" i="35"/>
  <c r="D395" i="35"/>
  <c r="H395" i="35"/>
  <c r="I395" i="35"/>
  <c r="B396" i="35" s="1"/>
  <c r="C448" i="55" l="1"/>
  <c r="I448" i="55"/>
  <c r="B449" i="55" s="1"/>
  <c r="G448" i="55"/>
  <c r="D448" i="55"/>
  <c r="H448" i="55"/>
  <c r="I448" i="54"/>
  <c r="B449" i="54" s="1"/>
  <c r="H448" i="54"/>
  <c r="G448" i="54"/>
  <c r="D448" i="54"/>
  <c r="C448" i="54"/>
  <c r="G448" i="53"/>
  <c r="C448" i="53"/>
  <c r="I448" i="53"/>
  <c r="B449" i="53" s="1"/>
  <c r="H448" i="53"/>
  <c r="D448" i="53"/>
  <c r="G448" i="52"/>
  <c r="D448" i="52"/>
  <c r="C448" i="52"/>
  <c r="I448" i="52"/>
  <c r="B449" i="52" s="1"/>
  <c r="H448" i="52"/>
  <c r="I448" i="51"/>
  <c r="B449" i="51" s="1"/>
  <c r="H448" i="51"/>
  <c r="G448" i="51"/>
  <c r="D448" i="51"/>
  <c r="C448" i="51"/>
  <c r="H447" i="50"/>
  <c r="G447" i="50"/>
  <c r="D447" i="50"/>
  <c r="C447" i="50"/>
  <c r="I447" i="50"/>
  <c r="B448" i="50" s="1"/>
  <c r="I447" i="49"/>
  <c r="B448" i="49" s="1"/>
  <c r="G447" i="49"/>
  <c r="D447" i="49"/>
  <c r="C447" i="49"/>
  <c r="H447" i="49"/>
  <c r="D447" i="48"/>
  <c r="C447" i="48"/>
  <c r="I447" i="48"/>
  <c r="B448" i="48" s="1"/>
  <c r="H447" i="48"/>
  <c r="G447" i="48"/>
  <c r="H447" i="47"/>
  <c r="G447" i="47"/>
  <c r="D447" i="47"/>
  <c r="C447" i="47"/>
  <c r="I447" i="47"/>
  <c r="B448" i="47" s="1"/>
  <c r="C396" i="35"/>
  <c r="I396" i="35"/>
  <c r="B397" i="35" s="1"/>
  <c r="D396" i="35"/>
  <c r="G396" i="35"/>
  <c r="H396" i="35"/>
  <c r="G449" i="55" l="1"/>
  <c r="D449" i="55"/>
  <c r="C449" i="55"/>
  <c r="I449" i="55"/>
  <c r="B450" i="55" s="1"/>
  <c r="H449" i="55"/>
  <c r="I449" i="54"/>
  <c r="B450" i="54" s="1"/>
  <c r="H449" i="54"/>
  <c r="G449" i="54"/>
  <c r="D449" i="54"/>
  <c r="C449" i="54"/>
  <c r="I449" i="53"/>
  <c r="B450" i="53" s="1"/>
  <c r="G449" i="53"/>
  <c r="D449" i="53"/>
  <c r="C449" i="53"/>
  <c r="H449" i="53"/>
  <c r="I449" i="52"/>
  <c r="B450" i="52" s="1"/>
  <c r="H449" i="52"/>
  <c r="G449" i="52"/>
  <c r="D449" i="52"/>
  <c r="C449" i="52"/>
  <c r="C449" i="51"/>
  <c r="I449" i="51"/>
  <c r="B450" i="51" s="1"/>
  <c r="H449" i="51"/>
  <c r="G449" i="51"/>
  <c r="D449" i="51"/>
  <c r="I448" i="50"/>
  <c r="B449" i="50" s="1"/>
  <c r="H448" i="50"/>
  <c r="G448" i="50"/>
  <c r="D448" i="50"/>
  <c r="C448" i="50"/>
  <c r="I448" i="49"/>
  <c r="B449" i="49" s="1"/>
  <c r="H448" i="49"/>
  <c r="G448" i="49"/>
  <c r="D448" i="49"/>
  <c r="C448" i="49"/>
  <c r="H448" i="48"/>
  <c r="G448" i="48"/>
  <c r="D448" i="48"/>
  <c r="C448" i="48"/>
  <c r="I448" i="48"/>
  <c r="B449" i="48" s="1"/>
  <c r="I448" i="47"/>
  <c r="B449" i="47" s="1"/>
  <c r="H448" i="47"/>
  <c r="D448" i="47"/>
  <c r="G448" i="47"/>
  <c r="C448" i="47"/>
  <c r="G397" i="35"/>
  <c r="D397" i="35"/>
  <c r="I397" i="35"/>
  <c r="B398" i="35" s="1"/>
  <c r="H397" i="35"/>
  <c r="C397" i="35"/>
  <c r="I450" i="55" l="1"/>
  <c r="B451" i="55" s="1"/>
  <c r="H450" i="55"/>
  <c r="G450" i="55"/>
  <c r="D450" i="55"/>
  <c r="C450" i="55"/>
  <c r="C450" i="54"/>
  <c r="I450" i="54"/>
  <c r="B451" i="54" s="1"/>
  <c r="H450" i="54"/>
  <c r="G450" i="54"/>
  <c r="D450" i="54"/>
  <c r="I450" i="53"/>
  <c r="B451" i="53" s="1"/>
  <c r="H450" i="53"/>
  <c r="G450" i="53"/>
  <c r="D450" i="53"/>
  <c r="C450" i="53"/>
  <c r="I450" i="52"/>
  <c r="B451" i="52" s="1"/>
  <c r="H450" i="52"/>
  <c r="G450" i="52"/>
  <c r="C450" i="52"/>
  <c r="D450" i="52"/>
  <c r="G450" i="51"/>
  <c r="D450" i="51"/>
  <c r="C450" i="51"/>
  <c r="I450" i="51"/>
  <c r="B451" i="51" s="1"/>
  <c r="H450" i="51"/>
  <c r="I449" i="50"/>
  <c r="B450" i="50" s="1"/>
  <c r="H449" i="50"/>
  <c r="G449" i="50"/>
  <c r="D449" i="50"/>
  <c r="C449" i="50"/>
  <c r="C449" i="49"/>
  <c r="I449" i="49"/>
  <c r="B450" i="49" s="1"/>
  <c r="H449" i="49"/>
  <c r="G449" i="49"/>
  <c r="D449" i="49"/>
  <c r="I449" i="48"/>
  <c r="B450" i="48" s="1"/>
  <c r="H449" i="48"/>
  <c r="G449" i="48"/>
  <c r="D449" i="48"/>
  <c r="C449" i="48"/>
  <c r="H449" i="47"/>
  <c r="I449" i="47"/>
  <c r="B450" i="47" s="1"/>
  <c r="G449" i="47"/>
  <c r="D449" i="47"/>
  <c r="C449" i="47"/>
  <c r="H398" i="35"/>
  <c r="C398" i="35"/>
  <c r="G398" i="35"/>
  <c r="I398" i="35"/>
  <c r="B399" i="35" s="1"/>
  <c r="D398" i="35"/>
  <c r="I451" i="55" l="1"/>
  <c r="B452" i="55" s="1"/>
  <c r="H451" i="55"/>
  <c r="G451" i="55"/>
  <c r="C451" i="55"/>
  <c r="D451" i="55"/>
  <c r="G451" i="54"/>
  <c r="D451" i="54"/>
  <c r="C451" i="54"/>
  <c r="I451" i="54"/>
  <c r="B452" i="54" s="1"/>
  <c r="H451" i="54"/>
  <c r="C451" i="53"/>
  <c r="I451" i="53"/>
  <c r="B452" i="53" s="1"/>
  <c r="H451" i="53"/>
  <c r="G451" i="53"/>
  <c r="D451" i="53"/>
  <c r="C451" i="52"/>
  <c r="I451" i="52"/>
  <c r="B452" i="52" s="1"/>
  <c r="G451" i="52"/>
  <c r="H451" i="52"/>
  <c r="D451" i="52"/>
  <c r="I451" i="51"/>
  <c r="B452" i="51" s="1"/>
  <c r="H451" i="51"/>
  <c r="G451" i="51"/>
  <c r="D451" i="51"/>
  <c r="C451" i="51"/>
  <c r="D450" i="50"/>
  <c r="C450" i="50"/>
  <c r="I450" i="50"/>
  <c r="B451" i="50" s="1"/>
  <c r="H450" i="50"/>
  <c r="G450" i="50"/>
  <c r="G450" i="49"/>
  <c r="C450" i="49"/>
  <c r="D450" i="49"/>
  <c r="I450" i="49"/>
  <c r="B451" i="49" s="1"/>
  <c r="H450" i="49"/>
  <c r="I450" i="48"/>
  <c r="B451" i="48" s="1"/>
  <c r="H450" i="48"/>
  <c r="G450" i="48"/>
  <c r="D450" i="48"/>
  <c r="C450" i="48"/>
  <c r="D450" i="47"/>
  <c r="C450" i="47"/>
  <c r="I450" i="47"/>
  <c r="B451" i="47" s="1"/>
  <c r="H450" i="47"/>
  <c r="G450" i="47"/>
  <c r="C399" i="35"/>
  <c r="G399" i="35"/>
  <c r="H399" i="35"/>
  <c r="D399" i="35"/>
  <c r="I399" i="35"/>
  <c r="B400" i="35" s="1"/>
  <c r="C452" i="55" l="1"/>
  <c r="I452" i="55"/>
  <c r="B453" i="55" s="1"/>
  <c r="G452" i="55"/>
  <c r="D452" i="55"/>
  <c r="H452" i="55"/>
  <c r="I452" i="54"/>
  <c r="B453" i="54" s="1"/>
  <c r="H452" i="54"/>
  <c r="G452" i="54"/>
  <c r="D452" i="54"/>
  <c r="C452" i="54"/>
  <c r="G452" i="53"/>
  <c r="C452" i="53"/>
  <c r="H452" i="53"/>
  <c r="D452" i="53"/>
  <c r="I452" i="53"/>
  <c r="B453" i="53" s="1"/>
  <c r="G452" i="52"/>
  <c r="D452" i="52"/>
  <c r="C452" i="52"/>
  <c r="I452" i="52"/>
  <c r="B453" i="52" s="1"/>
  <c r="H452" i="52"/>
  <c r="I452" i="51"/>
  <c r="B453" i="51" s="1"/>
  <c r="H452" i="51"/>
  <c r="G452" i="51"/>
  <c r="D452" i="51"/>
  <c r="C452" i="51"/>
  <c r="H451" i="50"/>
  <c r="G451" i="50"/>
  <c r="D451" i="50"/>
  <c r="C451" i="50"/>
  <c r="I451" i="50"/>
  <c r="B452" i="50" s="1"/>
  <c r="I451" i="49"/>
  <c r="B452" i="49" s="1"/>
  <c r="G451" i="49"/>
  <c r="D451" i="49"/>
  <c r="C451" i="49"/>
  <c r="H451" i="49"/>
  <c r="D451" i="48"/>
  <c r="C451" i="48"/>
  <c r="I451" i="48"/>
  <c r="B452" i="48" s="1"/>
  <c r="H451" i="48"/>
  <c r="G451" i="48"/>
  <c r="H451" i="47"/>
  <c r="G451" i="47"/>
  <c r="D451" i="47"/>
  <c r="C451" i="47"/>
  <c r="I451" i="47"/>
  <c r="B452" i="47" s="1"/>
  <c r="I400" i="35"/>
  <c r="B401" i="35" s="1"/>
  <c r="C400" i="35"/>
  <c r="G400" i="35"/>
  <c r="D400" i="35"/>
  <c r="H400" i="35"/>
  <c r="G453" i="55" l="1"/>
  <c r="D453" i="55"/>
  <c r="C453" i="55"/>
  <c r="I453" i="55"/>
  <c r="B454" i="55" s="1"/>
  <c r="H453" i="55"/>
  <c r="I453" i="54"/>
  <c r="B454" i="54" s="1"/>
  <c r="H453" i="54"/>
  <c r="G453" i="54"/>
  <c r="D453" i="54"/>
  <c r="C453" i="54"/>
  <c r="I453" i="53"/>
  <c r="B454" i="53" s="1"/>
  <c r="G453" i="53"/>
  <c r="D453" i="53"/>
  <c r="C453" i="53"/>
  <c r="H453" i="53"/>
  <c r="I453" i="52"/>
  <c r="B454" i="52" s="1"/>
  <c r="H453" i="52"/>
  <c r="G453" i="52"/>
  <c r="D453" i="52"/>
  <c r="C453" i="52"/>
  <c r="C453" i="51"/>
  <c r="I453" i="51"/>
  <c r="B454" i="51" s="1"/>
  <c r="H453" i="51"/>
  <c r="G453" i="51"/>
  <c r="D453" i="51"/>
  <c r="I452" i="50"/>
  <c r="B453" i="50" s="1"/>
  <c r="H452" i="50"/>
  <c r="G452" i="50"/>
  <c r="D452" i="50"/>
  <c r="C452" i="50"/>
  <c r="I452" i="49"/>
  <c r="B453" i="49" s="1"/>
  <c r="H452" i="49"/>
  <c r="G452" i="49"/>
  <c r="D452" i="49"/>
  <c r="C452" i="49"/>
  <c r="H452" i="48"/>
  <c r="G452" i="48"/>
  <c r="D452" i="48"/>
  <c r="C452" i="48"/>
  <c r="I452" i="48"/>
  <c r="B453" i="48" s="1"/>
  <c r="I452" i="47"/>
  <c r="B453" i="47" s="1"/>
  <c r="H452" i="47"/>
  <c r="D452" i="47"/>
  <c r="G452" i="47"/>
  <c r="C452" i="47"/>
  <c r="D401" i="35"/>
  <c r="G401" i="35"/>
  <c r="I401" i="35"/>
  <c r="B402" i="35" s="1"/>
  <c r="H401" i="35"/>
  <c r="C401" i="35"/>
  <c r="I454" i="55" l="1"/>
  <c r="B455" i="55" s="1"/>
  <c r="H454" i="55"/>
  <c r="G454" i="55"/>
  <c r="D454" i="55"/>
  <c r="C454" i="55"/>
  <c r="C454" i="54"/>
  <c r="I454" i="54"/>
  <c r="B455" i="54" s="1"/>
  <c r="H454" i="54"/>
  <c r="G454" i="54"/>
  <c r="D454" i="54"/>
  <c r="I454" i="53"/>
  <c r="B455" i="53" s="1"/>
  <c r="H454" i="53"/>
  <c r="G454" i="53"/>
  <c r="D454" i="53"/>
  <c r="C454" i="53"/>
  <c r="I454" i="52"/>
  <c r="B455" i="52" s="1"/>
  <c r="H454" i="52"/>
  <c r="G454" i="52"/>
  <c r="C454" i="52"/>
  <c r="D454" i="52"/>
  <c r="G454" i="51"/>
  <c r="D454" i="51"/>
  <c r="C454" i="51"/>
  <c r="I454" i="51"/>
  <c r="B455" i="51" s="1"/>
  <c r="H454" i="51"/>
  <c r="I453" i="50"/>
  <c r="B454" i="50" s="1"/>
  <c r="H453" i="50"/>
  <c r="G453" i="50"/>
  <c r="D453" i="50"/>
  <c r="C453" i="50"/>
  <c r="C453" i="49"/>
  <c r="I453" i="49"/>
  <c r="B454" i="49" s="1"/>
  <c r="H453" i="49"/>
  <c r="G453" i="49"/>
  <c r="D453" i="49"/>
  <c r="I453" i="48"/>
  <c r="B454" i="48" s="1"/>
  <c r="H453" i="48"/>
  <c r="G453" i="48"/>
  <c r="D453" i="48"/>
  <c r="C453" i="48"/>
  <c r="H453" i="47"/>
  <c r="I453" i="47"/>
  <c r="B454" i="47" s="1"/>
  <c r="G453" i="47"/>
  <c r="D453" i="47"/>
  <c r="C453" i="47"/>
  <c r="H402" i="35"/>
  <c r="C402" i="35"/>
  <c r="I402" i="35"/>
  <c r="B403" i="35" s="1"/>
  <c r="G402" i="35"/>
  <c r="D402" i="35"/>
  <c r="I455" i="55" l="1"/>
  <c r="B456" i="55" s="1"/>
  <c r="H455" i="55"/>
  <c r="G455" i="55"/>
  <c r="C455" i="55"/>
  <c r="D455" i="55"/>
  <c r="G455" i="54"/>
  <c r="D455" i="54"/>
  <c r="C455" i="54"/>
  <c r="I455" i="54"/>
  <c r="B456" i="54" s="1"/>
  <c r="H455" i="54"/>
  <c r="C455" i="53"/>
  <c r="I455" i="53"/>
  <c r="B456" i="53" s="1"/>
  <c r="H455" i="53"/>
  <c r="G455" i="53"/>
  <c r="D455" i="53"/>
  <c r="C455" i="52"/>
  <c r="I455" i="52"/>
  <c r="B456" i="52" s="1"/>
  <c r="G455" i="52"/>
  <c r="H455" i="52"/>
  <c r="D455" i="52"/>
  <c r="I455" i="51"/>
  <c r="B456" i="51" s="1"/>
  <c r="H455" i="51"/>
  <c r="G455" i="51"/>
  <c r="D455" i="51"/>
  <c r="C455" i="51"/>
  <c r="D454" i="50"/>
  <c r="C454" i="50"/>
  <c r="I454" i="50"/>
  <c r="B455" i="50" s="1"/>
  <c r="H454" i="50"/>
  <c r="G454" i="50"/>
  <c r="G454" i="49"/>
  <c r="C454" i="49"/>
  <c r="I454" i="49"/>
  <c r="B455" i="49" s="1"/>
  <c r="H454" i="49"/>
  <c r="D454" i="49"/>
  <c r="I454" i="48"/>
  <c r="B455" i="48" s="1"/>
  <c r="H454" i="48"/>
  <c r="G454" i="48"/>
  <c r="D454" i="48"/>
  <c r="C454" i="48"/>
  <c r="D454" i="47"/>
  <c r="C454" i="47"/>
  <c r="I454" i="47"/>
  <c r="B455" i="47" s="1"/>
  <c r="H454" i="47"/>
  <c r="G454" i="47"/>
  <c r="C403" i="35"/>
  <c r="G403" i="35"/>
  <c r="H403" i="35"/>
  <c r="D403" i="35"/>
  <c r="I403" i="35"/>
  <c r="B404" i="35" s="1"/>
  <c r="C456" i="55" l="1"/>
  <c r="I456" i="55"/>
  <c r="B457" i="55" s="1"/>
  <c r="G456" i="55"/>
  <c r="D456" i="55"/>
  <c r="H456" i="55"/>
  <c r="I456" i="54"/>
  <c r="B457" i="54" s="1"/>
  <c r="H456" i="54"/>
  <c r="G456" i="54"/>
  <c r="D456" i="54"/>
  <c r="C456" i="54"/>
  <c r="G456" i="53"/>
  <c r="C456" i="53"/>
  <c r="I456" i="53"/>
  <c r="B457" i="53" s="1"/>
  <c r="D456" i="53"/>
  <c r="H456" i="53"/>
  <c r="I456" i="52"/>
  <c r="B457" i="52" s="1"/>
  <c r="G456" i="52"/>
  <c r="D456" i="52"/>
  <c r="C456" i="52"/>
  <c r="H456" i="52"/>
  <c r="I456" i="51"/>
  <c r="B457" i="51" s="1"/>
  <c r="H456" i="51"/>
  <c r="G456" i="51"/>
  <c r="D456" i="51"/>
  <c r="C456" i="51"/>
  <c r="H455" i="50"/>
  <c r="G455" i="50"/>
  <c r="D455" i="50"/>
  <c r="C455" i="50"/>
  <c r="I455" i="50"/>
  <c r="B456" i="50" s="1"/>
  <c r="I455" i="49"/>
  <c r="B456" i="49" s="1"/>
  <c r="G455" i="49"/>
  <c r="D455" i="49"/>
  <c r="C455" i="49"/>
  <c r="H455" i="49"/>
  <c r="D455" i="48"/>
  <c r="C455" i="48"/>
  <c r="I455" i="48"/>
  <c r="B456" i="48" s="1"/>
  <c r="H455" i="48"/>
  <c r="G455" i="48"/>
  <c r="H455" i="47"/>
  <c r="G455" i="47"/>
  <c r="D455" i="47"/>
  <c r="C455" i="47"/>
  <c r="I455" i="47"/>
  <c r="B456" i="47" s="1"/>
  <c r="I404" i="35"/>
  <c r="B405" i="35" s="1"/>
  <c r="C404" i="35"/>
  <c r="H404" i="35"/>
  <c r="D404" i="35"/>
  <c r="G404" i="35"/>
  <c r="G457" i="55" l="1"/>
  <c r="D457" i="55"/>
  <c r="C457" i="55"/>
  <c r="I457" i="55"/>
  <c r="B458" i="55" s="1"/>
  <c r="H457" i="55"/>
  <c r="I457" i="54"/>
  <c r="B458" i="54" s="1"/>
  <c r="H457" i="54"/>
  <c r="G457" i="54"/>
  <c r="D457" i="54"/>
  <c r="C457" i="54"/>
  <c r="I457" i="53"/>
  <c r="B458" i="53" s="1"/>
  <c r="G457" i="53"/>
  <c r="D457" i="53"/>
  <c r="C457" i="53"/>
  <c r="H457" i="53"/>
  <c r="I457" i="52"/>
  <c r="B458" i="52" s="1"/>
  <c r="H457" i="52"/>
  <c r="G457" i="52"/>
  <c r="D457" i="52"/>
  <c r="C457" i="52"/>
  <c r="C457" i="51"/>
  <c r="I457" i="51"/>
  <c r="B458" i="51" s="1"/>
  <c r="H457" i="51"/>
  <c r="G457" i="51"/>
  <c r="D457" i="51"/>
  <c r="I456" i="50"/>
  <c r="B457" i="50" s="1"/>
  <c r="H456" i="50"/>
  <c r="G456" i="50"/>
  <c r="D456" i="50"/>
  <c r="C456" i="50"/>
  <c r="I456" i="49"/>
  <c r="B457" i="49" s="1"/>
  <c r="H456" i="49"/>
  <c r="G456" i="49"/>
  <c r="D456" i="49"/>
  <c r="C456" i="49"/>
  <c r="H456" i="48"/>
  <c r="G456" i="48"/>
  <c r="D456" i="48"/>
  <c r="C456" i="48"/>
  <c r="I456" i="48"/>
  <c r="B457" i="48" s="1"/>
  <c r="I456" i="47"/>
  <c r="B457" i="47" s="1"/>
  <c r="H456" i="47"/>
  <c r="D456" i="47"/>
  <c r="G456" i="47"/>
  <c r="C456" i="47"/>
  <c r="D405" i="35"/>
  <c r="G405" i="35"/>
  <c r="I405" i="35"/>
  <c r="B406" i="35" s="1"/>
  <c r="H405" i="35"/>
  <c r="C405" i="35"/>
  <c r="I458" i="55" l="1"/>
  <c r="B459" i="55" s="1"/>
  <c r="H458" i="55"/>
  <c r="G458" i="55"/>
  <c r="D458" i="55"/>
  <c r="C458" i="55"/>
  <c r="C458" i="54"/>
  <c r="I458" i="54"/>
  <c r="B459" i="54" s="1"/>
  <c r="H458" i="54"/>
  <c r="G458" i="54"/>
  <c r="D458" i="54"/>
  <c r="I458" i="53"/>
  <c r="B459" i="53" s="1"/>
  <c r="H458" i="53"/>
  <c r="G458" i="53"/>
  <c r="D458" i="53"/>
  <c r="C458" i="53"/>
  <c r="C458" i="52"/>
  <c r="G458" i="52"/>
  <c r="H458" i="52"/>
  <c r="I458" i="52"/>
  <c r="B459" i="52" s="1"/>
  <c r="D458" i="52"/>
  <c r="G458" i="51"/>
  <c r="D458" i="51"/>
  <c r="C458" i="51"/>
  <c r="H458" i="51"/>
  <c r="I458" i="51"/>
  <c r="B459" i="51" s="1"/>
  <c r="I457" i="50"/>
  <c r="B458" i="50" s="1"/>
  <c r="H457" i="50"/>
  <c r="G457" i="50"/>
  <c r="D457" i="50"/>
  <c r="C457" i="50"/>
  <c r="C457" i="49"/>
  <c r="I457" i="49"/>
  <c r="B458" i="49" s="1"/>
  <c r="H457" i="49"/>
  <c r="D457" i="49"/>
  <c r="G457" i="49"/>
  <c r="I457" i="48"/>
  <c r="B458" i="48" s="1"/>
  <c r="H457" i="48"/>
  <c r="G457" i="48"/>
  <c r="D457" i="48"/>
  <c r="C457" i="48"/>
  <c r="H457" i="47"/>
  <c r="I457" i="47"/>
  <c r="B458" i="47" s="1"/>
  <c r="G457" i="47"/>
  <c r="D457" i="47"/>
  <c r="C457" i="47"/>
  <c r="H406" i="35"/>
  <c r="I406" i="35"/>
  <c r="B407" i="35" s="1"/>
  <c r="C406" i="35"/>
  <c r="G406" i="35"/>
  <c r="D406" i="35"/>
  <c r="I459" i="55" l="1"/>
  <c r="B460" i="55" s="1"/>
  <c r="H459" i="55"/>
  <c r="G459" i="55"/>
  <c r="C459" i="55"/>
  <c r="D459" i="55"/>
  <c r="G459" i="54"/>
  <c r="D459" i="54"/>
  <c r="C459" i="54"/>
  <c r="I459" i="54"/>
  <c r="B460" i="54" s="1"/>
  <c r="H459" i="54"/>
  <c r="C459" i="53"/>
  <c r="I459" i="53"/>
  <c r="B460" i="53" s="1"/>
  <c r="H459" i="53"/>
  <c r="G459" i="53"/>
  <c r="D459" i="53"/>
  <c r="G459" i="52"/>
  <c r="I459" i="52"/>
  <c r="B460" i="52" s="1"/>
  <c r="H459" i="52"/>
  <c r="D459" i="52"/>
  <c r="C459" i="52"/>
  <c r="I459" i="51"/>
  <c r="B460" i="51" s="1"/>
  <c r="H459" i="51"/>
  <c r="G459" i="51"/>
  <c r="D459" i="51"/>
  <c r="C459" i="51"/>
  <c r="D458" i="50"/>
  <c r="C458" i="50"/>
  <c r="I458" i="50"/>
  <c r="B459" i="50" s="1"/>
  <c r="H458" i="50"/>
  <c r="G458" i="50"/>
  <c r="G458" i="49"/>
  <c r="C458" i="49"/>
  <c r="I458" i="49"/>
  <c r="B459" i="49" s="1"/>
  <c r="H458" i="49"/>
  <c r="D458" i="49"/>
  <c r="C458" i="48"/>
  <c r="I458" i="48"/>
  <c r="B459" i="48" s="1"/>
  <c r="G458" i="48"/>
  <c r="H458" i="48"/>
  <c r="D458" i="48"/>
  <c r="D458" i="47"/>
  <c r="C458" i="47"/>
  <c r="I458" i="47"/>
  <c r="B459" i="47" s="1"/>
  <c r="H458" i="47"/>
  <c r="G458" i="47"/>
  <c r="C407" i="35"/>
  <c r="G407" i="35"/>
  <c r="I407" i="35"/>
  <c r="B408" i="35" s="1"/>
  <c r="D407" i="35"/>
  <c r="H407" i="35"/>
  <c r="C460" i="55" l="1"/>
  <c r="I460" i="55"/>
  <c r="B461" i="55" s="1"/>
  <c r="G460" i="55"/>
  <c r="D460" i="55"/>
  <c r="H460" i="55"/>
  <c r="I460" i="54"/>
  <c r="B461" i="54" s="1"/>
  <c r="H460" i="54"/>
  <c r="G460" i="54"/>
  <c r="D460" i="54"/>
  <c r="C460" i="54"/>
  <c r="G460" i="53"/>
  <c r="C460" i="53"/>
  <c r="H460" i="53"/>
  <c r="I460" i="53"/>
  <c r="B461" i="53" s="1"/>
  <c r="D460" i="53"/>
  <c r="I460" i="52"/>
  <c r="B461" i="52" s="1"/>
  <c r="H460" i="52"/>
  <c r="G460" i="52"/>
  <c r="C460" i="52"/>
  <c r="D460" i="52"/>
  <c r="I460" i="51"/>
  <c r="B461" i="51" s="1"/>
  <c r="H460" i="51"/>
  <c r="G460" i="51"/>
  <c r="D460" i="51"/>
  <c r="C460" i="51"/>
  <c r="H459" i="50"/>
  <c r="G459" i="50"/>
  <c r="D459" i="50"/>
  <c r="C459" i="50"/>
  <c r="I459" i="50"/>
  <c r="B460" i="50" s="1"/>
  <c r="I459" i="49"/>
  <c r="B460" i="49" s="1"/>
  <c r="G459" i="49"/>
  <c r="D459" i="49"/>
  <c r="C459" i="49"/>
  <c r="H459" i="49"/>
  <c r="G459" i="48"/>
  <c r="D459" i="48"/>
  <c r="C459" i="48"/>
  <c r="I459" i="48"/>
  <c r="B460" i="48" s="1"/>
  <c r="H459" i="48"/>
  <c r="H459" i="47"/>
  <c r="G459" i="47"/>
  <c r="D459" i="47"/>
  <c r="C459" i="47"/>
  <c r="I459" i="47"/>
  <c r="B460" i="47" s="1"/>
  <c r="C408" i="35"/>
  <c r="I408" i="35"/>
  <c r="B409" i="35" s="1"/>
  <c r="D408" i="35"/>
  <c r="G408" i="35"/>
  <c r="H408" i="35"/>
  <c r="G461" i="55" l="1"/>
  <c r="D461" i="55"/>
  <c r="C461" i="55"/>
  <c r="I461" i="55"/>
  <c r="B462" i="55" s="1"/>
  <c r="H461" i="55"/>
  <c r="I461" i="54"/>
  <c r="B462" i="54" s="1"/>
  <c r="H461" i="54"/>
  <c r="G461" i="54"/>
  <c r="D461" i="54"/>
  <c r="C461" i="54"/>
  <c r="I461" i="53"/>
  <c r="B462" i="53" s="1"/>
  <c r="G461" i="53"/>
  <c r="D461" i="53"/>
  <c r="C461" i="53"/>
  <c r="H461" i="53"/>
  <c r="I461" i="52"/>
  <c r="B462" i="52" s="1"/>
  <c r="G461" i="52"/>
  <c r="C461" i="52"/>
  <c r="H461" i="52"/>
  <c r="D461" i="52"/>
  <c r="C461" i="51"/>
  <c r="I461" i="51"/>
  <c r="B462" i="51" s="1"/>
  <c r="H461" i="51"/>
  <c r="G461" i="51"/>
  <c r="D461" i="51"/>
  <c r="I460" i="50"/>
  <c r="B461" i="50" s="1"/>
  <c r="H460" i="50"/>
  <c r="G460" i="50"/>
  <c r="D460" i="50"/>
  <c r="C460" i="50"/>
  <c r="I460" i="49"/>
  <c r="B461" i="49" s="1"/>
  <c r="H460" i="49"/>
  <c r="G460" i="49"/>
  <c r="D460" i="49"/>
  <c r="C460" i="49"/>
  <c r="I460" i="48"/>
  <c r="B461" i="48" s="1"/>
  <c r="H460" i="48"/>
  <c r="G460" i="48"/>
  <c r="D460" i="48"/>
  <c r="C460" i="48"/>
  <c r="I460" i="47"/>
  <c r="B461" i="47" s="1"/>
  <c r="H460" i="47"/>
  <c r="D460" i="47"/>
  <c r="G460" i="47"/>
  <c r="C460" i="47"/>
  <c r="G409" i="35"/>
  <c r="D409" i="35"/>
  <c r="I409" i="35"/>
  <c r="B410" i="35" s="1"/>
  <c r="H409" i="35"/>
  <c r="C409" i="35"/>
  <c r="I462" i="55" l="1"/>
  <c r="B463" i="55" s="1"/>
  <c r="H462" i="55"/>
  <c r="G462" i="55"/>
  <c r="D462" i="55"/>
  <c r="C462" i="55"/>
  <c r="C462" i="54"/>
  <c r="I462" i="54"/>
  <c r="B463" i="54" s="1"/>
  <c r="H462" i="54"/>
  <c r="G462" i="54"/>
  <c r="D462" i="54"/>
  <c r="I462" i="53"/>
  <c r="B463" i="53" s="1"/>
  <c r="H462" i="53"/>
  <c r="G462" i="53"/>
  <c r="D462" i="53"/>
  <c r="C462" i="53"/>
  <c r="C462" i="52"/>
  <c r="I462" i="52"/>
  <c r="B463" i="52" s="1"/>
  <c r="G462" i="52"/>
  <c r="H462" i="52"/>
  <c r="D462" i="52"/>
  <c r="G462" i="51"/>
  <c r="D462" i="51"/>
  <c r="C462" i="51"/>
  <c r="I462" i="51"/>
  <c r="B463" i="51" s="1"/>
  <c r="H462" i="51"/>
  <c r="I461" i="50"/>
  <c r="B462" i="50" s="1"/>
  <c r="H461" i="50"/>
  <c r="G461" i="50"/>
  <c r="D461" i="50"/>
  <c r="C461" i="50"/>
  <c r="C461" i="49"/>
  <c r="I461" i="49"/>
  <c r="B462" i="49" s="1"/>
  <c r="H461" i="49"/>
  <c r="G461" i="49"/>
  <c r="D461" i="49"/>
  <c r="I461" i="48"/>
  <c r="B462" i="48" s="1"/>
  <c r="H461" i="48"/>
  <c r="G461" i="48"/>
  <c r="C461" i="48"/>
  <c r="D461" i="48"/>
  <c r="H461" i="47"/>
  <c r="I461" i="47"/>
  <c r="B462" i="47" s="1"/>
  <c r="G461" i="47"/>
  <c r="D461" i="47"/>
  <c r="C461" i="47"/>
  <c r="C410" i="35"/>
  <c r="I410" i="35"/>
  <c r="B411" i="35" s="1"/>
  <c r="G410" i="35"/>
  <c r="H410" i="35"/>
  <c r="D410" i="35"/>
  <c r="I463" i="55" l="1"/>
  <c r="B464" i="55" s="1"/>
  <c r="H463" i="55"/>
  <c r="G463" i="55"/>
  <c r="C463" i="55"/>
  <c r="D463" i="55"/>
  <c r="G463" i="54"/>
  <c r="D463" i="54"/>
  <c r="C463" i="54"/>
  <c r="I463" i="54"/>
  <c r="B464" i="54" s="1"/>
  <c r="H463" i="54"/>
  <c r="C463" i="53"/>
  <c r="I463" i="53"/>
  <c r="B464" i="53" s="1"/>
  <c r="H463" i="53"/>
  <c r="D463" i="53"/>
  <c r="G463" i="53"/>
  <c r="G463" i="52"/>
  <c r="D463" i="52"/>
  <c r="C463" i="52"/>
  <c r="I463" i="52"/>
  <c r="B464" i="52" s="1"/>
  <c r="H463" i="52"/>
  <c r="I463" i="51"/>
  <c r="B464" i="51" s="1"/>
  <c r="H463" i="51"/>
  <c r="G463" i="51"/>
  <c r="D463" i="51"/>
  <c r="C463" i="51"/>
  <c r="D462" i="50"/>
  <c r="C462" i="50"/>
  <c r="I462" i="50"/>
  <c r="B463" i="50" s="1"/>
  <c r="H462" i="50"/>
  <c r="G462" i="50"/>
  <c r="G462" i="49"/>
  <c r="C462" i="49"/>
  <c r="I462" i="49"/>
  <c r="B463" i="49" s="1"/>
  <c r="H462" i="49"/>
  <c r="D462" i="49"/>
  <c r="C462" i="48"/>
  <c r="I462" i="48"/>
  <c r="B463" i="48" s="1"/>
  <c r="G462" i="48"/>
  <c r="H462" i="48"/>
  <c r="D462" i="48"/>
  <c r="D462" i="47"/>
  <c r="C462" i="47"/>
  <c r="I462" i="47"/>
  <c r="B463" i="47" s="1"/>
  <c r="H462" i="47"/>
  <c r="G462" i="47"/>
  <c r="C411" i="35"/>
  <c r="G411" i="35"/>
  <c r="H411" i="35"/>
  <c r="D411" i="35"/>
  <c r="I411" i="35"/>
  <c r="B412" i="35" s="1"/>
  <c r="C464" i="55" l="1"/>
  <c r="I464" i="55"/>
  <c r="B465" i="55" s="1"/>
  <c r="G464" i="55"/>
  <c r="D464" i="55"/>
  <c r="H464" i="55"/>
  <c r="I464" i="54"/>
  <c r="B465" i="54" s="1"/>
  <c r="H464" i="54"/>
  <c r="G464" i="54"/>
  <c r="D464" i="54"/>
  <c r="C464" i="54"/>
  <c r="G464" i="53"/>
  <c r="C464" i="53"/>
  <c r="D464" i="53"/>
  <c r="I464" i="53"/>
  <c r="B465" i="53" s="1"/>
  <c r="H464" i="53"/>
  <c r="I464" i="52"/>
  <c r="B465" i="52" s="1"/>
  <c r="H464" i="52"/>
  <c r="G464" i="52"/>
  <c r="D464" i="52"/>
  <c r="C464" i="52"/>
  <c r="I464" i="51"/>
  <c r="B465" i="51" s="1"/>
  <c r="H464" i="51"/>
  <c r="G464" i="51"/>
  <c r="D464" i="51"/>
  <c r="C464" i="51"/>
  <c r="H463" i="50"/>
  <c r="G463" i="50"/>
  <c r="D463" i="50"/>
  <c r="C463" i="50"/>
  <c r="I463" i="50"/>
  <c r="B464" i="50" s="1"/>
  <c r="I463" i="49"/>
  <c r="B464" i="49" s="1"/>
  <c r="G463" i="49"/>
  <c r="D463" i="49"/>
  <c r="C463" i="49"/>
  <c r="H463" i="49"/>
  <c r="G463" i="48"/>
  <c r="D463" i="48"/>
  <c r="C463" i="48"/>
  <c r="I463" i="48"/>
  <c r="B464" i="48" s="1"/>
  <c r="H463" i="48"/>
  <c r="H463" i="47"/>
  <c r="G463" i="47"/>
  <c r="D463" i="47"/>
  <c r="C463" i="47"/>
  <c r="I463" i="47"/>
  <c r="B464" i="47" s="1"/>
  <c r="I412" i="35"/>
  <c r="B413" i="35" s="1"/>
  <c r="C412" i="35"/>
  <c r="H412" i="35"/>
  <c r="D412" i="35"/>
  <c r="G412" i="35"/>
  <c r="G465" i="55" l="1"/>
  <c r="D465" i="55"/>
  <c r="C465" i="55"/>
  <c r="I465" i="55"/>
  <c r="B466" i="55" s="1"/>
  <c r="H465" i="55"/>
  <c r="I465" i="54"/>
  <c r="B466" i="54" s="1"/>
  <c r="H465" i="54"/>
  <c r="G465" i="54"/>
  <c r="D465" i="54"/>
  <c r="C465" i="54"/>
  <c r="I465" i="53"/>
  <c r="B466" i="53" s="1"/>
  <c r="G465" i="53"/>
  <c r="D465" i="53"/>
  <c r="C465" i="53"/>
  <c r="H465" i="53"/>
  <c r="I465" i="52"/>
  <c r="B466" i="52" s="1"/>
  <c r="H465" i="52"/>
  <c r="G465" i="52"/>
  <c r="C465" i="52"/>
  <c r="D465" i="52"/>
  <c r="C465" i="51"/>
  <c r="I465" i="51"/>
  <c r="B466" i="51" s="1"/>
  <c r="G465" i="51"/>
  <c r="D465" i="51"/>
  <c r="H465" i="51"/>
  <c r="I464" i="50"/>
  <c r="B465" i="50" s="1"/>
  <c r="H464" i="50"/>
  <c r="G464" i="50"/>
  <c r="D464" i="50"/>
  <c r="C464" i="50"/>
  <c r="I464" i="49"/>
  <c r="B465" i="49" s="1"/>
  <c r="H464" i="49"/>
  <c r="G464" i="49"/>
  <c r="D464" i="49"/>
  <c r="C464" i="49"/>
  <c r="I464" i="48"/>
  <c r="B465" i="48" s="1"/>
  <c r="H464" i="48"/>
  <c r="G464" i="48"/>
  <c r="D464" i="48"/>
  <c r="C464" i="48"/>
  <c r="I464" i="47"/>
  <c r="B465" i="47" s="1"/>
  <c r="H464" i="47"/>
  <c r="D464" i="47"/>
  <c r="G464" i="47"/>
  <c r="C464" i="47"/>
  <c r="G413" i="35"/>
  <c r="D413" i="35"/>
  <c r="I413" i="35"/>
  <c r="B414" i="35" s="1"/>
  <c r="H413" i="35"/>
  <c r="C413" i="35"/>
  <c r="G466" i="55" l="1"/>
  <c r="D466" i="55"/>
  <c r="C466" i="55"/>
  <c r="I466" i="55"/>
  <c r="B467" i="55" s="1"/>
  <c r="H466" i="55"/>
  <c r="C466" i="54"/>
  <c r="I466" i="54"/>
  <c r="B467" i="54" s="1"/>
  <c r="H466" i="54"/>
  <c r="G466" i="54"/>
  <c r="D466" i="54"/>
  <c r="I466" i="53"/>
  <c r="B467" i="53" s="1"/>
  <c r="H466" i="53"/>
  <c r="G466" i="53"/>
  <c r="D466" i="53"/>
  <c r="C466" i="53"/>
  <c r="C466" i="52"/>
  <c r="I466" i="52"/>
  <c r="B467" i="52" s="1"/>
  <c r="G466" i="52"/>
  <c r="H466" i="52"/>
  <c r="D466" i="52"/>
  <c r="G466" i="51"/>
  <c r="D466" i="51"/>
  <c r="C466" i="51"/>
  <c r="I466" i="51"/>
  <c r="B467" i="51" s="1"/>
  <c r="H466" i="51"/>
  <c r="I465" i="50"/>
  <c r="B466" i="50" s="1"/>
  <c r="H465" i="50"/>
  <c r="G465" i="50"/>
  <c r="D465" i="50"/>
  <c r="C465" i="50"/>
  <c r="C465" i="49"/>
  <c r="I465" i="49"/>
  <c r="B466" i="49" s="1"/>
  <c r="H465" i="49"/>
  <c r="G465" i="49"/>
  <c r="D465" i="49"/>
  <c r="I465" i="48"/>
  <c r="B466" i="48" s="1"/>
  <c r="H465" i="48"/>
  <c r="G465" i="48"/>
  <c r="C465" i="48"/>
  <c r="D465" i="48"/>
  <c r="H465" i="47"/>
  <c r="I465" i="47"/>
  <c r="B466" i="47" s="1"/>
  <c r="G465" i="47"/>
  <c r="D465" i="47"/>
  <c r="C465" i="47"/>
  <c r="C414" i="35"/>
  <c r="I414" i="35"/>
  <c r="B415" i="35" s="1"/>
  <c r="H414" i="35"/>
  <c r="D414" i="35"/>
  <c r="G414" i="35"/>
  <c r="I467" i="55" l="1"/>
  <c r="B468" i="55" s="1"/>
  <c r="H467" i="55"/>
  <c r="G467" i="55"/>
  <c r="D467" i="55"/>
  <c r="C467" i="55"/>
  <c r="G467" i="54"/>
  <c r="D467" i="54"/>
  <c r="C467" i="54"/>
  <c r="I467" i="54"/>
  <c r="B468" i="54" s="1"/>
  <c r="H467" i="54"/>
  <c r="C467" i="53"/>
  <c r="I467" i="53"/>
  <c r="B468" i="53" s="1"/>
  <c r="H467" i="53"/>
  <c r="G467" i="53"/>
  <c r="D467" i="53"/>
  <c r="G467" i="52"/>
  <c r="D467" i="52"/>
  <c r="C467" i="52"/>
  <c r="I467" i="52"/>
  <c r="B468" i="52" s="1"/>
  <c r="H467" i="52"/>
  <c r="I467" i="51"/>
  <c r="B468" i="51" s="1"/>
  <c r="H467" i="51"/>
  <c r="G467" i="51"/>
  <c r="D467" i="51"/>
  <c r="C467" i="51"/>
  <c r="D466" i="50"/>
  <c r="C466" i="50"/>
  <c r="I466" i="50"/>
  <c r="B467" i="50" s="1"/>
  <c r="H466" i="50"/>
  <c r="G466" i="50"/>
  <c r="G466" i="49"/>
  <c r="C466" i="49"/>
  <c r="I466" i="49"/>
  <c r="B467" i="49" s="1"/>
  <c r="H466" i="49"/>
  <c r="D466" i="49"/>
  <c r="C466" i="48"/>
  <c r="I466" i="48"/>
  <c r="B467" i="48" s="1"/>
  <c r="G466" i="48"/>
  <c r="H466" i="48"/>
  <c r="D466" i="48"/>
  <c r="D466" i="47"/>
  <c r="C466" i="47"/>
  <c r="I466" i="47"/>
  <c r="B467" i="47" s="1"/>
  <c r="H466" i="47"/>
  <c r="G466" i="47"/>
  <c r="C415" i="35"/>
  <c r="G415" i="35"/>
  <c r="D415" i="35"/>
  <c r="H415" i="35"/>
  <c r="I415" i="35"/>
  <c r="B416" i="35" s="1"/>
  <c r="I468" i="55" l="1"/>
  <c r="B469" i="55" s="1"/>
  <c r="H468" i="55"/>
  <c r="G468" i="55"/>
  <c r="D468" i="55"/>
  <c r="C468" i="55"/>
  <c r="I468" i="54"/>
  <c r="B469" i="54" s="1"/>
  <c r="H468" i="54"/>
  <c r="G468" i="54"/>
  <c r="D468" i="54"/>
  <c r="C468" i="54"/>
  <c r="G468" i="53"/>
  <c r="C468" i="53"/>
  <c r="I468" i="53"/>
  <c r="B469" i="53" s="1"/>
  <c r="D468" i="53"/>
  <c r="H468" i="53"/>
  <c r="I468" i="52"/>
  <c r="B469" i="52" s="1"/>
  <c r="H468" i="52"/>
  <c r="G468" i="52"/>
  <c r="D468" i="52"/>
  <c r="C468" i="52"/>
  <c r="I468" i="51"/>
  <c r="B469" i="51" s="1"/>
  <c r="H468" i="51"/>
  <c r="G468" i="51"/>
  <c r="D468" i="51"/>
  <c r="C468" i="51"/>
  <c r="H467" i="50"/>
  <c r="G467" i="50"/>
  <c r="D467" i="50"/>
  <c r="C467" i="50"/>
  <c r="I467" i="50"/>
  <c r="B468" i="50" s="1"/>
  <c r="I467" i="49"/>
  <c r="B468" i="49" s="1"/>
  <c r="G467" i="49"/>
  <c r="D467" i="49"/>
  <c r="C467" i="49"/>
  <c r="H467" i="49"/>
  <c r="G467" i="48"/>
  <c r="D467" i="48"/>
  <c r="C467" i="48"/>
  <c r="I467" i="48"/>
  <c r="B468" i="48" s="1"/>
  <c r="H467" i="48"/>
  <c r="H467" i="47"/>
  <c r="G467" i="47"/>
  <c r="D467" i="47"/>
  <c r="C467" i="47"/>
  <c r="I467" i="47"/>
  <c r="B468" i="47" s="1"/>
  <c r="I416" i="35"/>
  <c r="B417" i="35" s="1"/>
  <c r="C416" i="35"/>
  <c r="G416" i="35"/>
  <c r="D416" i="35"/>
  <c r="H416" i="35"/>
  <c r="C469" i="55" l="1"/>
  <c r="I469" i="55"/>
  <c r="B470" i="55" s="1"/>
  <c r="H469" i="55"/>
  <c r="G469" i="55"/>
  <c r="D469" i="55"/>
  <c r="I469" i="54"/>
  <c r="B470" i="54" s="1"/>
  <c r="H469" i="54"/>
  <c r="G469" i="54"/>
  <c r="D469" i="54"/>
  <c r="C469" i="54"/>
  <c r="I469" i="53"/>
  <c r="B470" i="53" s="1"/>
  <c r="G469" i="53"/>
  <c r="D469" i="53"/>
  <c r="C469" i="53"/>
  <c r="H469" i="53"/>
  <c r="I469" i="52"/>
  <c r="B470" i="52" s="1"/>
  <c r="H469" i="52"/>
  <c r="G469" i="52"/>
  <c r="C469" i="52"/>
  <c r="D469" i="52"/>
  <c r="C469" i="51"/>
  <c r="I469" i="51"/>
  <c r="B470" i="51" s="1"/>
  <c r="D469" i="51"/>
  <c r="H469" i="51"/>
  <c r="G469" i="51"/>
  <c r="I468" i="50"/>
  <c r="B469" i="50" s="1"/>
  <c r="H468" i="50"/>
  <c r="G468" i="50"/>
  <c r="D468" i="50"/>
  <c r="C468" i="50"/>
  <c r="I468" i="49"/>
  <c r="B469" i="49" s="1"/>
  <c r="H468" i="49"/>
  <c r="G468" i="49"/>
  <c r="D468" i="49"/>
  <c r="C468" i="49"/>
  <c r="I468" i="48"/>
  <c r="B469" i="48" s="1"/>
  <c r="H468" i="48"/>
  <c r="G468" i="48"/>
  <c r="D468" i="48"/>
  <c r="C468" i="48"/>
  <c r="I468" i="47"/>
  <c r="B469" i="47" s="1"/>
  <c r="H468" i="47"/>
  <c r="D468" i="47"/>
  <c r="G468" i="47"/>
  <c r="C468" i="47"/>
  <c r="G417" i="35"/>
  <c r="D417" i="35"/>
  <c r="I417" i="35"/>
  <c r="B418" i="35" s="1"/>
  <c r="C417" i="35"/>
  <c r="H417" i="35"/>
  <c r="G470" i="55" l="1"/>
  <c r="D470" i="55"/>
  <c r="C470" i="55"/>
  <c r="I470" i="55"/>
  <c r="B471" i="55" s="1"/>
  <c r="H470" i="55"/>
  <c r="C470" i="54"/>
  <c r="I470" i="54"/>
  <c r="B471" i="54" s="1"/>
  <c r="H470" i="54"/>
  <c r="G470" i="54"/>
  <c r="D470" i="54"/>
  <c r="I470" i="53"/>
  <c r="B471" i="53" s="1"/>
  <c r="H470" i="53"/>
  <c r="G470" i="53"/>
  <c r="D470" i="53"/>
  <c r="C470" i="53"/>
  <c r="C470" i="52"/>
  <c r="I470" i="52"/>
  <c r="B471" i="52" s="1"/>
  <c r="G470" i="52"/>
  <c r="H470" i="52"/>
  <c r="D470" i="52"/>
  <c r="G470" i="51"/>
  <c r="D470" i="51"/>
  <c r="C470" i="51"/>
  <c r="I470" i="51"/>
  <c r="B471" i="51" s="1"/>
  <c r="H470" i="51"/>
  <c r="I469" i="50"/>
  <c r="B470" i="50" s="1"/>
  <c r="H469" i="50"/>
  <c r="G469" i="50"/>
  <c r="D469" i="50"/>
  <c r="C469" i="50"/>
  <c r="C469" i="49"/>
  <c r="I469" i="49"/>
  <c r="B470" i="49" s="1"/>
  <c r="H469" i="49"/>
  <c r="G469" i="49"/>
  <c r="D469" i="49"/>
  <c r="I469" i="48"/>
  <c r="B470" i="48" s="1"/>
  <c r="H469" i="48"/>
  <c r="G469" i="48"/>
  <c r="C469" i="48"/>
  <c r="D469" i="48"/>
  <c r="H469" i="47"/>
  <c r="I469" i="47"/>
  <c r="B470" i="47" s="1"/>
  <c r="G469" i="47"/>
  <c r="D469" i="47"/>
  <c r="C469" i="47"/>
  <c r="H418" i="35"/>
  <c r="C418" i="35"/>
  <c r="G418" i="35"/>
  <c r="D418" i="35"/>
  <c r="I418" i="35"/>
  <c r="B419" i="35" s="1"/>
  <c r="I471" i="55" l="1"/>
  <c r="B472" i="55" s="1"/>
  <c r="H471" i="55"/>
  <c r="G471" i="55"/>
  <c r="D471" i="55"/>
  <c r="C471" i="55"/>
  <c r="G471" i="54"/>
  <c r="D471" i="54"/>
  <c r="C471" i="54"/>
  <c r="I471" i="54"/>
  <c r="B472" i="54" s="1"/>
  <c r="H471" i="54"/>
  <c r="C471" i="53"/>
  <c r="I471" i="53"/>
  <c r="B472" i="53" s="1"/>
  <c r="H471" i="53"/>
  <c r="D471" i="53"/>
  <c r="G471" i="53"/>
  <c r="G471" i="52"/>
  <c r="D471" i="52"/>
  <c r="C471" i="52"/>
  <c r="I471" i="52"/>
  <c r="B472" i="52" s="1"/>
  <c r="H471" i="52"/>
  <c r="I471" i="51"/>
  <c r="B472" i="51" s="1"/>
  <c r="H471" i="51"/>
  <c r="G471" i="51"/>
  <c r="D471" i="51"/>
  <c r="C471" i="51"/>
  <c r="D470" i="50"/>
  <c r="C470" i="50"/>
  <c r="I470" i="50"/>
  <c r="B471" i="50" s="1"/>
  <c r="H470" i="50"/>
  <c r="G470" i="50"/>
  <c r="G470" i="49"/>
  <c r="C470" i="49"/>
  <c r="I470" i="49"/>
  <c r="B471" i="49" s="1"/>
  <c r="H470" i="49"/>
  <c r="D470" i="49"/>
  <c r="C470" i="48"/>
  <c r="I470" i="48"/>
  <c r="B471" i="48" s="1"/>
  <c r="G470" i="48"/>
  <c r="H470" i="48"/>
  <c r="D470" i="48"/>
  <c r="D470" i="47"/>
  <c r="C470" i="47"/>
  <c r="I470" i="47"/>
  <c r="B471" i="47" s="1"/>
  <c r="H470" i="47"/>
  <c r="G470" i="47"/>
  <c r="C419" i="35"/>
  <c r="G419" i="35"/>
  <c r="H419" i="35"/>
  <c r="D419" i="35"/>
  <c r="I419" i="35"/>
  <c r="B420" i="35" s="1"/>
  <c r="I472" i="55" l="1"/>
  <c r="B473" i="55" s="1"/>
  <c r="H472" i="55"/>
  <c r="G472" i="55"/>
  <c r="D472" i="55"/>
  <c r="C472" i="55"/>
  <c r="I472" i="54"/>
  <c r="B473" i="54" s="1"/>
  <c r="H472" i="54"/>
  <c r="G472" i="54"/>
  <c r="D472" i="54"/>
  <c r="C472" i="54"/>
  <c r="G472" i="53"/>
  <c r="C472" i="53"/>
  <c r="I472" i="53"/>
  <c r="B473" i="53" s="1"/>
  <c r="H472" i="53"/>
  <c r="D472" i="53"/>
  <c r="I472" i="52"/>
  <c r="B473" i="52" s="1"/>
  <c r="H472" i="52"/>
  <c r="G472" i="52"/>
  <c r="D472" i="52"/>
  <c r="C472" i="52"/>
  <c r="I472" i="51"/>
  <c r="B473" i="51" s="1"/>
  <c r="H472" i="51"/>
  <c r="G472" i="51"/>
  <c r="D472" i="51"/>
  <c r="C472" i="51"/>
  <c r="H471" i="50"/>
  <c r="G471" i="50"/>
  <c r="D471" i="50"/>
  <c r="C471" i="50"/>
  <c r="I471" i="50"/>
  <c r="B472" i="50" s="1"/>
  <c r="I471" i="49"/>
  <c r="B472" i="49" s="1"/>
  <c r="G471" i="49"/>
  <c r="D471" i="49"/>
  <c r="C471" i="49"/>
  <c r="H471" i="49"/>
  <c r="G471" i="48"/>
  <c r="D471" i="48"/>
  <c r="C471" i="48"/>
  <c r="I471" i="48"/>
  <c r="B472" i="48" s="1"/>
  <c r="H471" i="48"/>
  <c r="H471" i="47"/>
  <c r="G471" i="47"/>
  <c r="D471" i="47"/>
  <c r="C471" i="47"/>
  <c r="I471" i="47"/>
  <c r="B472" i="47" s="1"/>
  <c r="I420" i="35"/>
  <c r="B421" i="35" s="1"/>
  <c r="C420" i="35"/>
  <c r="G420" i="35"/>
  <c r="D420" i="35"/>
  <c r="H420" i="35"/>
  <c r="C473" i="55" l="1"/>
  <c r="I473" i="55"/>
  <c r="B474" i="55" s="1"/>
  <c r="H473" i="55"/>
  <c r="G473" i="55"/>
  <c r="D473" i="55"/>
  <c r="I473" i="54"/>
  <c r="B474" i="54" s="1"/>
  <c r="H473" i="54"/>
  <c r="G473" i="54"/>
  <c r="D473" i="54"/>
  <c r="C473" i="54"/>
  <c r="I473" i="53"/>
  <c r="B474" i="53" s="1"/>
  <c r="G473" i="53"/>
  <c r="D473" i="53"/>
  <c r="C473" i="53"/>
  <c r="H473" i="53"/>
  <c r="I473" i="52"/>
  <c r="B474" i="52" s="1"/>
  <c r="H473" i="52"/>
  <c r="G473" i="52"/>
  <c r="C473" i="52"/>
  <c r="D473" i="52"/>
  <c r="C473" i="51"/>
  <c r="I473" i="51"/>
  <c r="B474" i="51" s="1"/>
  <c r="H473" i="51"/>
  <c r="G473" i="51"/>
  <c r="D473" i="51"/>
  <c r="I472" i="50"/>
  <c r="B473" i="50" s="1"/>
  <c r="H472" i="50"/>
  <c r="G472" i="50"/>
  <c r="D472" i="50"/>
  <c r="C472" i="50"/>
  <c r="I472" i="49"/>
  <c r="B473" i="49" s="1"/>
  <c r="H472" i="49"/>
  <c r="G472" i="49"/>
  <c r="D472" i="49"/>
  <c r="C472" i="49"/>
  <c r="I472" i="48"/>
  <c r="B473" i="48" s="1"/>
  <c r="H472" i="48"/>
  <c r="G472" i="48"/>
  <c r="D472" i="48"/>
  <c r="C472" i="48"/>
  <c r="I472" i="47"/>
  <c r="B473" i="47" s="1"/>
  <c r="H472" i="47"/>
  <c r="D472" i="47"/>
  <c r="G472" i="47"/>
  <c r="C472" i="47"/>
  <c r="D421" i="35"/>
  <c r="G421" i="35"/>
  <c r="I421" i="35"/>
  <c r="B422" i="35" s="1"/>
  <c r="H421" i="35"/>
  <c r="C421" i="35"/>
  <c r="G474" i="55" l="1"/>
  <c r="D474" i="55"/>
  <c r="C474" i="55"/>
  <c r="I474" i="55"/>
  <c r="B475" i="55" s="1"/>
  <c r="H474" i="55"/>
  <c r="C474" i="54"/>
  <c r="I474" i="54"/>
  <c r="B475" i="54" s="1"/>
  <c r="H474" i="54"/>
  <c r="G474" i="54"/>
  <c r="D474" i="54"/>
  <c r="I474" i="53"/>
  <c r="B475" i="53" s="1"/>
  <c r="H474" i="53"/>
  <c r="G474" i="53"/>
  <c r="D474" i="53"/>
  <c r="C474" i="53"/>
  <c r="C474" i="52"/>
  <c r="I474" i="52"/>
  <c r="B475" i="52" s="1"/>
  <c r="G474" i="52"/>
  <c r="H474" i="52"/>
  <c r="D474" i="52"/>
  <c r="G474" i="51"/>
  <c r="D474" i="51"/>
  <c r="C474" i="51"/>
  <c r="I474" i="51"/>
  <c r="B475" i="51" s="1"/>
  <c r="H474" i="51"/>
  <c r="I473" i="50"/>
  <c r="B474" i="50" s="1"/>
  <c r="H473" i="50"/>
  <c r="G473" i="50"/>
  <c r="D473" i="50"/>
  <c r="C473" i="50"/>
  <c r="C473" i="49"/>
  <c r="I473" i="49"/>
  <c r="B474" i="49" s="1"/>
  <c r="H473" i="49"/>
  <c r="G473" i="49"/>
  <c r="D473" i="49"/>
  <c r="I473" i="48"/>
  <c r="B474" i="48" s="1"/>
  <c r="H473" i="48"/>
  <c r="G473" i="48"/>
  <c r="C473" i="48"/>
  <c r="D473" i="48"/>
  <c r="H473" i="47"/>
  <c r="I473" i="47"/>
  <c r="B474" i="47" s="1"/>
  <c r="G473" i="47"/>
  <c r="D473" i="47"/>
  <c r="C473" i="47"/>
  <c r="C422" i="35"/>
  <c r="H422" i="35"/>
  <c r="I422" i="35"/>
  <c r="B423" i="35" s="1"/>
  <c r="G422" i="35"/>
  <c r="D422" i="35"/>
  <c r="I475" i="55" l="1"/>
  <c r="B476" i="55" s="1"/>
  <c r="H475" i="55"/>
  <c r="G475" i="55"/>
  <c r="D475" i="55"/>
  <c r="C475" i="55"/>
  <c r="G475" i="54"/>
  <c r="D475" i="54"/>
  <c r="C475" i="54"/>
  <c r="I475" i="54"/>
  <c r="B476" i="54" s="1"/>
  <c r="H475" i="54"/>
  <c r="C475" i="53"/>
  <c r="I475" i="53"/>
  <c r="B476" i="53" s="1"/>
  <c r="H475" i="53"/>
  <c r="D475" i="53"/>
  <c r="G475" i="53"/>
  <c r="G475" i="52"/>
  <c r="D475" i="52"/>
  <c r="C475" i="52"/>
  <c r="I475" i="52"/>
  <c r="B476" i="52" s="1"/>
  <c r="H475" i="52"/>
  <c r="I475" i="51"/>
  <c r="B476" i="51" s="1"/>
  <c r="H475" i="51"/>
  <c r="G475" i="51"/>
  <c r="D475" i="51"/>
  <c r="C475" i="51"/>
  <c r="D474" i="50"/>
  <c r="C474" i="50"/>
  <c r="I474" i="50"/>
  <c r="B475" i="50" s="1"/>
  <c r="H474" i="50"/>
  <c r="G474" i="50"/>
  <c r="G474" i="49"/>
  <c r="C474" i="49"/>
  <c r="I474" i="49"/>
  <c r="B475" i="49" s="1"/>
  <c r="H474" i="49"/>
  <c r="D474" i="49"/>
  <c r="C474" i="48"/>
  <c r="I474" i="48"/>
  <c r="B475" i="48" s="1"/>
  <c r="G474" i="48"/>
  <c r="H474" i="48"/>
  <c r="D474" i="48"/>
  <c r="D474" i="47"/>
  <c r="C474" i="47"/>
  <c r="I474" i="47"/>
  <c r="B475" i="47" s="1"/>
  <c r="H474" i="47"/>
  <c r="G474" i="47"/>
  <c r="C423" i="35"/>
  <c r="G423" i="35"/>
  <c r="D423" i="35"/>
  <c r="H423" i="35"/>
  <c r="I423" i="35"/>
  <c r="B424" i="35" s="1"/>
  <c r="I476" i="55" l="1"/>
  <c r="B477" i="55" s="1"/>
  <c r="H476" i="55"/>
  <c r="G476" i="55"/>
  <c r="D476" i="55"/>
  <c r="C476" i="55"/>
  <c r="I476" i="54"/>
  <c r="B477" i="54" s="1"/>
  <c r="H476" i="54"/>
  <c r="G476" i="54"/>
  <c r="D476" i="54"/>
  <c r="C476" i="54"/>
  <c r="G476" i="53"/>
  <c r="C476" i="53"/>
  <c r="I476" i="53"/>
  <c r="B477" i="53" s="1"/>
  <c r="H476" i="53"/>
  <c r="D476" i="53"/>
  <c r="I476" i="52"/>
  <c r="B477" i="52" s="1"/>
  <c r="H476" i="52"/>
  <c r="G476" i="52"/>
  <c r="D476" i="52"/>
  <c r="C476" i="52"/>
  <c r="I476" i="51"/>
  <c r="B477" i="51" s="1"/>
  <c r="H476" i="51"/>
  <c r="G476" i="51"/>
  <c r="C476" i="51"/>
  <c r="D476" i="51"/>
  <c r="H475" i="50"/>
  <c r="G475" i="50"/>
  <c r="D475" i="50"/>
  <c r="C475" i="50"/>
  <c r="I475" i="50"/>
  <c r="B476" i="50" s="1"/>
  <c r="I475" i="49"/>
  <c r="B476" i="49" s="1"/>
  <c r="G475" i="49"/>
  <c r="D475" i="49"/>
  <c r="C475" i="49"/>
  <c r="H475" i="49"/>
  <c r="G475" i="48"/>
  <c r="D475" i="48"/>
  <c r="C475" i="48"/>
  <c r="I475" i="48"/>
  <c r="B476" i="48" s="1"/>
  <c r="H475" i="48"/>
  <c r="H475" i="47"/>
  <c r="G475" i="47"/>
  <c r="D475" i="47"/>
  <c r="C475" i="47"/>
  <c r="I475" i="47"/>
  <c r="B476" i="47" s="1"/>
  <c r="I424" i="35"/>
  <c r="B425" i="35" s="1"/>
  <c r="C424" i="35"/>
  <c r="G424" i="35"/>
  <c r="D424" i="35"/>
  <c r="H424" i="35"/>
  <c r="C477" i="55" l="1"/>
  <c r="I477" i="55"/>
  <c r="B478" i="55" s="1"/>
  <c r="H477" i="55"/>
  <c r="G477" i="55"/>
  <c r="D477" i="55"/>
  <c r="I477" i="54"/>
  <c r="B478" i="54" s="1"/>
  <c r="H477" i="54"/>
  <c r="G477" i="54"/>
  <c r="D477" i="54"/>
  <c r="C477" i="54"/>
  <c r="I477" i="53"/>
  <c r="B478" i="53" s="1"/>
  <c r="G477" i="53"/>
  <c r="D477" i="53"/>
  <c r="C477" i="53"/>
  <c r="H477" i="53"/>
  <c r="I477" i="52"/>
  <c r="B478" i="52" s="1"/>
  <c r="H477" i="52"/>
  <c r="G477" i="52"/>
  <c r="C477" i="52"/>
  <c r="D477" i="52"/>
  <c r="C477" i="51"/>
  <c r="I477" i="51"/>
  <c r="B478" i="51" s="1"/>
  <c r="H477" i="51"/>
  <c r="G477" i="51"/>
  <c r="D477" i="51"/>
  <c r="I476" i="50"/>
  <c r="B477" i="50" s="1"/>
  <c r="H476" i="50"/>
  <c r="G476" i="50"/>
  <c r="D476" i="50"/>
  <c r="C476" i="50"/>
  <c r="I476" i="49"/>
  <c r="B477" i="49" s="1"/>
  <c r="H476" i="49"/>
  <c r="G476" i="49"/>
  <c r="D476" i="49"/>
  <c r="C476" i="49"/>
  <c r="I476" i="48"/>
  <c r="B477" i="48" s="1"/>
  <c r="H476" i="48"/>
  <c r="G476" i="48"/>
  <c r="D476" i="48"/>
  <c r="C476" i="48"/>
  <c r="I476" i="47"/>
  <c r="B477" i="47" s="1"/>
  <c r="H476" i="47"/>
  <c r="D476" i="47"/>
  <c r="G476" i="47"/>
  <c r="C476" i="47"/>
  <c r="G425" i="35"/>
  <c r="D425" i="35"/>
  <c r="I425" i="35"/>
  <c r="B426" i="35" s="1"/>
  <c r="H425" i="35"/>
  <c r="C425" i="35"/>
  <c r="G478" i="55" l="1"/>
  <c r="D478" i="55"/>
  <c r="C478" i="55"/>
  <c r="I478" i="55"/>
  <c r="B479" i="55" s="1"/>
  <c r="H478" i="55"/>
  <c r="C478" i="54"/>
  <c r="I478" i="54"/>
  <c r="B479" i="54" s="1"/>
  <c r="H478" i="54"/>
  <c r="G478" i="54"/>
  <c r="D478" i="54"/>
  <c r="I478" i="53"/>
  <c r="B479" i="53" s="1"/>
  <c r="H478" i="53"/>
  <c r="G478" i="53"/>
  <c r="D478" i="53"/>
  <c r="C478" i="53"/>
  <c r="C478" i="52"/>
  <c r="I478" i="52"/>
  <c r="B479" i="52" s="1"/>
  <c r="G478" i="52"/>
  <c r="H478" i="52"/>
  <c r="D478" i="52"/>
  <c r="G478" i="51"/>
  <c r="D478" i="51"/>
  <c r="C478" i="51"/>
  <c r="I478" i="51"/>
  <c r="B479" i="51" s="1"/>
  <c r="H478" i="51"/>
  <c r="I477" i="50"/>
  <c r="B478" i="50" s="1"/>
  <c r="H477" i="50"/>
  <c r="G477" i="50"/>
  <c r="D477" i="50"/>
  <c r="C477" i="50"/>
  <c r="C477" i="49"/>
  <c r="I477" i="49"/>
  <c r="B478" i="49" s="1"/>
  <c r="H477" i="49"/>
  <c r="G477" i="49"/>
  <c r="D477" i="49"/>
  <c r="I477" i="48"/>
  <c r="B478" i="48" s="1"/>
  <c r="H477" i="48"/>
  <c r="G477" i="48"/>
  <c r="C477" i="48"/>
  <c r="D477" i="48"/>
  <c r="H477" i="47"/>
  <c r="I477" i="47"/>
  <c r="B478" i="47" s="1"/>
  <c r="G477" i="47"/>
  <c r="D477" i="47"/>
  <c r="C477" i="47"/>
  <c r="I426" i="35"/>
  <c r="B427" i="35" s="1"/>
  <c r="H426" i="35"/>
  <c r="D426" i="35"/>
  <c r="G426" i="35"/>
  <c r="C426" i="35"/>
  <c r="I479" i="55" l="1"/>
  <c r="B480" i="55" s="1"/>
  <c r="H479" i="55"/>
  <c r="G479" i="55"/>
  <c r="D479" i="55"/>
  <c r="C479" i="55"/>
  <c r="G479" i="54"/>
  <c r="D479" i="54"/>
  <c r="C479" i="54"/>
  <c r="I479" i="54"/>
  <c r="B480" i="54" s="1"/>
  <c r="H479" i="54"/>
  <c r="C479" i="53"/>
  <c r="I479" i="53"/>
  <c r="B480" i="53" s="1"/>
  <c r="H479" i="53"/>
  <c r="G479" i="53"/>
  <c r="D479" i="53"/>
  <c r="G479" i="52"/>
  <c r="D479" i="52"/>
  <c r="C479" i="52"/>
  <c r="I479" i="52"/>
  <c r="B480" i="52" s="1"/>
  <c r="H479" i="52"/>
  <c r="I479" i="51"/>
  <c r="B480" i="51" s="1"/>
  <c r="H479" i="51"/>
  <c r="G479" i="51"/>
  <c r="D479" i="51"/>
  <c r="C479" i="51"/>
  <c r="D478" i="50"/>
  <c r="C478" i="50"/>
  <c r="I478" i="50"/>
  <c r="B479" i="50" s="1"/>
  <c r="H478" i="50"/>
  <c r="G478" i="50"/>
  <c r="G478" i="49"/>
  <c r="C478" i="49"/>
  <c r="H478" i="49"/>
  <c r="D478" i="49"/>
  <c r="I478" i="49"/>
  <c r="B479" i="49" s="1"/>
  <c r="C478" i="48"/>
  <c r="I478" i="48"/>
  <c r="B479" i="48" s="1"/>
  <c r="G478" i="48"/>
  <c r="H478" i="48"/>
  <c r="D478" i="48"/>
  <c r="D478" i="47"/>
  <c r="C478" i="47"/>
  <c r="I478" i="47"/>
  <c r="B479" i="47" s="1"/>
  <c r="H478" i="47"/>
  <c r="G478" i="47"/>
  <c r="C427" i="35"/>
  <c r="G427" i="35"/>
  <c r="H427" i="35"/>
  <c r="I427" i="35"/>
  <c r="B428" i="35" s="1"/>
  <c r="D427" i="35"/>
  <c r="I480" i="55" l="1"/>
  <c r="B481" i="55" s="1"/>
  <c r="H480" i="55"/>
  <c r="G480" i="55"/>
  <c r="D480" i="55"/>
  <c r="C480" i="55"/>
  <c r="I480" i="54"/>
  <c r="B481" i="54" s="1"/>
  <c r="H480" i="54"/>
  <c r="G480" i="54"/>
  <c r="D480" i="54"/>
  <c r="C480" i="54"/>
  <c r="G480" i="53"/>
  <c r="C480" i="53"/>
  <c r="I480" i="53"/>
  <c r="B481" i="53" s="1"/>
  <c r="H480" i="53"/>
  <c r="D480" i="53"/>
  <c r="I480" i="52"/>
  <c r="B481" i="52" s="1"/>
  <c r="H480" i="52"/>
  <c r="G480" i="52"/>
  <c r="D480" i="52"/>
  <c r="C480" i="52"/>
  <c r="I480" i="51"/>
  <c r="B481" i="51" s="1"/>
  <c r="H480" i="51"/>
  <c r="G480" i="51"/>
  <c r="D480" i="51"/>
  <c r="C480" i="51"/>
  <c r="H479" i="50"/>
  <c r="G479" i="50"/>
  <c r="D479" i="50"/>
  <c r="C479" i="50"/>
  <c r="I479" i="50"/>
  <c r="B480" i="50" s="1"/>
  <c r="I479" i="49"/>
  <c r="B480" i="49" s="1"/>
  <c r="G479" i="49"/>
  <c r="D479" i="49"/>
  <c r="C479" i="49"/>
  <c r="H479" i="49"/>
  <c r="G479" i="48"/>
  <c r="D479" i="48"/>
  <c r="C479" i="48"/>
  <c r="I479" i="48"/>
  <c r="B480" i="48" s="1"/>
  <c r="H479" i="48"/>
  <c r="H479" i="47"/>
  <c r="G479" i="47"/>
  <c r="D479" i="47"/>
  <c r="C479" i="47"/>
  <c r="I479" i="47"/>
  <c r="B480" i="47" s="1"/>
  <c r="C428" i="35"/>
  <c r="I428" i="35"/>
  <c r="B429" i="35" s="1"/>
  <c r="H428" i="35"/>
  <c r="G428" i="35"/>
  <c r="D428" i="35"/>
  <c r="C481" i="55" l="1"/>
  <c r="I481" i="55"/>
  <c r="B482" i="55" s="1"/>
  <c r="H481" i="55"/>
  <c r="G481" i="55"/>
  <c r="D481" i="55"/>
  <c r="I481" i="54"/>
  <c r="B482" i="54" s="1"/>
  <c r="H481" i="54"/>
  <c r="G481" i="54"/>
  <c r="D481" i="54"/>
  <c r="C481" i="54"/>
  <c r="I481" i="53"/>
  <c r="B482" i="53" s="1"/>
  <c r="G481" i="53"/>
  <c r="D481" i="53"/>
  <c r="C481" i="53"/>
  <c r="H481" i="53"/>
  <c r="I481" i="52"/>
  <c r="B482" i="52" s="1"/>
  <c r="H481" i="52"/>
  <c r="G481" i="52"/>
  <c r="C481" i="52"/>
  <c r="D481" i="52"/>
  <c r="C481" i="51"/>
  <c r="I481" i="51"/>
  <c r="B482" i="51" s="1"/>
  <c r="H481" i="51"/>
  <c r="G481" i="51"/>
  <c r="D481" i="51"/>
  <c r="I480" i="50"/>
  <c r="B481" i="50" s="1"/>
  <c r="H480" i="50"/>
  <c r="G480" i="50"/>
  <c r="D480" i="50"/>
  <c r="C480" i="50"/>
  <c r="I480" i="49"/>
  <c r="B481" i="49" s="1"/>
  <c r="H480" i="49"/>
  <c r="G480" i="49"/>
  <c r="D480" i="49"/>
  <c r="C480" i="49"/>
  <c r="I480" i="48"/>
  <c r="B481" i="48" s="1"/>
  <c r="H480" i="48"/>
  <c r="G480" i="48"/>
  <c r="D480" i="48"/>
  <c r="C480" i="48"/>
  <c r="I480" i="47"/>
  <c r="B481" i="47" s="1"/>
  <c r="H480" i="47"/>
  <c r="D480" i="47"/>
  <c r="G480" i="47"/>
  <c r="C480" i="47"/>
  <c r="G429" i="35"/>
  <c r="D429" i="35"/>
  <c r="I429" i="35"/>
  <c r="B430" i="35" s="1"/>
  <c r="H429" i="35"/>
  <c r="C429" i="35"/>
  <c r="G482" i="55" l="1"/>
  <c r="D482" i="55"/>
  <c r="C482" i="55"/>
  <c r="I482" i="55"/>
  <c r="B483" i="55" s="1"/>
  <c r="H482" i="55"/>
  <c r="C482" i="54"/>
  <c r="I482" i="54"/>
  <c r="B483" i="54" s="1"/>
  <c r="H482" i="54"/>
  <c r="G482" i="54"/>
  <c r="D482" i="54"/>
  <c r="I482" i="53"/>
  <c r="B483" i="53" s="1"/>
  <c r="H482" i="53"/>
  <c r="G482" i="53"/>
  <c r="D482" i="53"/>
  <c r="C482" i="53"/>
  <c r="C482" i="52"/>
  <c r="I482" i="52"/>
  <c r="B483" i="52" s="1"/>
  <c r="G482" i="52"/>
  <c r="H482" i="52"/>
  <c r="D482" i="52"/>
  <c r="G482" i="51"/>
  <c r="D482" i="51"/>
  <c r="C482" i="51"/>
  <c r="I482" i="51"/>
  <c r="B483" i="51" s="1"/>
  <c r="H482" i="51"/>
  <c r="I481" i="50"/>
  <c r="B482" i="50" s="1"/>
  <c r="H481" i="50"/>
  <c r="G481" i="50"/>
  <c r="D481" i="50"/>
  <c r="C481" i="50"/>
  <c r="C481" i="49"/>
  <c r="I481" i="49"/>
  <c r="B482" i="49" s="1"/>
  <c r="H481" i="49"/>
  <c r="G481" i="49"/>
  <c r="D481" i="49"/>
  <c r="I481" i="48"/>
  <c r="B482" i="48" s="1"/>
  <c r="H481" i="48"/>
  <c r="G481" i="48"/>
  <c r="C481" i="48"/>
  <c r="D481" i="48"/>
  <c r="H481" i="47"/>
  <c r="I481" i="47"/>
  <c r="B482" i="47" s="1"/>
  <c r="G481" i="47"/>
  <c r="D481" i="47"/>
  <c r="C481" i="47"/>
  <c r="H430" i="35"/>
  <c r="C430" i="35"/>
  <c r="G430" i="35"/>
  <c r="I430" i="35"/>
  <c r="B431" i="35" s="1"/>
  <c r="D430" i="35"/>
  <c r="I483" i="55" l="1"/>
  <c r="B484" i="55" s="1"/>
  <c r="H483" i="55"/>
  <c r="G483" i="55"/>
  <c r="D483" i="55"/>
  <c r="C483" i="55"/>
  <c r="G483" i="54"/>
  <c r="D483" i="54"/>
  <c r="C483" i="54"/>
  <c r="I483" i="54"/>
  <c r="B484" i="54" s="1"/>
  <c r="H483" i="54"/>
  <c r="C483" i="53"/>
  <c r="I483" i="53"/>
  <c r="B484" i="53" s="1"/>
  <c r="H483" i="53"/>
  <c r="G483" i="53"/>
  <c r="D483" i="53"/>
  <c r="G483" i="52"/>
  <c r="D483" i="52"/>
  <c r="C483" i="52"/>
  <c r="I483" i="52"/>
  <c r="B484" i="52" s="1"/>
  <c r="H483" i="52"/>
  <c r="I483" i="51"/>
  <c r="B484" i="51" s="1"/>
  <c r="H483" i="51"/>
  <c r="G483" i="51"/>
  <c r="D483" i="51"/>
  <c r="C483" i="51"/>
  <c r="D482" i="50"/>
  <c r="C482" i="50"/>
  <c r="I482" i="50"/>
  <c r="B483" i="50" s="1"/>
  <c r="H482" i="50"/>
  <c r="G482" i="50"/>
  <c r="G482" i="49"/>
  <c r="C482" i="49"/>
  <c r="D482" i="49"/>
  <c r="I482" i="49"/>
  <c r="B483" i="49" s="1"/>
  <c r="H482" i="49"/>
  <c r="C482" i="48"/>
  <c r="I482" i="48"/>
  <c r="B483" i="48" s="1"/>
  <c r="G482" i="48"/>
  <c r="H482" i="48"/>
  <c r="D482" i="48"/>
  <c r="D482" i="47"/>
  <c r="C482" i="47"/>
  <c r="I482" i="47"/>
  <c r="B483" i="47" s="1"/>
  <c r="H482" i="47"/>
  <c r="G482" i="47"/>
  <c r="C431" i="35"/>
  <c r="G431" i="35"/>
  <c r="H431" i="35"/>
  <c r="D431" i="35"/>
  <c r="I431" i="35"/>
  <c r="B432" i="35" s="1"/>
  <c r="I484" i="55" l="1"/>
  <c r="B485" i="55" s="1"/>
  <c r="H484" i="55"/>
  <c r="G484" i="55"/>
  <c r="D484" i="55"/>
  <c r="C484" i="55"/>
  <c r="I484" i="54"/>
  <c r="B485" i="54" s="1"/>
  <c r="H484" i="54"/>
  <c r="G484" i="54"/>
  <c r="D484" i="54"/>
  <c r="C484" i="54"/>
  <c r="G484" i="53"/>
  <c r="C484" i="53"/>
  <c r="H484" i="53"/>
  <c r="D484" i="53"/>
  <c r="I484" i="53"/>
  <c r="B485" i="53" s="1"/>
  <c r="I484" i="52"/>
  <c r="B485" i="52" s="1"/>
  <c r="H484" i="52"/>
  <c r="G484" i="52"/>
  <c r="D484" i="52"/>
  <c r="C484" i="52"/>
  <c r="I484" i="51"/>
  <c r="B485" i="51" s="1"/>
  <c r="H484" i="51"/>
  <c r="G484" i="51"/>
  <c r="D484" i="51"/>
  <c r="C484" i="51"/>
  <c r="H483" i="50"/>
  <c r="G483" i="50"/>
  <c r="D483" i="50"/>
  <c r="C483" i="50"/>
  <c r="I483" i="50"/>
  <c r="B484" i="50" s="1"/>
  <c r="I483" i="49"/>
  <c r="B484" i="49" s="1"/>
  <c r="G483" i="49"/>
  <c r="D483" i="49"/>
  <c r="C483" i="49"/>
  <c r="H483" i="49"/>
  <c r="G483" i="48"/>
  <c r="D483" i="48"/>
  <c r="C483" i="48"/>
  <c r="I483" i="48"/>
  <c r="B484" i="48" s="1"/>
  <c r="H483" i="48"/>
  <c r="H483" i="47"/>
  <c r="G483" i="47"/>
  <c r="D483" i="47"/>
  <c r="C483" i="47"/>
  <c r="I483" i="47"/>
  <c r="B484" i="47" s="1"/>
  <c r="I432" i="35"/>
  <c r="B433" i="35" s="1"/>
  <c r="C432" i="35"/>
  <c r="G432" i="35"/>
  <c r="H432" i="35"/>
  <c r="D432" i="35"/>
  <c r="C485" i="55" l="1"/>
  <c r="I485" i="55"/>
  <c r="B486" i="55" s="1"/>
  <c r="H485" i="55"/>
  <c r="G485" i="55"/>
  <c r="D485" i="55"/>
  <c r="I485" i="54"/>
  <c r="B486" i="54" s="1"/>
  <c r="H485" i="54"/>
  <c r="G485" i="54"/>
  <c r="D485" i="54"/>
  <c r="C485" i="54"/>
  <c r="I485" i="53"/>
  <c r="B486" i="53" s="1"/>
  <c r="G485" i="53"/>
  <c r="D485" i="53"/>
  <c r="C485" i="53"/>
  <c r="H485" i="53"/>
  <c r="I485" i="52"/>
  <c r="B486" i="52" s="1"/>
  <c r="H485" i="52"/>
  <c r="G485" i="52"/>
  <c r="C485" i="52"/>
  <c r="D485" i="52"/>
  <c r="C485" i="51"/>
  <c r="I485" i="51"/>
  <c r="B486" i="51" s="1"/>
  <c r="H485" i="51"/>
  <c r="G485" i="51"/>
  <c r="D485" i="51"/>
  <c r="I484" i="50"/>
  <c r="B485" i="50" s="1"/>
  <c r="H484" i="50"/>
  <c r="G484" i="50"/>
  <c r="D484" i="50"/>
  <c r="C484" i="50"/>
  <c r="I484" i="49"/>
  <c r="B485" i="49" s="1"/>
  <c r="H484" i="49"/>
  <c r="G484" i="49"/>
  <c r="D484" i="49"/>
  <c r="C484" i="49"/>
  <c r="I484" i="48"/>
  <c r="B485" i="48" s="1"/>
  <c r="H484" i="48"/>
  <c r="G484" i="48"/>
  <c r="D484" i="48"/>
  <c r="C484" i="48"/>
  <c r="I484" i="47"/>
  <c r="B485" i="47" s="1"/>
  <c r="H484" i="47"/>
  <c r="D484" i="47"/>
  <c r="G484" i="47"/>
  <c r="C484" i="47"/>
  <c r="D433" i="35"/>
  <c r="G433" i="35"/>
  <c r="I433" i="35"/>
  <c r="B434" i="35" s="1"/>
  <c r="H433" i="35"/>
  <c r="C433" i="35"/>
  <c r="G486" i="55" l="1"/>
  <c r="D486" i="55"/>
  <c r="C486" i="55"/>
  <c r="I486" i="55"/>
  <c r="B487" i="55" s="1"/>
  <c r="H486" i="55"/>
  <c r="C486" i="54"/>
  <c r="I486" i="54"/>
  <c r="B487" i="54" s="1"/>
  <c r="H486" i="54"/>
  <c r="G486" i="54"/>
  <c r="D486" i="54"/>
  <c r="I486" i="53"/>
  <c r="B487" i="53" s="1"/>
  <c r="H486" i="53"/>
  <c r="G486" i="53"/>
  <c r="D486" i="53"/>
  <c r="C486" i="53"/>
  <c r="C486" i="52"/>
  <c r="I486" i="52"/>
  <c r="B487" i="52" s="1"/>
  <c r="G486" i="52"/>
  <c r="H486" i="52"/>
  <c r="D486" i="52"/>
  <c r="G486" i="51"/>
  <c r="D486" i="51"/>
  <c r="C486" i="51"/>
  <c r="I486" i="51"/>
  <c r="B487" i="51" s="1"/>
  <c r="H486" i="51"/>
  <c r="I485" i="50"/>
  <c r="B486" i="50" s="1"/>
  <c r="H485" i="50"/>
  <c r="G485" i="50"/>
  <c r="D485" i="50"/>
  <c r="C485" i="50"/>
  <c r="C485" i="49"/>
  <c r="I485" i="49"/>
  <c r="B486" i="49" s="1"/>
  <c r="H485" i="49"/>
  <c r="G485" i="49"/>
  <c r="D485" i="49"/>
  <c r="I485" i="48"/>
  <c r="B486" i="48" s="1"/>
  <c r="H485" i="48"/>
  <c r="G485" i="48"/>
  <c r="C485" i="48"/>
  <c r="D485" i="48"/>
  <c r="H485" i="47"/>
  <c r="I485" i="47"/>
  <c r="B486" i="47" s="1"/>
  <c r="G485" i="47"/>
  <c r="D485" i="47"/>
  <c r="C485" i="47"/>
  <c r="H434" i="35"/>
  <c r="C434" i="35"/>
  <c r="I434" i="35"/>
  <c r="B435" i="35" s="1"/>
  <c r="D434" i="35"/>
  <c r="G434" i="35"/>
  <c r="I487" i="55" l="1"/>
  <c r="B488" i="55" s="1"/>
  <c r="H487" i="55"/>
  <c r="G487" i="55"/>
  <c r="D487" i="55"/>
  <c r="C487" i="55"/>
  <c r="G487" i="54"/>
  <c r="D487" i="54"/>
  <c r="C487" i="54"/>
  <c r="I487" i="54"/>
  <c r="B488" i="54" s="1"/>
  <c r="H487" i="54"/>
  <c r="C487" i="53"/>
  <c r="I487" i="53"/>
  <c r="B488" i="53" s="1"/>
  <c r="H487" i="53"/>
  <c r="G487" i="53"/>
  <c r="D487" i="53"/>
  <c r="G487" i="52"/>
  <c r="D487" i="52"/>
  <c r="C487" i="52"/>
  <c r="I487" i="52"/>
  <c r="B488" i="52" s="1"/>
  <c r="H487" i="52"/>
  <c r="I487" i="51"/>
  <c r="B488" i="51" s="1"/>
  <c r="H487" i="51"/>
  <c r="G487" i="51"/>
  <c r="D487" i="51"/>
  <c r="C487" i="51"/>
  <c r="D486" i="50"/>
  <c r="C486" i="50"/>
  <c r="I486" i="50"/>
  <c r="B487" i="50" s="1"/>
  <c r="H486" i="50"/>
  <c r="G486" i="50"/>
  <c r="G486" i="49"/>
  <c r="C486" i="49"/>
  <c r="I486" i="49"/>
  <c r="B487" i="49" s="1"/>
  <c r="H486" i="49"/>
  <c r="D486" i="49"/>
  <c r="C486" i="48"/>
  <c r="I486" i="48"/>
  <c r="B487" i="48" s="1"/>
  <c r="G486" i="48"/>
  <c r="H486" i="48"/>
  <c r="D486" i="48"/>
  <c r="D486" i="47"/>
  <c r="C486" i="47"/>
  <c r="I486" i="47"/>
  <c r="B487" i="47" s="1"/>
  <c r="H486" i="47"/>
  <c r="G486" i="47"/>
  <c r="C435" i="35"/>
  <c r="G435" i="35"/>
  <c r="H435" i="35"/>
  <c r="D435" i="35"/>
  <c r="I435" i="35"/>
  <c r="B436" i="35" s="1"/>
  <c r="I488" i="55" l="1"/>
  <c r="B489" i="55" s="1"/>
  <c r="H488" i="55"/>
  <c r="G488" i="55"/>
  <c r="D488" i="55"/>
  <c r="C488" i="55"/>
  <c r="I488" i="54"/>
  <c r="B489" i="54" s="1"/>
  <c r="H488" i="54"/>
  <c r="G488" i="54"/>
  <c r="D488" i="54"/>
  <c r="C488" i="54"/>
  <c r="G488" i="53"/>
  <c r="C488" i="53"/>
  <c r="I488" i="53"/>
  <c r="B489" i="53" s="1"/>
  <c r="D488" i="53"/>
  <c r="H488" i="53"/>
  <c r="I488" i="52"/>
  <c r="B489" i="52" s="1"/>
  <c r="H488" i="52"/>
  <c r="G488" i="52"/>
  <c r="D488" i="52"/>
  <c r="C488" i="52"/>
  <c r="I488" i="51"/>
  <c r="B489" i="51" s="1"/>
  <c r="H488" i="51"/>
  <c r="G488" i="51"/>
  <c r="D488" i="51"/>
  <c r="C488" i="51"/>
  <c r="H487" i="50"/>
  <c r="G487" i="50"/>
  <c r="D487" i="50"/>
  <c r="C487" i="50"/>
  <c r="I487" i="50"/>
  <c r="B488" i="50" s="1"/>
  <c r="I487" i="49"/>
  <c r="B488" i="49" s="1"/>
  <c r="G487" i="49"/>
  <c r="D487" i="49"/>
  <c r="C487" i="49"/>
  <c r="H487" i="49"/>
  <c r="G487" i="48"/>
  <c r="D487" i="48"/>
  <c r="C487" i="48"/>
  <c r="I487" i="48"/>
  <c r="B488" i="48" s="1"/>
  <c r="H487" i="48"/>
  <c r="H487" i="47"/>
  <c r="G487" i="47"/>
  <c r="D487" i="47"/>
  <c r="C487" i="47"/>
  <c r="I487" i="47"/>
  <c r="B488" i="47" s="1"/>
  <c r="I436" i="35"/>
  <c r="B437" i="35" s="1"/>
  <c r="C436" i="35"/>
  <c r="G436" i="35"/>
  <c r="D436" i="35"/>
  <c r="H436" i="35"/>
  <c r="C489" i="55" l="1"/>
  <c r="I489" i="55"/>
  <c r="B490" i="55" s="1"/>
  <c r="H489" i="55"/>
  <c r="G489" i="55"/>
  <c r="D489" i="55"/>
  <c r="I489" i="54"/>
  <c r="B490" i="54" s="1"/>
  <c r="H489" i="54"/>
  <c r="G489" i="54"/>
  <c r="D489" i="54"/>
  <c r="C489" i="54"/>
  <c r="I489" i="53"/>
  <c r="B490" i="53" s="1"/>
  <c r="G489" i="53"/>
  <c r="D489" i="53"/>
  <c r="C489" i="53"/>
  <c r="H489" i="53"/>
  <c r="I489" i="52"/>
  <c r="B490" i="52" s="1"/>
  <c r="H489" i="52"/>
  <c r="G489" i="52"/>
  <c r="C489" i="52"/>
  <c r="D489" i="52"/>
  <c r="I489" i="51"/>
  <c r="B490" i="51" s="1"/>
  <c r="H489" i="51"/>
  <c r="G489" i="51"/>
  <c r="C489" i="51"/>
  <c r="D489" i="51"/>
  <c r="I488" i="50"/>
  <c r="B489" i="50" s="1"/>
  <c r="H488" i="50"/>
  <c r="G488" i="50"/>
  <c r="D488" i="50"/>
  <c r="C488" i="50"/>
  <c r="I488" i="49"/>
  <c r="B489" i="49" s="1"/>
  <c r="H488" i="49"/>
  <c r="G488" i="49"/>
  <c r="D488" i="49"/>
  <c r="C488" i="49"/>
  <c r="I488" i="48"/>
  <c r="B489" i="48" s="1"/>
  <c r="H488" i="48"/>
  <c r="G488" i="48"/>
  <c r="D488" i="48"/>
  <c r="C488" i="48"/>
  <c r="I488" i="47"/>
  <c r="B489" i="47" s="1"/>
  <c r="H488" i="47"/>
  <c r="D488" i="47"/>
  <c r="G488" i="47"/>
  <c r="C488" i="47"/>
  <c r="G437" i="35"/>
  <c r="D437" i="35"/>
  <c r="I437" i="35"/>
  <c r="B438" i="35" s="1"/>
  <c r="H437" i="35"/>
  <c r="C437" i="35"/>
  <c r="G490" i="55" l="1"/>
  <c r="D490" i="55"/>
  <c r="C490" i="55"/>
  <c r="I490" i="55"/>
  <c r="B491" i="55" s="1"/>
  <c r="H490" i="55"/>
  <c r="C490" i="54"/>
  <c r="I490" i="54"/>
  <c r="B491" i="54" s="1"/>
  <c r="H490" i="54"/>
  <c r="G490" i="54"/>
  <c r="D490" i="54"/>
  <c r="I490" i="53"/>
  <c r="B491" i="53" s="1"/>
  <c r="H490" i="53"/>
  <c r="G490" i="53"/>
  <c r="D490" i="53"/>
  <c r="C490" i="53"/>
  <c r="C490" i="52"/>
  <c r="I490" i="52"/>
  <c r="B491" i="52" s="1"/>
  <c r="G490" i="52"/>
  <c r="H490" i="52"/>
  <c r="D490" i="52"/>
  <c r="I490" i="51"/>
  <c r="B491" i="51" s="1"/>
  <c r="H490" i="51"/>
  <c r="C490" i="51"/>
  <c r="G490" i="51"/>
  <c r="D490" i="51"/>
  <c r="I489" i="50"/>
  <c r="B490" i="50" s="1"/>
  <c r="H489" i="50"/>
  <c r="G489" i="50"/>
  <c r="D489" i="50"/>
  <c r="C489" i="50"/>
  <c r="C489" i="49"/>
  <c r="I489" i="49"/>
  <c r="B490" i="49" s="1"/>
  <c r="H489" i="49"/>
  <c r="D489" i="49"/>
  <c r="G489" i="49"/>
  <c r="I489" i="48"/>
  <c r="B490" i="48" s="1"/>
  <c r="H489" i="48"/>
  <c r="G489" i="48"/>
  <c r="C489" i="48"/>
  <c r="D489" i="48"/>
  <c r="H489" i="47"/>
  <c r="I489" i="47"/>
  <c r="B490" i="47" s="1"/>
  <c r="G489" i="47"/>
  <c r="D489" i="47"/>
  <c r="C489" i="47"/>
  <c r="H438" i="35"/>
  <c r="D438" i="35"/>
  <c r="C438" i="35"/>
  <c r="I438" i="35"/>
  <c r="B439" i="35" s="1"/>
  <c r="G438" i="35"/>
  <c r="I491" i="55" l="1"/>
  <c r="B492" i="55" s="1"/>
  <c r="H491" i="55"/>
  <c r="G491" i="55"/>
  <c r="D491" i="55"/>
  <c r="C491" i="55"/>
  <c r="G491" i="54"/>
  <c r="D491" i="54"/>
  <c r="C491" i="54"/>
  <c r="I491" i="54"/>
  <c r="B492" i="54" s="1"/>
  <c r="H491" i="54"/>
  <c r="C491" i="53"/>
  <c r="I491" i="53"/>
  <c r="B492" i="53" s="1"/>
  <c r="H491" i="53"/>
  <c r="G491" i="53"/>
  <c r="D491" i="53"/>
  <c r="G491" i="52"/>
  <c r="D491" i="52"/>
  <c r="C491" i="52"/>
  <c r="I491" i="52"/>
  <c r="B492" i="52" s="1"/>
  <c r="H491" i="52"/>
  <c r="C491" i="51"/>
  <c r="G491" i="51"/>
  <c r="I491" i="51"/>
  <c r="B492" i="51" s="1"/>
  <c r="H491" i="51"/>
  <c r="D491" i="51"/>
  <c r="D490" i="50"/>
  <c r="C490" i="50"/>
  <c r="I490" i="50"/>
  <c r="B491" i="50" s="1"/>
  <c r="H490" i="50"/>
  <c r="G490" i="50"/>
  <c r="G490" i="49"/>
  <c r="C490" i="49"/>
  <c r="I490" i="49"/>
  <c r="B491" i="49" s="1"/>
  <c r="H490" i="49"/>
  <c r="D490" i="49"/>
  <c r="C490" i="48"/>
  <c r="I490" i="48"/>
  <c r="B491" i="48" s="1"/>
  <c r="G490" i="48"/>
  <c r="H490" i="48"/>
  <c r="D490" i="48"/>
  <c r="D490" i="47"/>
  <c r="C490" i="47"/>
  <c r="I490" i="47"/>
  <c r="B491" i="47" s="1"/>
  <c r="H490" i="47"/>
  <c r="G490" i="47"/>
  <c r="C439" i="35"/>
  <c r="G439" i="35"/>
  <c r="D439" i="35"/>
  <c r="I439" i="35"/>
  <c r="B440" i="35" s="1"/>
  <c r="H439" i="35"/>
  <c r="I492" i="55" l="1"/>
  <c r="B493" i="55" s="1"/>
  <c r="H492" i="55"/>
  <c r="G492" i="55"/>
  <c r="D492" i="55"/>
  <c r="C492" i="55"/>
  <c r="I492" i="54"/>
  <c r="B493" i="54" s="1"/>
  <c r="H492" i="54"/>
  <c r="G492" i="54"/>
  <c r="D492" i="54"/>
  <c r="C492" i="54"/>
  <c r="G492" i="53"/>
  <c r="C492" i="53"/>
  <c r="H492" i="53"/>
  <c r="I492" i="53"/>
  <c r="B493" i="53" s="1"/>
  <c r="D492" i="53"/>
  <c r="I492" i="52"/>
  <c r="B493" i="52" s="1"/>
  <c r="H492" i="52"/>
  <c r="G492" i="52"/>
  <c r="D492" i="52"/>
  <c r="C492" i="52"/>
  <c r="G492" i="51"/>
  <c r="D492" i="51"/>
  <c r="C492" i="51"/>
  <c r="I492" i="51"/>
  <c r="B493" i="51" s="1"/>
  <c r="H492" i="51"/>
  <c r="H491" i="50"/>
  <c r="G491" i="50"/>
  <c r="D491" i="50"/>
  <c r="C491" i="50"/>
  <c r="I491" i="50"/>
  <c r="B492" i="50" s="1"/>
  <c r="I491" i="49"/>
  <c r="B492" i="49" s="1"/>
  <c r="G491" i="49"/>
  <c r="D491" i="49"/>
  <c r="C491" i="49"/>
  <c r="H491" i="49"/>
  <c r="G491" i="48"/>
  <c r="D491" i="48"/>
  <c r="C491" i="48"/>
  <c r="I491" i="48"/>
  <c r="B492" i="48" s="1"/>
  <c r="H491" i="48"/>
  <c r="H491" i="47"/>
  <c r="G491" i="47"/>
  <c r="D491" i="47"/>
  <c r="C491" i="47"/>
  <c r="I491" i="47"/>
  <c r="B492" i="47" s="1"/>
  <c r="C440" i="35"/>
  <c r="I440" i="35"/>
  <c r="B441" i="35" s="1"/>
  <c r="G440" i="35"/>
  <c r="D440" i="35"/>
  <c r="H440" i="35"/>
  <c r="C493" i="55" l="1"/>
  <c r="I493" i="55"/>
  <c r="B494" i="55" s="1"/>
  <c r="H493" i="55"/>
  <c r="G493" i="55"/>
  <c r="D493" i="55"/>
  <c r="I493" i="54"/>
  <c r="B494" i="54" s="1"/>
  <c r="H493" i="54"/>
  <c r="G493" i="54"/>
  <c r="D493" i="54"/>
  <c r="C493" i="54"/>
  <c r="I493" i="53"/>
  <c r="B494" i="53" s="1"/>
  <c r="G493" i="53"/>
  <c r="D493" i="53"/>
  <c r="C493" i="53"/>
  <c r="H493" i="53"/>
  <c r="I493" i="52"/>
  <c r="B494" i="52" s="1"/>
  <c r="H493" i="52"/>
  <c r="G493" i="52"/>
  <c r="C493" i="52"/>
  <c r="D493" i="52"/>
  <c r="I493" i="51"/>
  <c r="B494" i="51" s="1"/>
  <c r="H493" i="51"/>
  <c r="G493" i="51"/>
  <c r="D493" i="51"/>
  <c r="C493" i="51"/>
  <c r="I492" i="50"/>
  <c r="B493" i="50" s="1"/>
  <c r="H492" i="50"/>
  <c r="G492" i="50"/>
  <c r="D492" i="50"/>
  <c r="C492" i="50"/>
  <c r="I492" i="49"/>
  <c r="B493" i="49" s="1"/>
  <c r="H492" i="49"/>
  <c r="G492" i="49"/>
  <c r="D492" i="49"/>
  <c r="C492" i="49"/>
  <c r="I492" i="48"/>
  <c r="B493" i="48" s="1"/>
  <c r="H492" i="48"/>
  <c r="G492" i="48"/>
  <c r="D492" i="48"/>
  <c r="C492" i="48"/>
  <c r="I492" i="47"/>
  <c r="B493" i="47" s="1"/>
  <c r="H492" i="47"/>
  <c r="D492" i="47"/>
  <c r="G492" i="47"/>
  <c r="C492" i="47"/>
  <c r="G441" i="35"/>
  <c r="D441" i="35"/>
  <c r="I441" i="35"/>
  <c r="B442" i="35" s="1"/>
  <c r="H441" i="35"/>
  <c r="C441" i="35"/>
  <c r="G494" i="55" l="1"/>
  <c r="D494" i="55"/>
  <c r="C494" i="55"/>
  <c r="I494" i="55"/>
  <c r="B495" i="55" s="1"/>
  <c r="H494" i="55"/>
  <c r="C494" i="54"/>
  <c r="I494" i="54"/>
  <c r="B495" i="54" s="1"/>
  <c r="H494" i="54"/>
  <c r="G494" i="54"/>
  <c r="D494" i="54"/>
  <c r="I494" i="53"/>
  <c r="B495" i="53" s="1"/>
  <c r="H494" i="53"/>
  <c r="G494" i="53"/>
  <c r="D494" i="53"/>
  <c r="C494" i="53"/>
  <c r="C494" i="52"/>
  <c r="I494" i="52"/>
  <c r="B495" i="52" s="1"/>
  <c r="G494" i="52"/>
  <c r="H494" i="52"/>
  <c r="D494" i="52"/>
  <c r="I494" i="51"/>
  <c r="B495" i="51" s="1"/>
  <c r="H494" i="51"/>
  <c r="C494" i="51"/>
  <c r="G494" i="51"/>
  <c r="D494" i="51"/>
  <c r="I493" i="50"/>
  <c r="B494" i="50" s="1"/>
  <c r="H493" i="50"/>
  <c r="G493" i="50"/>
  <c r="D493" i="50"/>
  <c r="C493" i="50"/>
  <c r="C493" i="49"/>
  <c r="I493" i="49"/>
  <c r="B494" i="49" s="1"/>
  <c r="H493" i="49"/>
  <c r="G493" i="49"/>
  <c r="D493" i="49"/>
  <c r="I493" i="48"/>
  <c r="B494" i="48" s="1"/>
  <c r="H493" i="48"/>
  <c r="G493" i="48"/>
  <c r="C493" i="48"/>
  <c r="D493" i="48"/>
  <c r="H493" i="47"/>
  <c r="I493" i="47"/>
  <c r="B494" i="47" s="1"/>
  <c r="G493" i="47"/>
  <c r="D493" i="47"/>
  <c r="C493" i="47"/>
  <c r="C442" i="35"/>
  <c r="I442" i="35"/>
  <c r="B443" i="35" s="1"/>
  <c r="G442" i="35"/>
  <c r="H442" i="35"/>
  <c r="D442" i="35"/>
  <c r="I495" i="55" l="1"/>
  <c r="B496" i="55" s="1"/>
  <c r="H495" i="55"/>
  <c r="G495" i="55"/>
  <c r="D495" i="55"/>
  <c r="C495" i="55"/>
  <c r="G495" i="54"/>
  <c r="D495" i="54"/>
  <c r="C495" i="54"/>
  <c r="I495" i="54"/>
  <c r="B496" i="54" s="1"/>
  <c r="H495" i="54"/>
  <c r="C495" i="53"/>
  <c r="I495" i="53"/>
  <c r="B496" i="53" s="1"/>
  <c r="H495" i="53"/>
  <c r="D495" i="53"/>
  <c r="G495" i="53"/>
  <c r="G495" i="52"/>
  <c r="D495" i="52"/>
  <c r="C495" i="52"/>
  <c r="I495" i="52"/>
  <c r="B496" i="52" s="1"/>
  <c r="H495" i="52"/>
  <c r="C495" i="51"/>
  <c r="G495" i="51"/>
  <c r="I495" i="51"/>
  <c r="B496" i="51" s="1"/>
  <c r="H495" i="51"/>
  <c r="D495" i="51"/>
  <c r="D494" i="50"/>
  <c r="C494" i="50"/>
  <c r="I494" i="50"/>
  <c r="B495" i="50" s="1"/>
  <c r="H494" i="50"/>
  <c r="G494" i="50"/>
  <c r="G494" i="49"/>
  <c r="C494" i="49"/>
  <c r="I494" i="49"/>
  <c r="B495" i="49" s="1"/>
  <c r="H494" i="49"/>
  <c r="D494" i="49"/>
  <c r="C494" i="48"/>
  <c r="I494" i="48"/>
  <c r="B495" i="48" s="1"/>
  <c r="G494" i="48"/>
  <c r="H494" i="48"/>
  <c r="D494" i="48"/>
  <c r="D494" i="47"/>
  <c r="C494" i="47"/>
  <c r="I494" i="47"/>
  <c r="B495" i="47" s="1"/>
  <c r="H494" i="47"/>
  <c r="G494" i="47"/>
  <c r="C443" i="35"/>
  <c r="G443" i="35"/>
  <c r="D443" i="35"/>
  <c r="I443" i="35"/>
  <c r="B444" i="35" s="1"/>
  <c r="H443" i="35"/>
  <c r="I496" i="55" l="1"/>
  <c r="B497" i="55" s="1"/>
  <c r="H496" i="55"/>
  <c r="G496" i="55"/>
  <c r="D496" i="55"/>
  <c r="C496" i="55"/>
  <c r="I496" i="54"/>
  <c r="B497" i="54" s="1"/>
  <c r="H496" i="54"/>
  <c r="G496" i="54"/>
  <c r="D496" i="54"/>
  <c r="C496" i="54"/>
  <c r="G496" i="53"/>
  <c r="C496" i="53"/>
  <c r="D496" i="53"/>
  <c r="H496" i="53"/>
  <c r="I496" i="53"/>
  <c r="B497" i="53" s="1"/>
  <c r="I496" i="52"/>
  <c r="B497" i="52" s="1"/>
  <c r="H496" i="52"/>
  <c r="G496" i="52"/>
  <c r="D496" i="52"/>
  <c r="C496" i="52"/>
  <c r="G496" i="51"/>
  <c r="D496" i="51"/>
  <c r="C496" i="51"/>
  <c r="I496" i="51"/>
  <c r="B497" i="51" s="1"/>
  <c r="H496" i="51"/>
  <c r="H495" i="50"/>
  <c r="G495" i="50"/>
  <c r="D495" i="50"/>
  <c r="C495" i="50"/>
  <c r="I495" i="50"/>
  <c r="B496" i="50" s="1"/>
  <c r="I495" i="49"/>
  <c r="B496" i="49" s="1"/>
  <c r="G495" i="49"/>
  <c r="D495" i="49"/>
  <c r="C495" i="49"/>
  <c r="H495" i="49"/>
  <c r="G495" i="48"/>
  <c r="D495" i="48"/>
  <c r="C495" i="48"/>
  <c r="I495" i="48"/>
  <c r="B496" i="48" s="1"/>
  <c r="H495" i="48"/>
  <c r="H495" i="47"/>
  <c r="G495" i="47"/>
  <c r="D495" i="47"/>
  <c r="C495" i="47"/>
  <c r="I495" i="47"/>
  <c r="B496" i="47" s="1"/>
  <c r="I444" i="35"/>
  <c r="B445" i="35" s="1"/>
  <c r="C444" i="35"/>
  <c r="D444" i="35"/>
  <c r="H444" i="35"/>
  <c r="G444" i="35"/>
  <c r="C497" i="55" l="1"/>
  <c r="I497" i="55"/>
  <c r="B498" i="55" s="1"/>
  <c r="H497" i="55"/>
  <c r="G497" i="55"/>
  <c r="D497" i="55"/>
  <c r="I497" i="54"/>
  <c r="B498" i="54" s="1"/>
  <c r="H497" i="54"/>
  <c r="G497" i="54"/>
  <c r="D497" i="54"/>
  <c r="C497" i="54"/>
  <c r="I497" i="53"/>
  <c r="B498" i="53" s="1"/>
  <c r="G497" i="53"/>
  <c r="D497" i="53"/>
  <c r="C497" i="53"/>
  <c r="H497" i="53"/>
  <c r="I497" i="52"/>
  <c r="B498" i="52" s="1"/>
  <c r="H497" i="52"/>
  <c r="G497" i="52"/>
  <c r="C497" i="52"/>
  <c r="D497" i="52"/>
  <c r="I497" i="51"/>
  <c r="B498" i="51" s="1"/>
  <c r="H497" i="51"/>
  <c r="G497" i="51"/>
  <c r="D497" i="51"/>
  <c r="C497" i="51"/>
  <c r="I496" i="50"/>
  <c r="B497" i="50" s="1"/>
  <c r="H496" i="50"/>
  <c r="G496" i="50"/>
  <c r="D496" i="50"/>
  <c r="C496" i="50"/>
  <c r="I496" i="49"/>
  <c r="B497" i="49" s="1"/>
  <c r="H496" i="49"/>
  <c r="G496" i="49"/>
  <c r="D496" i="49"/>
  <c r="C496" i="49"/>
  <c r="I496" i="48"/>
  <c r="B497" i="48" s="1"/>
  <c r="H496" i="48"/>
  <c r="G496" i="48"/>
  <c r="D496" i="48"/>
  <c r="C496" i="48"/>
  <c r="I496" i="47"/>
  <c r="B497" i="47" s="1"/>
  <c r="C496" i="47"/>
  <c r="G496" i="47"/>
  <c r="H496" i="47"/>
  <c r="D496" i="47"/>
  <c r="G445" i="35"/>
  <c r="D445" i="35"/>
  <c r="I445" i="35"/>
  <c r="B446" i="35" s="1"/>
  <c r="H445" i="35"/>
  <c r="C445" i="35"/>
  <c r="G498" i="55" l="1"/>
  <c r="D498" i="55"/>
  <c r="C498" i="55"/>
  <c r="I498" i="55"/>
  <c r="B499" i="55" s="1"/>
  <c r="H498" i="55"/>
  <c r="C498" i="54"/>
  <c r="I498" i="54"/>
  <c r="B499" i="54" s="1"/>
  <c r="H498" i="54"/>
  <c r="G498" i="54"/>
  <c r="D498" i="54"/>
  <c r="I498" i="53"/>
  <c r="B499" i="53" s="1"/>
  <c r="H498" i="53"/>
  <c r="G498" i="53"/>
  <c r="D498" i="53"/>
  <c r="C498" i="53"/>
  <c r="C498" i="52"/>
  <c r="I498" i="52"/>
  <c r="B499" i="52" s="1"/>
  <c r="G498" i="52"/>
  <c r="H498" i="52"/>
  <c r="D498" i="52"/>
  <c r="I498" i="51"/>
  <c r="B499" i="51" s="1"/>
  <c r="H498" i="51"/>
  <c r="C498" i="51"/>
  <c r="G498" i="51"/>
  <c r="D498" i="51"/>
  <c r="I497" i="50"/>
  <c r="B498" i="50" s="1"/>
  <c r="H497" i="50"/>
  <c r="G497" i="50"/>
  <c r="D497" i="50"/>
  <c r="C497" i="50"/>
  <c r="C497" i="49"/>
  <c r="I497" i="49"/>
  <c r="B498" i="49" s="1"/>
  <c r="H497" i="49"/>
  <c r="G497" i="49"/>
  <c r="D497" i="49"/>
  <c r="I497" i="48"/>
  <c r="B498" i="48" s="1"/>
  <c r="H497" i="48"/>
  <c r="G497" i="48"/>
  <c r="C497" i="48"/>
  <c r="D497" i="48"/>
  <c r="G497" i="47"/>
  <c r="D497" i="47"/>
  <c r="C497" i="47"/>
  <c r="I497" i="47"/>
  <c r="B498" i="47" s="1"/>
  <c r="H497" i="47"/>
  <c r="C446" i="35"/>
  <c r="I446" i="35"/>
  <c r="B447" i="35" s="1"/>
  <c r="G446" i="35"/>
  <c r="H446" i="35"/>
  <c r="D446" i="35"/>
  <c r="I499" i="55" l="1"/>
  <c r="B500" i="55" s="1"/>
  <c r="H499" i="55"/>
  <c r="G499" i="55"/>
  <c r="D499" i="55"/>
  <c r="C499" i="55"/>
  <c r="G499" i="54"/>
  <c r="D499" i="54"/>
  <c r="C499" i="54"/>
  <c r="I499" i="54"/>
  <c r="B500" i="54" s="1"/>
  <c r="H499" i="54"/>
  <c r="C499" i="53"/>
  <c r="I499" i="53"/>
  <c r="B500" i="53" s="1"/>
  <c r="H499" i="53"/>
  <c r="G499" i="53"/>
  <c r="D499" i="53"/>
  <c r="G499" i="52"/>
  <c r="D499" i="52"/>
  <c r="C499" i="52"/>
  <c r="I499" i="52"/>
  <c r="B500" i="52" s="1"/>
  <c r="H499" i="52"/>
  <c r="C499" i="51"/>
  <c r="G499" i="51"/>
  <c r="H499" i="51"/>
  <c r="D499" i="51"/>
  <c r="I499" i="51"/>
  <c r="B500" i="51" s="1"/>
  <c r="D498" i="50"/>
  <c r="C498" i="50"/>
  <c r="I498" i="50"/>
  <c r="B499" i="50" s="1"/>
  <c r="H498" i="50"/>
  <c r="G498" i="50"/>
  <c r="G498" i="49"/>
  <c r="C498" i="49"/>
  <c r="I498" i="49"/>
  <c r="B499" i="49" s="1"/>
  <c r="H498" i="49"/>
  <c r="D498" i="49"/>
  <c r="C498" i="48"/>
  <c r="I498" i="48"/>
  <c r="B499" i="48" s="1"/>
  <c r="G498" i="48"/>
  <c r="H498" i="48"/>
  <c r="D498" i="48"/>
  <c r="C498" i="47"/>
  <c r="I498" i="47"/>
  <c r="B499" i="47" s="1"/>
  <c r="H498" i="47"/>
  <c r="D498" i="47"/>
  <c r="G498" i="47"/>
  <c r="H447" i="35"/>
  <c r="C447" i="35"/>
  <c r="G447" i="35"/>
  <c r="I447" i="35"/>
  <c r="B448" i="35" s="1"/>
  <c r="D447" i="35"/>
  <c r="I500" i="55" l="1"/>
  <c r="B501" i="55" s="1"/>
  <c r="H500" i="55"/>
  <c r="G500" i="55"/>
  <c r="D500" i="55"/>
  <c r="C500" i="55"/>
  <c r="I500" i="54"/>
  <c r="B501" i="54" s="1"/>
  <c r="H500" i="54"/>
  <c r="G500" i="54"/>
  <c r="D500" i="54"/>
  <c r="C500" i="54"/>
  <c r="G500" i="53"/>
  <c r="C500" i="53"/>
  <c r="I500" i="53"/>
  <c r="B501" i="53" s="1"/>
  <c r="H500" i="53"/>
  <c r="D500" i="53"/>
  <c r="I500" i="52"/>
  <c r="B501" i="52" s="1"/>
  <c r="H500" i="52"/>
  <c r="G500" i="52"/>
  <c r="D500" i="52"/>
  <c r="C500" i="52"/>
  <c r="G500" i="51"/>
  <c r="D500" i="51"/>
  <c r="C500" i="51"/>
  <c r="I500" i="51"/>
  <c r="B501" i="51" s="1"/>
  <c r="H500" i="51"/>
  <c r="H499" i="50"/>
  <c r="G499" i="50"/>
  <c r="D499" i="50"/>
  <c r="C499" i="50"/>
  <c r="I499" i="50"/>
  <c r="B500" i="50" s="1"/>
  <c r="I499" i="49"/>
  <c r="B500" i="49" s="1"/>
  <c r="G499" i="49"/>
  <c r="D499" i="49"/>
  <c r="C499" i="49"/>
  <c r="H499" i="49"/>
  <c r="G499" i="48"/>
  <c r="D499" i="48"/>
  <c r="C499" i="48"/>
  <c r="I499" i="48"/>
  <c r="B500" i="48" s="1"/>
  <c r="H499" i="48"/>
  <c r="G499" i="47"/>
  <c r="C499" i="47"/>
  <c r="I499" i="47"/>
  <c r="B500" i="47" s="1"/>
  <c r="H499" i="47"/>
  <c r="D499" i="47"/>
  <c r="G448" i="35"/>
  <c r="D448" i="35"/>
  <c r="H448" i="35"/>
  <c r="I448" i="35"/>
  <c r="B449" i="35" s="1"/>
  <c r="C448" i="35"/>
  <c r="C501" i="55" l="1"/>
  <c r="I501" i="55"/>
  <c r="B502" i="55" s="1"/>
  <c r="H501" i="55"/>
  <c r="G501" i="55"/>
  <c r="D501" i="55"/>
  <c r="I501" i="54"/>
  <c r="B502" i="54" s="1"/>
  <c r="H501" i="54"/>
  <c r="G501" i="54"/>
  <c r="D501" i="54"/>
  <c r="C501" i="54"/>
  <c r="I501" i="53"/>
  <c r="B502" i="53" s="1"/>
  <c r="G501" i="53"/>
  <c r="D501" i="53"/>
  <c r="C501" i="53"/>
  <c r="H501" i="53"/>
  <c r="I501" i="52"/>
  <c r="B502" i="52" s="1"/>
  <c r="H501" i="52"/>
  <c r="G501" i="52"/>
  <c r="C501" i="52"/>
  <c r="D501" i="52"/>
  <c r="I501" i="51"/>
  <c r="B502" i="51" s="1"/>
  <c r="H501" i="51"/>
  <c r="G501" i="51"/>
  <c r="D501" i="51"/>
  <c r="C501" i="51"/>
  <c r="I500" i="50"/>
  <c r="B501" i="50" s="1"/>
  <c r="H500" i="50"/>
  <c r="G500" i="50"/>
  <c r="D500" i="50"/>
  <c r="C500" i="50"/>
  <c r="I500" i="49"/>
  <c r="B501" i="49" s="1"/>
  <c r="H500" i="49"/>
  <c r="G500" i="49"/>
  <c r="D500" i="49"/>
  <c r="C500" i="49"/>
  <c r="I500" i="48"/>
  <c r="B501" i="48" s="1"/>
  <c r="H500" i="48"/>
  <c r="G500" i="48"/>
  <c r="D500" i="48"/>
  <c r="C500" i="48"/>
  <c r="I500" i="47"/>
  <c r="B501" i="47" s="1"/>
  <c r="C500" i="47"/>
  <c r="H500" i="47"/>
  <c r="G500" i="47"/>
  <c r="D500" i="47"/>
  <c r="H449" i="35"/>
  <c r="C449" i="35"/>
  <c r="D449" i="35"/>
  <c r="I449" i="35"/>
  <c r="B450" i="35" s="1"/>
  <c r="G449" i="35"/>
  <c r="G502" i="55" l="1"/>
  <c r="D502" i="55"/>
  <c r="C502" i="55"/>
  <c r="I502" i="55"/>
  <c r="B503" i="55" s="1"/>
  <c r="H502" i="55"/>
  <c r="C502" i="54"/>
  <c r="I502" i="54"/>
  <c r="B503" i="54" s="1"/>
  <c r="H502" i="54"/>
  <c r="G502" i="54"/>
  <c r="D502" i="54"/>
  <c r="I502" i="53"/>
  <c r="B503" i="53" s="1"/>
  <c r="H502" i="53"/>
  <c r="G502" i="53"/>
  <c r="D502" i="53"/>
  <c r="C502" i="53"/>
  <c r="C502" i="52"/>
  <c r="I502" i="52"/>
  <c r="B503" i="52" s="1"/>
  <c r="G502" i="52"/>
  <c r="H502" i="52"/>
  <c r="D502" i="52"/>
  <c r="I502" i="51"/>
  <c r="B503" i="51" s="1"/>
  <c r="H502" i="51"/>
  <c r="C502" i="51"/>
  <c r="G502" i="51"/>
  <c r="D502" i="51"/>
  <c r="I501" i="50"/>
  <c r="B502" i="50" s="1"/>
  <c r="H501" i="50"/>
  <c r="G501" i="50"/>
  <c r="D501" i="50"/>
  <c r="C501" i="50"/>
  <c r="C501" i="49"/>
  <c r="I501" i="49"/>
  <c r="B502" i="49" s="1"/>
  <c r="H501" i="49"/>
  <c r="G501" i="49"/>
  <c r="D501" i="49"/>
  <c r="I501" i="48"/>
  <c r="B502" i="48" s="1"/>
  <c r="H501" i="48"/>
  <c r="G501" i="48"/>
  <c r="C501" i="48"/>
  <c r="D501" i="48"/>
  <c r="G501" i="47"/>
  <c r="I501" i="47"/>
  <c r="B502" i="47" s="1"/>
  <c r="H501" i="47"/>
  <c r="D501" i="47"/>
  <c r="C501" i="47"/>
  <c r="G450" i="35"/>
  <c r="D450" i="35"/>
  <c r="I450" i="35"/>
  <c r="B451" i="35" s="1"/>
  <c r="H450" i="35"/>
  <c r="C450" i="35"/>
  <c r="I503" i="55" l="1"/>
  <c r="B504" i="55" s="1"/>
  <c r="H503" i="55"/>
  <c r="G503" i="55"/>
  <c r="D503" i="55"/>
  <c r="C503" i="55"/>
  <c r="G503" i="54"/>
  <c r="D503" i="54"/>
  <c r="C503" i="54"/>
  <c r="I503" i="54"/>
  <c r="B504" i="54" s="1"/>
  <c r="H503" i="54"/>
  <c r="C503" i="53"/>
  <c r="I503" i="53"/>
  <c r="B504" i="53" s="1"/>
  <c r="H503" i="53"/>
  <c r="D503" i="53"/>
  <c r="G503" i="53"/>
  <c r="G503" i="52"/>
  <c r="D503" i="52"/>
  <c r="C503" i="52"/>
  <c r="I503" i="52"/>
  <c r="B504" i="52" s="1"/>
  <c r="H503" i="52"/>
  <c r="C503" i="51"/>
  <c r="G503" i="51"/>
  <c r="D503" i="51"/>
  <c r="I503" i="51"/>
  <c r="B504" i="51" s="1"/>
  <c r="H503" i="51"/>
  <c r="D502" i="50"/>
  <c r="C502" i="50"/>
  <c r="I502" i="50"/>
  <c r="B503" i="50" s="1"/>
  <c r="H502" i="50"/>
  <c r="G502" i="50"/>
  <c r="G502" i="49"/>
  <c r="C502" i="49"/>
  <c r="I502" i="49"/>
  <c r="B503" i="49" s="1"/>
  <c r="H502" i="49"/>
  <c r="D502" i="49"/>
  <c r="C502" i="48"/>
  <c r="I502" i="48"/>
  <c r="B503" i="48" s="1"/>
  <c r="G502" i="48"/>
  <c r="H502" i="48"/>
  <c r="D502" i="48"/>
  <c r="C502" i="47"/>
  <c r="I502" i="47"/>
  <c r="B503" i="47" s="1"/>
  <c r="H502" i="47"/>
  <c r="G502" i="47"/>
  <c r="D502" i="47"/>
  <c r="C451" i="35"/>
  <c r="I451" i="35"/>
  <c r="B452" i="35" s="1"/>
  <c r="H451" i="35"/>
  <c r="G451" i="35"/>
  <c r="D451" i="35"/>
  <c r="I504" i="55" l="1"/>
  <c r="B505" i="55" s="1"/>
  <c r="H504" i="55"/>
  <c r="G504" i="55"/>
  <c r="D504" i="55"/>
  <c r="C504" i="55"/>
  <c r="I504" i="54"/>
  <c r="B505" i="54" s="1"/>
  <c r="H504" i="54"/>
  <c r="G504" i="54"/>
  <c r="D504" i="54"/>
  <c r="C504" i="54"/>
  <c r="G504" i="53"/>
  <c r="C504" i="53"/>
  <c r="I504" i="53"/>
  <c r="B505" i="53" s="1"/>
  <c r="H504" i="53"/>
  <c r="D504" i="53"/>
  <c r="I504" i="52"/>
  <c r="B505" i="52" s="1"/>
  <c r="H504" i="52"/>
  <c r="G504" i="52"/>
  <c r="D504" i="52"/>
  <c r="C504" i="52"/>
  <c r="G504" i="51"/>
  <c r="D504" i="51"/>
  <c r="C504" i="51"/>
  <c r="I504" i="51"/>
  <c r="B505" i="51" s="1"/>
  <c r="H504" i="51"/>
  <c r="H503" i="50"/>
  <c r="G503" i="50"/>
  <c r="D503" i="50"/>
  <c r="C503" i="50"/>
  <c r="I503" i="50"/>
  <c r="B504" i="50" s="1"/>
  <c r="I503" i="49"/>
  <c r="B504" i="49" s="1"/>
  <c r="G503" i="49"/>
  <c r="D503" i="49"/>
  <c r="C503" i="49"/>
  <c r="H503" i="49"/>
  <c r="G503" i="48"/>
  <c r="D503" i="48"/>
  <c r="C503" i="48"/>
  <c r="I503" i="48"/>
  <c r="B504" i="48" s="1"/>
  <c r="H503" i="48"/>
  <c r="G503" i="47"/>
  <c r="H503" i="47"/>
  <c r="I503" i="47"/>
  <c r="B504" i="47" s="1"/>
  <c r="D503" i="47"/>
  <c r="C503" i="47"/>
  <c r="G452" i="35"/>
  <c r="D452" i="35"/>
  <c r="H452" i="35"/>
  <c r="C452" i="35"/>
  <c r="I452" i="35"/>
  <c r="B453" i="35" s="1"/>
  <c r="C505" i="55" l="1"/>
  <c r="I505" i="55"/>
  <c r="B506" i="55" s="1"/>
  <c r="H505" i="55"/>
  <c r="G505" i="55"/>
  <c r="D505" i="55"/>
  <c r="I505" i="54"/>
  <c r="B506" i="54" s="1"/>
  <c r="H505" i="54"/>
  <c r="G505" i="54"/>
  <c r="D505" i="54"/>
  <c r="C505" i="54"/>
  <c r="I505" i="53"/>
  <c r="B506" i="53" s="1"/>
  <c r="G505" i="53"/>
  <c r="D505" i="53"/>
  <c r="C505" i="53"/>
  <c r="H505" i="53"/>
  <c r="I505" i="52"/>
  <c r="B506" i="52" s="1"/>
  <c r="H505" i="52"/>
  <c r="G505" i="52"/>
  <c r="C505" i="52"/>
  <c r="D505" i="52"/>
  <c r="I505" i="51"/>
  <c r="B506" i="51" s="1"/>
  <c r="H505" i="51"/>
  <c r="G505" i="51"/>
  <c r="D505" i="51"/>
  <c r="C505" i="51"/>
  <c r="I504" i="50"/>
  <c r="B505" i="50" s="1"/>
  <c r="H504" i="50"/>
  <c r="G504" i="50"/>
  <c r="D504" i="50"/>
  <c r="C504" i="50"/>
  <c r="I504" i="49"/>
  <c r="B505" i="49" s="1"/>
  <c r="H504" i="49"/>
  <c r="G504" i="49"/>
  <c r="D504" i="49"/>
  <c r="C504" i="49"/>
  <c r="I504" i="48"/>
  <c r="B505" i="48" s="1"/>
  <c r="H504" i="48"/>
  <c r="G504" i="48"/>
  <c r="D504" i="48"/>
  <c r="C504" i="48"/>
  <c r="I504" i="47"/>
  <c r="B505" i="47" s="1"/>
  <c r="C504" i="47"/>
  <c r="G504" i="47"/>
  <c r="D504" i="47"/>
  <c r="H504" i="47"/>
  <c r="C453" i="35"/>
  <c r="H453" i="35"/>
  <c r="G453" i="35"/>
  <c r="D453" i="35"/>
  <c r="I453" i="35"/>
  <c r="B454" i="35" s="1"/>
  <c r="G506" i="55" l="1"/>
  <c r="D506" i="55"/>
  <c r="C506" i="55"/>
  <c r="I506" i="55"/>
  <c r="B507" i="55" s="1"/>
  <c r="H506" i="55"/>
  <c r="C506" i="54"/>
  <c r="I506" i="54"/>
  <c r="B507" i="54" s="1"/>
  <c r="H506" i="54"/>
  <c r="G506" i="54"/>
  <c r="D506" i="54"/>
  <c r="I506" i="53"/>
  <c r="B507" i="53" s="1"/>
  <c r="H506" i="53"/>
  <c r="G506" i="53"/>
  <c r="D506" i="53"/>
  <c r="C506" i="53"/>
  <c r="C506" i="52"/>
  <c r="I506" i="52"/>
  <c r="B507" i="52" s="1"/>
  <c r="G506" i="52"/>
  <c r="H506" i="52"/>
  <c r="D506" i="52"/>
  <c r="I506" i="51"/>
  <c r="B507" i="51" s="1"/>
  <c r="H506" i="51"/>
  <c r="C506" i="51"/>
  <c r="G506" i="51"/>
  <c r="D506" i="51"/>
  <c r="I505" i="50"/>
  <c r="B506" i="50" s="1"/>
  <c r="H505" i="50"/>
  <c r="G505" i="50"/>
  <c r="D505" i="50"/>
  <c r="C505" i="50"/>
  <c r="C505" i="49"/>
  <c r="I505" i="49"/>
  <c r="B506" i="49" s="1"/>
  <c r="H505" i="49"/>
  <c r="G505" i="49"/>
  <c r="D505" i="49"/>
  <c r="I505" i="48"/>
  <c r="B506" i="48" s="1"/>
  <c r="H505" i="48"/>
  <c r="G505" i="48"/>
  <c r="C505" i="48"/>
  <c r="D505" i="48"/>
  <c r="G505" i="47"/>
  <c r="I505" i="47"/>
  <c r="B506" i="47" s="1"/>
  <c r="D505" i="47"/>
  <c r="H505" i="47"/>
  <c r="C505" i="47"/>
  <c r="D454" i="35"/>
  <c r="G454" i="35"/>
  <c r="C454" i="35"/>
  <c r="H454" i="35"/>
  <c r="I454" i="35"/>
  <c r="B455" i="35" s="1"/>
  <c r="I507" i="55" l="1"/>
  <c r="B508" i="55" s="1"/>
  <c r="H507" i="55"/>
  <c r="G507" i="55"/>
  <c r="D507" i="55"/>
  <c r="C507" i="55"/>
  <c r="G507" i="54"/>
  <c r="D507" i="54"/>
  <c r="C507" i="54"/>
  <c r="I507" i="54"/>
  <c r="B508" i="54" s="1"/>
  <c r="H507" i="54"/>
  <c r="C507" i="53"/>
  <c r="I507" i="53"/>
  <c r="B508" i="53" s="1"/>
  <c r="H507" i="53"/>
  <c r="G507" i="53"/>
  <c r="D507" i="53"/>
  <c r="G507" i="52"/>
  <c r="D507" i="52"/>
  <c r="C507" i="52"/>
  <c r="I507" i="52"/>
  <c r="B508" i="52" s="1"/>
  <c r="H507" i="52"/>
  <c r="C507" i="51"/>
  <c r="G507" i="51"/>
  <c r="I507" i="51"/>
  <c r="B508" i="51" s="1"/>
  <c r="H507" i="51"/>
  <c r="D507" i="51"/>
  <c r="D506" i="50"/>
  <c r="C506" i="50"/>
  <c r="I506" i="50"/>
  <c r="B507" i="50" s="1"/>
  <c r="H506" i="50"/>
  <c r="G506" i="50"/>
  <c r="G506" i="49"/>
  <c r="C506" i="49"/>
  <c r="I506" i="49"/>
  <c r="B507" i="49" s="1"/>
  <c r="H506" i="49"/>
  <c r="D506" i="49"/>
  <c r="C506" i="48"/>
  <c r="I506" i="48"/>
  <c r="B507" i="48" s="1"/>
  <c r="G506" i="48"/>
  <c r="H506" i="48"/>
  <c r="D506" i="48"/>
  <c r="C506" i="47"/>
  <c r="I506" i="47"/>
  <c r="B507" i="47" s="1"/>
  <c r="D506" i="47"/>
  <c r="H506" i="47"/>
  <c r="G506" i="47"/>
  <c r="H455" i="35"/>
  <c r="C455" i="35"/>
  <c r="D455" i="35"/>
  <c r="I455" i="35"/>
  <c r="B456" i="35" s="1"/>
  <c r="G455" i="35"/>
  <c r="I508" i="55" l="1"/>
  <c r="B509" i="55" s="1"/>
  <c r="H508" i="55"/>
  <c r="G508" i="55"/>
  <c r="D508" i="55"/>
  <c r="C508" i="55"/>
  <c r="I508" i="54"/>
  <c r="B509" i="54" s="1"/>
  <c r="H508" i="54"/>
  <c r="G508" i="54"/>
  <c r="D508" i="54"/>
  <c r="C508" i="54"/>
  <c r="G508" i="53"/>
  <c r="C508" i="53"/>
  <c r="I508" i="53"/>
  <c r="B509" i="53" s="1"/>
  <c r="H508" i="53"/>
  <c r="D508" i="53"/>
  <c r="I508" i="52"/>
  <c r="B509" i="52" s="1"/>
  <c r="H508" i="52"/>
  <c r="G508" i="52"/>
  <c r="D508" i="52"/>
  <c r="C508" i="52"/>
  <c r="G508" i="51"/>
  <c r="D508" i="51"/>
  <c r="C508" i="51"/>
  <c r="I508" i="51"/>
  <c r="B509" i="51" s="1"/>
  <c r="H508" i="51"/>
  <c r="H507" i="50"/>
  <c r="G507" i="50"/>
  <c r="D507" i="50"/>
  <c r="C507" i="50"/>
  <c r="I507" i="50"/>
  <c r="B508" i="50" s="1"/>
  <c r="I507" i="49"/>
  <c r="B508" i="49" s="1"/>
  <c r="G507" i="49"/>
  <c r="D507" i="49"/>
  <c r="C507" i="49"/>
  <c r="H507" i="49"/>
  <c r="G507" i="48"/>
  <c r="D507" i="48"/>
  <c r="C507" i="48"/>
  <c r="I507" i="48"/>
  <c r="B508" i="48" s="1"/>
  <c r="H507" i="48"/>
  <c r="G507" i="47"/>
  <c r="I507" i="47"/>
  <c r="B508" i="47" s="1"/>
  <c r="H507" i="47"/>
  <c r="C507" i="47"/>
  <c r="D507" i="47"/>
  <c r="C456" i="35"/>
  <c r="G456" i="35"/>
  <c r="H456" i="35"/>
  <c r="D456" i="35"/>
  <c r="I456" i="35"/>
  <c r="B457" i="35" s="1"/>
  <c r="C509" i="55" l="1"/>
  <c r="I509" i="55"/>
  <c r="B510" i="55" s="1"/>
  <c r="H509" i="55"/>
  <c r="G509" i="55"/>
  <c r="D509" i="55"/>
  <c r="I509" i="54"/>
  <c r="B510" i="54" s="1"/>
  <c r="H509" i="54"/>
  <c r="G509" i="54"/>
  <c r="D509" i="54"/>
  <c r="C509" i="54"/>
  <c r="I509" i="53"/>
  <c r="B510" i="53" s="1"/>
  <c r="G509" i="53"/>
  <c r="D509" i="53"/>
  <c r="C509" i="53"/>
  <c r="H509" i="53"/>
  <c r="I509" i="52"/>
  <c r="B510" i="52" s="1"/>
  <c r="H509" i="52"/>
  <c r="G509" i="52"/>
  <c r="C509" i="52"/>
  <c r="D509" i="52"/>
  <c r="I509" i="51"/>
  <c r="B510" i="51" s="1"/>
  <c r="H509" i="51"/>
  <c r="G509" i="51"/>
  <c r="D509" i="51"/>
  <c r="C509" i="51"/>
  <c r="I508" i="50"/>
  <c r="B509" i="50" s="1"/>
  <c r="H508" i="50"/>
  <c r="G508" i="50"/>
  <c r="D508" i="50"/>
  <c r="C508" i="50"/>
  <c r="I508" i="49"/>
  <c r="B509" i="49" s="1"/>
  <c r="H508" i="49"/>
  <c r="G508" i="49"/>
  <c r="D508" i="49"/>
  <c r="C508" i="49"/>
  <c r="I508" i="48"/>
  <c r="B509" i="48" s="1"/>
  <c r="H508" i="48"/>
  <c r="G508" i="48"/>
  <c r="D508" i="48"/>
  <c r="C508" i="48"/>
  <c r="I508" i="47"/>
  <c r="B509" i="47" s="1"/>
  <c r="C508" i="47"/>
  <c r="H508" i="47"/>
  <c r="G508" i="47"/>
  <c r="D508" i="47"/>
  <c r="C457" i="35"/>
  <c r="I457" i="35"/>
  <c r="B458" i="35" s="1"/>
  <c r="H457" i="35"/>
  <c r="D457" i="35"/>
  <c r="G457" i="35"/>
  <c r="G510" i="55" l="1"/>
  <c r="D510" i="55"/>
  <c r="C510" i="55"/>
  <c r="I510" i="55"/>
  <c r="B511" i="55" s="1"/>
  <c r="H510" i="55"/>
  <c r="C510" i="54"/>
  <c r="I510" i="54"/>
  <c r="B511" i="54" s="1"/>
  <c r="H510" i="54"/>
  <c r="G510" i="54"/>
  <c r="D510" i="54"/>
  <c r="I510" i="53"/>
  <c r="B511" i="53" s="1"/>
  <c r="H510" i="53"/>
  <c r="G510" i="53"/>
  <c r="D510" i="53"/>
  <c r="C510" i="53"/>
  <c r="C510" i="52"/>
  <c r="I510" i="52"/>
  <c r="B511" i="52" s="1"/>
  <c r="G510" i="52"/>
  <c r="H510" i="52"/>
  <c r="D510" i="52"/>
  <c r="I510" i="51"/>
  <c r="B511" i="51" s="1"/>
  <c r="H510" i="51"/>
  <c r="C510" i="51"/>
  <c r="D510" i="51"/>
  <c r="G510" i="51"/>
  <c r="I509" i="50"/>
  <c r="B510" i="50" s="1"/>
  <c r="H509" i="50"/>
  <c r="G509" i="50"/>
  <c r="D509" i="50"/>
  <c r="C509" i="50"/>
  <c r="C509" i="49"/>
  <c r="I509" i="49"/>
  <c r="B510" i="49" s="1"/>
  <c r="H509" i="49"/>
  <c r="G509" i="49"/>
  <c r="D509" i="49"/>
  <c r="I509" i="48"/>
  <c r="B510" i="48" s="1"/>
  <c r="H509" i="48"/>
  <c r="G509" i="48"/>
  <c r="C509" i="48"/>
  <c r="D509" i="48"/>
  <c r="G509" i="47"/>
  <c r="I509" i="47"/>
  <c r="B510" i="47" s="1"/>
  <c r="H509" i="47"/>
  <c r="D509" i="47"/>
  <c r="C509" i="47"/>
  <c r="G458" i="35"/>
  <c r="D458" i="35"/>
  <c r="H458" i="35"/>
  <c r="I458" i="35"/>
  <c r="B459" i="35" s="1"/>
  <c r="C458" i="35"/>
  <c r="I511" i="55" l="1"/>
  <c r="B512" i="55" s="1"/>
  <c r="H511" i="55"/>
  <c r="G511" i="55"/>
  <c r="D511" i="55"/>
  <c r="C511" i="55"/>
  <c r="G511" i="54"/>
  <c r="D511" i="54"/>
  <c r="C511" i="54"/>
  <c r="I511" i="54"/>
  <c r="B512" i="54" s="1"/>
  <c r="H511" i="54"/>
  <c r="C511" i="53"/>
  <c r="I511" i="53"/>
  <c r="B512" i="53" s="1"/>
  <c r="H511" i="53"/>
  <c r="G511" i="53"/>
  <c r="D511" i="53"/>
  <c r="G511" i="52"/>
  <c r="D511" i="52"/>
  <c r="C511" i="52"/>
  <c r="I511" i="52"/>
  <c r="B512" i="52" s="1"/>
  <c r="H511" i="52"/>
  <c r="C511" i="51"/>
  <c r="G511" i="51"/>
  <c r="I511" i="51"/>
  <c r="B512" i="51" s="1"/>
  <c r="H511" i="51"/>
  <c r="D511" i="51"/>
  <c r="D510" i="50"/>
  <c r="C510" i="50"/>
  <c r="I510" i="50"/>
  <c r="B511" i="50" s="1"/>
  <c r="H510" i="50"/>
  <c r="G510" i="50"/>
  <c r="G510" i="49"/>
  <c r="C510" i="49"/>
  <c r="H510" i="49"/>
  <c r="D510" i="49"/>
  <c r="I510" i="49"/>
  <c r="B511" i="49" s="1"/>
  <c r="C510" i="48"/>
  <c r="I510" i="48"/>
  <c r="B511" i="48" s="1"/>
  <c r="G510" i="48"/>
  <c r="H510" i="48"/>
  <c r="D510" i="48"/>
  <c r="C510" i="47"/>
  <c r="I510" i="47"/>
  <c r="B511" i="47" s="1"/>
  <c r="H510" i="47"/>
  <c r="G510" i="47"/>
  <c r="D510" i="47"/>
  <c r="C459" i="35"/>
  <c r="I459" i="35"/>
  <c r="B460" i="35" s="1"/>
  <c r="G459" i="35"/>
  <c r="D459" i="35"/>
  <c r="H459" i="35"/>
  <c r="I512" i="55" l="1"/>
  <c r="B513" i="55" s="1"/>
  <c r="H512" i="55"/>
  <c r="G512" i="55"/>
  <c r="D512" i="55"/>
  <c r="C512" i="55"/>
  <c r="I512" i="54"/>
  <c r="B513" i="54" s="1"/>
  <c r="H512" i="54"/>
  <c r="G512" i="54"/>
  <c r="D512" i="54"/>
  <c r="C512" i="54"/>
  <c r="G512" i="53"/>
  <c r="C512" i="53"/>
  <c r="I512" i="53"/>
  <c r="B513" i="53" s="1"/>
  <c r="H512" i="53"/>
  <c r="D512" i="53"/>
  <c r="I512" i="52"/>
  <c r="B513" i="52" s="1"/>
  <c r="H512" i="52"/>
  <c r="G512" i="52"/>
  <c r="D512" i="52"/>
  <c r="C512" i="52"/>
  <c r="G512" i="51"/>
  <c r="D512" i="51"/>
  <c r="C512" i="51"/>
  <c r="I512" i="51"/>
  <c r="B513" i="51" s="1"/>
  <c r="H512" i="51"/>
  <c r="H511" i="50"/>
  <c r="G511" i="50"/>
  <c r="D511" i="50"/>
  <c r="C511" i="50"/>
  <c r="I511" i="50"/>
  <c r="B512" i="50" s="1"/>
  <c r="I511" i="49"/>
  <c r="B512" i="49" s="1"/>
  <c r="G511" i="49"/>
  <c r="D511" i="49"/>
  <c r="C511" i="49"/>
  <c r="H511" i="49"/>
  <c r="G511" i="48"/>
  <c r="D511" i="48"/>
  <c r="C511" i="48"/>
  <c r="I511" i="48"/>
  <c r="B512" i="48" s="1"/>
  <c r="H511" i="48"/>
  <c r="G511" i="47"/>
  <c r="H511" i="47"/>
  <c r="D511" i="47"/>
  <c r="C511" i="47"/>
  <c r="I511" i="47"/>
  <c r="B512" i="47" s="1"/>
  <c r="C460" i="35"/>
  <c r="G460" i="35"/>
  <c r="H460" i="35"/>
  <c r="D460" i="35"/>
  <c r="I460" i="35"/>
  <c r="B461" i="35" s="1"/>
  <c r="C513" i="55" l="1"/>
  <c r="I513" i="55"/>
  <c r="B514" i="55" s="1"/>
  <c r="H513" i="55"/>
  <c r="G513" i="55"/>
  <c r="D513" i="55"/>
  <c r="I513" i="54"/>
  <c r="B514" i="54" s="1"/>
  <c r="H513" i="54"/>
  <c r="G513" i="54"/>
  <c r="D513" i="54"/>
  <c r="C513" i="54"/>
  <c r="I513" i="53"/>
  <c r="B514" i="53" s="1"/>
  <c r="G513" i="53"/>
  <c r="D513" i="53"/>
  <c r="C513" i="53"/>
  <c r="H513" i="53"/>
  <c r="I513" i="52"/>
  <c r="B514" i="52" s="1"/>
  <c r="H513" i="52"/>
  <c r="G513" i="52"/>
  <c r="C513" i="52"/>
  <c r="D513" i="52"/>
  <c r="I513" i="51"/>
  <c r="B514" i="51" s="1"/>
  <c r="H513" i="51"/>
  <c r="G513" i="51"/>
  <c r="D513" i="51"/>
  <c r="C513" i="51"/>
  <c r="I512" i="50"/>
  <c r="B513" i="50" s="1"/>
  <c r="H512" i="50"/>
  <c r="G512" i="50"/>
  <c r="D512" i="50"/>
  <c r="C512" i="50"/>
  <c r="I512" i="49"/>
  <c r="B513" i="49" s="1"/>
  <c r="H512" i="49"/>
  <c r="G512" i="49"/>
  <c r="D512" i="49"/>
  <c r="C512" i="49"/>
  <c r="I512" i="48"/>
  <c r="B513" i="48" s="1"/>
  <c r="H512" i="48"/>
  <c r="G512" i="48"/>
  <c r="D512" i="48"/>
  <c r="C512" i="48"/>
  <c r="I512" i="47"/>
  <c r="B513" i="47" s="1"/>
  <c r="H512" i="47"/>
  <c r="C512" i="47"/>
  <c r="G512" i="47"/>
  <c r="D512" i="47"/>
  <c r="C461" i="35"/>
  <c r="I461" i="35"/>
  <c r="B462" i="35" s="1"/>
  <c r="H461" i="35"/>
  <c r="D461" i="35"/>
  <c r="G461" i="35"/>
  <c r="G514" i="55" l="1"/>
  <c r="D514" i="55"/>
  <c r="C514" i="55"/>
  <c r="I514" i="55"/>
  <c r="B515" i="55" s="1"/>
  <c r="H514" i="55"/>
  <c r="C514" i="54"/>
  <c r="I514" i="54"/>
  <c r="B515" i="54" s="1"/>
  <c r="H514" i="54"/>
  <c r="G514" i="54"/>
  <c r="D514" i="54"/>
  <c r="H514" i="53"/>
  <c r="I514" i="53"/>
  <c r="B515" i="53" s="1"/>
  <c r="G514" i="53"/>
  <c r="C514" i="53"/>
  <c r="D514" i="53"/>
  <c r="C514" i="52"/>
  <c r="I514" i="52"/>
  <c r="B515" i="52" s="1"/>
  <c r="G514" i="52"/>
  <c r="H514" i="52"/>
  <c r="D514" i="52"/>
  <c r="I514" i="51"/>
  <c r="B515" i="51" s="1"/>
  <c r="H514" i="51"/>
  <c r="C514" i="51"/>
  <c r="G514" i="51"/>
  <c r="D514" i="51"/>
  <c r="I513" i="50"/>
  <c r="B514" i="50" s="1"/>
  <c r="H513" i="50"/>
  <c r="G513" i="50"/>
  <c r="D513" i="50"/>
  <c r="C513" i="50"/>
  <c r="C513" i="49"/>
  <c r="I513" i="49"/>
  <c r="B514" i="49" s="1"/>
  <c r="H513" i="49"/>
  <c r="G513" i="49"/>
  <c r="D513" i="49"/>
  <c r="I513" i="48"/>
  <c r="B514" i="48" s="1"/>
  <c r="H513" i="48"/>
  <c r="G513" i="48"/>
  <c r="C513" i="48"/>
  <c r="D513" i="48"/>
  <c r="I513" i="47"/>
  <c r="B514" i="47" s="1"/>
  <c r="G513" i="47"/>
  <c r="H513" i="47"/>
  <c r="D513" i="47"/>
  <c r="C513" i="47"/>
  <c r="G462" i="35"/>
  <c r="D462" i="35"/>
  <c r="I462" i="35"/>
  <c r="B463" i="35" s="1"/>
  <c r="H462" i="35"/>
  <c r="C462" i="35"/>
  <c r="I515" i="55" l="1"/>
  <c r="B516" i="55" s="1"/>
  <c r="H515" i="55"/>
  <c r="G515" i="55"/>
  <c r="D515" i="55"/>
  <c r="C515" i="55"/>
  <c r="G515" i="54"/>
  <c r="D515" i="54"/>
  <c r="C515" i="54"/>
  <c r="I515" i="54"/>
  <c r="B516" i="54" s="1"/>
  <c r="H515" i="54"/>
  <c r="D515" i="53"/>
  <c r="H515" i="53"/>
  <c r="C515" i="53"/>
  <c r="I515" i="53"/>
  <c r="B516" i="53" s="1"/>
  <c r="G515" i="53"/>
  <c r="G515" i="52"/>
  <c r="D515" i="52"/>
  <c r="C515" i="52"/>
  <c r="I515" i="52"/>
  <c r="B516" i="52" s="1"/>
  <c r="H515" i="52"/>
  <c r="C515" i="51"/>
  <c r="G515" i="51"/>
  <c r="I515" i="51"/>
  <c r="B516" i="51" s="1"/>
  <c r="H515" i="51"/>
  <c r="D515" i="51"/>
  <c r="D514" i="50"/>
  <c r="C514" i="50"/>
  <c r="I514" i="50"/>
  <c r="B515" i="50" s="1"/>
  <c r="H514" i="50"/>
  <c r="G514" i="50"/>
  <c r="G514" i="49"/>
  <c r="C514" i="49"/>
  <c r="D514" i="49"/>
  <c r="I514" i="49"/>
  <c r="B515" i="49" s="1"/>
  <c r="H514" i="49"/>
  <c r="C514" i="48"/>
  <c r="I514" i="48"/>
  <c r="B515" i="48" s="1"/>
  <c r="G514" i="48"/>
  <c r="H514" i="48"/>
  <c r="D514" i="48"/>
  <c r="C514" i="47"/>
  <c r="I514" i="47"/>
  <c r="B515" i="47" s="1"/>
  <c r="H514" i="47"/>
  <c r="G514" i="47"/>
  <c r="D514" i="47"/>
  <c r="C463" i="35"/>
  <c r="H463" i="35"/>
  <c r="G463" i="35"/>
  <c r="I463" i="35"/>
  <c r="B464" i="35" s="1"/>
  <c r="D463" i="35"/>
  <c r="I516" i="55" l="1"/>
  <c r="B517" i="55" s="1"/>
  <c r="H516" i="55"/>
  <c r="G516" i="55"/>
  <c r="D516" i="55"/>
  <c r="C516" i="55"/>
  <c r="I516" i="54"/>
  <c r="B517" i="54" s="1"/>
  <c r="H516" i="54"/>
  <c r="G516" i="54"/>
  <c r="D516" i="54"/>
  <c r="C516" i="54"/>
  <c r="H516" i="53"/>
  <c r="I516" i="53"/>
  <c r="B517" i="53" s="1"/>
  <c r="G516" i="53"/>
  <c r="D516" i="53"/>
  <c r="C516" i="53"/>
  <c r="I516" i="52"/>
  <c r="B517" i="52" s="1"/>
  <c r="H516" i="52"/>
  <c r="G516" i="52"/>
  <c r="D516" i="52"/>
  <c r="C516" i="52"/>
  <c r="G516" i="51"/>
  <c r="D516" i="51"/>
  <c r="C516" i="51"/>
  <c r="I516" i="51"/>
  <c r="B517" i="51" s="1"/>
  <c r="H516" i="51"/>
  <c r="H515" i="50"/>
  <c r="G515" i="50"/>
  <c r="D515" i="50"/>
  <c r="C515" i="50"/>
  <c r="I515" i="50"/>
  <c r="B516" i="50" s="1"/>
  <c r="G515" i="49"/>
  <c r="I515" i="49"/>
  <c r="B516" i="49" s="1"/>
  <c r="H515" i="49"/>
  <c r="D515" i="49"/>
  <c r="C515" i="49"/>
  <c r="G515" i="48"/>
  <c r="D515" i="48"/>
  <c r="C515" i="48"/>
  <c r="I515" i="48"/>
  <c r="B516" i="48" s="1"/>
  <c r="H515" i="48"/>
  <c r="G515" i="47"/>
  <c r="D515" i="47"/>
  <c r="C515" i="47"/>
  <c r="I515" i="47"/>
  <c r="B516" i="47" s="1"/>
  <c r="H515" i="47"/>
  <c r="C464" i="35"/>
  <c r="G464" i="35"/>
  <c r="H464" i="35"/>
  <c r="D464" i="35"/>
  <c r="I464" i="35"/>
  <c r="B465" i="35" s="1"/>
  <c r="C517" i="55" l="1"/>
  <c r="I517" i="55"/>
  <c r="B518" i="55" s="1"/>
  <c r="H517" i="55"/>
  <c r="G517" i="55"/>
  <c r="D517" i="55"/>
  <c r="I517" i="54"/>
  <c r="B518" i="54" s="1"/>
  <c r="H517" i="54"/>
  <c r="G517" i="54"/>
  <c r="D517" i="54"/>
  <c r="C517" i="54"/>
  <c r="D517" i="53"/>
  <c r="G517" i="53"/>
  <c r="H517" i="53"/>
  <c r="C517" i="53"/>
  <c r="I517" i="53"/>
  <c r="B518" i="53" s="1"/>
  <c r="I517" i="52"/>
  <c r="B518" i="52" s="1"/>
  <c r="H517" i="52"/>
  <c r="G517" i="52"/>
  <c r="C517" i="52"/>
  <c r="D517" i="52"/>
  <c r="I517" i="51"/>
  <c r="B518" i="51" s="1"/>
  <c r="H517" i="51"/>
  <c r="G517" i="51"/>
  <c r="D517" i="51"/>
  <c r="C517" i="51"/>
  <c r="I516" i="50"/>
  <c r="B517" i="50" s="1"/>
  <c r="H516" i="50"/>
  <c r="G516" i="50"/>
  <c r="D516" i="50"/>
  <c r="C516" i="50"/>
  <c r="I516" i="49"/>
  <c r="B517" i="49" s="1"/>
  <c r="C516" i="49"/>
  <c r="H516" i="49"/>
  <c r="G516" i="49"/>
  <c r="D516" i="49"/>
  <c r="I516" i="48"/>
  <c r="B517" i="48" s="1"/>
  <c r="H516" i="48"/>
  <c r="G516" i="48"/>
  <c r="D516" i="48"/>
  <c r="C516" i="48"/>
  <c r="I516" i="47"/>
  <c r="B517" i="47" s="1"/>
  <c r="H516" i="47"/>
  <c r="G516" i="47"/>
  <c r="C516" i="47"/>
  <c r="D516" i="47"/>
  <c r="I465" i="35"/>
  <c r="B466" i="35" s="1"/>
  <c r="C465" i="35"/>
  <c r="G465" i="35"/>
  <c r="D465" i="35"/>
  <c r="H465" i="35"/>
  <c r="G518" i="55" l="1"/>
  <c r="D518" i="55"/>
  <c r="C518" i="55"/>
  <c r="I518" i="55"/>
  <c r="B519" i="55" s="1"/>
  <c r="H518" i="55"/>
  <c r="C518" i="54"/>
  <c r="I518" i="54"/>
  <c r="B519" i="54" s="1"/>
  <c r="H518" i="54"/>
  <c r="G518" i="54"/>
  <c r="D518" i="54"/>
  <c r="H518" i="53"/>
  <c r="I518" i="53"/>
  <c r="B519" i="53" s="1"/>
  <c r="G518" i="53"/>
  <c r="D518" i="53"/>
  <c r="C518" i="53"/>
  <c r="C518" i="52"/>
  <c r="I518" i="52"/>
  <c r="B519" i="52" s="1"/>
  <c r="G518" i="52"/>
  <c r="H518" i="52"/>
  <c r="D518" i="52"/>
  <c r="I518" i="51"/>
  <c r="B519" i="51" s="1"/>
  <c r="H518" i="51"/>
  <c r="C518" i="51"/>
  <c r="G518" i="51"/>
  <c r="D518" i="51"/>
  <c r="I517" i="50"/>
  <c r="B518" i="50" s="1"/>
  <c r="H517" i="50"/>
  <c r="G517" i="50"/>
  <c r="D517" i="50"/>
  <c r="C517" i="50"/>
  <c r="C517" i="49"/>
  <c r="I517" i="49"/>
  <c r="B518" i="49" s="1"/>
  <c r="G517" i="49"/>
  <c r="D517" i="49"/>
  <c r="H517" i="49"/>
  <c r="I517" i="48"/>
  <c r="B518" i="48" s="1"/>
  <c r="H517" i="48"/>
  <c r="G517" i="48"/>
  <c r="C517" i="48"/>
  <c r="D517" i="48"/>
  <c r="I517" i="47"/>
  <c r="B518" i="47" s="1"/>
  <c r="G517" i="47"/>
  <c r="H517" i="47"/>
  <c r="D517" i="47"/>
  <c r="C517" i="47"/>
  <c r="G466" i="35"/>
  <c r="D466" i="35"/>
  <c r="C466" i="35"/>
  <c r="H466" i="35"/>
  <c r="I466" i="35"/>
  <c r="B467" i="35" s="1"/>
  <c r="I519" i="55" l="1"/>
  <c r="B520" i="55" s="1"/>
  <c r="H519" i="55"/>
  <c r="G519" i="55"/>
  <c r="D519" i="55"/>
  <c r="C519" i="55"/>
  <c r="G519" i="54"/>
  <c r="D519" i="54"/>
  <c r="C519" i="54"/>
  <c r="I519" i="54"/>
  <c r="B520" i="54" s="1"/>
  <c r="H519" i="54"/>
  <c r="D519" i="53"/>
  <c r="C519" i="53"/>
  <c r="I519" i="53"/>
  <c r="B520" i="53" s="1"/>
  <c r="H519" i="53"/>
  <c r="G519" i="53"/>
  <c r="G519" i="52"/>
  <c r="D519" i="52"/>
  <c r="C519" i="52"/>
  <c r="I519" i="52"/>
  <c r="B520" i="52" s="1"/>
  <c r="H519" i="52"/>
  <c r="C519" i="51"/>
  <c r="G519" i="51"/>
  <c r="I519" i="51"/>
  <c r="B520" i="51" s="1"/>
  <c r="H519" i="51"/>
  <c r="D519" i="51"/>
  <c r="D518" i="50"/>
  <c r="C518" i="50"/>
  <c r="I518" i="50"/>
  <c r="B519" i="50" s="1"/>
  <c r="H518" i="50"/>
  <c r="G518" i="50"/>
  <c r="C518" i="49"/>
  <c r="G518" i="49"/>
  <c r="I518" i="49"/>
  <c r="B519" i="49" s="1"/>
  <c r="H518" i="49"/>
  <c r="D518" i="49"/>
  <c r="C518" i="48"/>
  <c r="I518" i="48"/>
  <c r="B519" i="48" s="1"/>
  <c r="G518" i="48"/>
  <c r="H518" i="48"/>
  <c r="D518" i="48"/>
  <c r="C518" i="47"/>
  <c r="I518" i="47"/>
  <c r="B519" i="47" s="1"/>
  <c r="H518" i="47"/>
  <c r="G518" i="47"/>
  <c r="D518" i="47"/>
  <c r="H467" i="35"/>
  <c r="C467" i="35"/>
  <c r="G467" i="35"/>
  <c r="D467" i="35"/>
  <c r="I467" i="35"/>
  <c r="B468" i="35" s="1"/>
  <c r="I520" i="55" l="1"/>
  <c r="B521" i="55" s="1"/>
  <c r="H520" i="55"/>
  <c r="G520" i="55"/>
  <c r="D520" i="55"/>
  <c r="C520" i="55"/>
  <c r="I520" i="54"/>
  <c r="B521" i="54" s="1"/>
  <c r="H520" i="54"/>
  <c r="G520" i="54"/>
  <c r="D520" i="54"/>
  <c r="C520" i="54"/>
  <c r="H520" i="53"/>
  <c r="G520" i="53"/>
  <c r="D520" i="53"/>
  <c r="C520" i="53"/>
  <c r="I520" i="53"/>
  <c r="B521" i="53" s="1"/>
  <c r="I520" i="52"/>
  <c r="B521" i="52" s="1"/>
  <c r="H520" i="52"/>
  <c r="G520" i="52"/>
  <c r="D520" i="52"/>
  <c r="C520" i="52"/>
  <c r="G520" i="51"/>
  <c r="D520" i="51"/>
  <c r="C520" i="51"/>
  <c r="I520" i="51"/>
  <c r="B521" i="51" s="1"/>
  <c r="H520" i="51"/>
  <c r="H519" i="50"/>
  <c r="G519" i="50"/>
  <c r="D519" i="50"/>
  <c r="C519" i="50"/>
  <c r="I519" i="50"/>
  <c r="B520" i="50" s="1"/>
  <c r="G519" i="49"/>
  <c r="I519" i="49"/>
  <c r="B520" i="49" s="1"/>
  <c r="H519" i="49"/>
  <c r="C519" i="49"/>
  <c r="D519" i="49"/>
  <c r="G519" i="48"/>
  <c r="D519" i="48"/>
  <c r="C519" i="48"/>
  <c r="I519" i="48"/>
  <c r="B520" i="48" s="1"/>
  <c r="H519" i="48"/>
  <c r="G519" i="47"/>
  <c r="D519" i="47"/>
  <c r="C519" i="47"/>
  <c r="I519" i="47"/>
  <c r="B520" i="47" s="1"/>
  <c r="H519" i="47"/>
  <c r="C468" i="35"/>
  <c r="G468" i="35"/>
  <c r="H468" i="35"/>
  <c r="D468" i="35"/>
  <c r="I468" i="35"/>
  <c r="B469" i="35" s="1"/>
  <c r="C521" i="55" l="1"/>
  <c r="I521" i="55"/>
  <c r="B522" i="55" s="1"/>
  <c r="H521" i="55"/>
  <c r="G521" i="55"/>
  <c r="D521" i="55"/>
  <c r="I521" i="54"/>
  <c r="B522" i="54" s="1"/>
  <c r="H521" i="54"/>
  <c r="G521" i="54"/>
  <c r="D521" i="54"/>
  <c r="C521" i="54"/>
  <c r="D521" i="53"/>
  <c r="I521" i="53"/>
  <c r="B522" i="53" s="1"/>
  <c r="H521" i="53"/>
  <c r="G521" i="53"/>
  <c r="C521" i="53"/>
  <c r="I521" i="52"/>
  <c r="B522" i="52" s="1"/>
  <c r="H521" i="52"/>
  <c r="G521" i="52"/>
  <c r="C521" i="52"/>
  <c r="D521" i="52"/>
  <c r="I521" i="51"/>
  <c r="B522" i="51" s="1"/>
  <c r="H521" i="51"/>
  <c r="G521" i="51"/>
  <c r="D521" i="51"/>
  <c r="C521" i="51"/>
  <c r="I520" i="50"/>
  <c r="B521" i="50" s="1"/>
  <c r="H520" i="50"/>
  <c r="G520" i="50"/>
  <c r="D520" i="50"/>
  <c r="C520" i="50"/>
  <c r="I520" i="49"/>
  <c r="B521" i="49" s="1"/>
  <c r="H520" i="49"/>
  <c r="G520" i="49"/>
  <c r="D520" i="49"/>
  <c r="C520" i="49"/>
  <c r="I520" i="48"/>
  <c r="B521" i="48" s="1"/>
  <c r="H520" i="48"/>
  <c r="G520" i="48"/>
  <c r="D520" i="48"/>
  <c r="C520" i="48"/>
  <c r="I520" i="47"/>
  <c r="B521" i="47" s="1"/>
  <c r="H520" i="47"/>
  <c r="G520" i="47"/>
  <c r="C520" i="47"/>
  <c r="D520" i="47"/>
  <c r="I469" i="35"/>
  <c r="B470" i="35" s="1"/>
  <c r="C469" i="35"/>
  <c r="G469" i="35"/>
  <c r="D469" i="35"/>
  <c r="H469" i="35"/>
  <c r="G522" i="55" l="1"/>
  <c r="D522" i="55"/>
  <c r="C522" i="55"/>
  <c r="I522" i="55"/>
  <c r="B523" i="55" s="1"/>
  <c r="H522" i="55"/>
  <c r="C522" i="54"/>
  <c r="I522" i="54"/>
  <c r="B523" i="54" s="1"/>
  <c r="H522" i="54"/>
  <c r="G522" i="54"/>
  <c r="D522" i="54"/>
  <c r="H522" i="53"/>
  <c r="I522" i="53"/>
  <c r="B523" i="53" s="1"/>
  <c r="D522" i="53"/>
  <c r="C522" i="53"/>
  <c r="G522" i="53"/>
  <c r="C522" i="52"/>
  <c r="I522" i="52"/>
  <c r="B523" i="52" s="1"/>
  <c r="G522" i="52"/>
  <c r="H522" i="52"/>
  <c r="D522" i="52"/>
  <c r="I522" i="51"/>
  <c r="B523" i="51" s="1"/>
  <c r="H522" i="51"/>
  <c r="C522" i="51"/>
  <c r="G522" i="51"/>
  <c r="D522" i="51"/>
  <c r="I521" i="50"/>
  <c r="B522" i="50" s="1"/>
  <c r="H521" i="50"/>
  <c r="G521" i="50"/>
  <c r="D521" i="50"/>
  <c r="C521" i="50"/>
  <c r="C521" i="49"/>
  <c r="G521" i="49"/>
  <c r="I521" i="49"/>
  <c r="B522" i="49" s="1"/>
  <c r="H521" i="49"/>
  <c r="D521" i="49"/>
  <c r="I521" i="48"/>
  <c r="B522" i="48" s="1"/>
  <c r="H521" i="48"/>
  <c r="G521" i="48"/>
  <c r="C521" i="48"/>
  <c r="D521" i="48"/>
  <c r="I521" i="47"/>
  <c r="B522" i="47" s="1"/>
  <c r="G521" i="47"/>
  <c r="H521" i="47"/>
  <c r="D521" i="47"/>
  <c r="C521" i="47"/>
  <c r="D470" i="35"/>
  <c r="G470" i="35"/>
  <c r="C470" i="35"/>
  <c r="H470" i="35"/>
  <c r="I470" i="35"/>
  <c r="B471" i="35" s="1"/>
  <c r="I523" i="55" l="1"/>
  <c r="B524" i="55" s="1"/>
  <c r="H523" i="55"/>
  <c r="G523" i="55"/>
  <c r="D523" i="55"/>
  <c r="C523" i="55"/>
  <c r="G523" i="54"/>
  <c r="D523" i="54"/>
  <c r="C523" i="54"/>
  <c r="I523" i="54"/>
  <c r="B524" i="54" s="1"/>
  <c r="H523" i="54"/>
  <c r="D523" i="53"/>
  <c r="I523" i="53"/>
  <c r="B524" i="53" s="1"/>
  <c r="H523" i="53"/>
  <c r="G523" i="53"/>
  <c r="C523" i="53"/>
  <c r="G523" i="52"/>
  <c r="D523" i="52"/>
  <c r="C523" i="52"/>
  <c r="I523" i="52"/>
  <c r="B524" i="52" s="1"/>
  <c r="H523" i="52"/>
  <c r="C523" i="51"/>
  <c r="G523" i="51"/>
  <c r="I523" i="51"/>
  <c r="B524" i="51" s="1"/>
  <c r="H523" i="51"/>
  <c r="D523" i="51"/>
  <c r="D522" i="50"/>
  <c r="C522" i="50"/>
  <c r="I522" i="50"/>
  <c r="B523" i="50" s="1"/>
  <c r="H522" i="50"/>
  <c r="G522" i="50"/>
  <c r="C522" i="49"/>
  <c r="G522" i="49"/>
  <c r="I522" i="49"/>
  <c r="B523" i="49" s="1"/>
  <c r="H522" i="49"/>
  <c r="D522" i="49"/>
  <c r="C522" i="48"/>
  <c r="I522" i="48"/>
  <c r="B523" i="48" s="1"/>
  <c r="G522" i="48"/>
  <c r="H522" i="48"/>
  <c r="D522" i="48"/>
  <c r="C522" i="47"/>
  <c r="I522" i="47"/>
  <c r="B523" i="47" s="1"/>
  <c r="H522" i="47"/>
  <c r="G522" i="47"/>
  <c r="D522" i="47"/>
  <c r="C471" i="35"/>
  <c r="I471" i="35"/>
  <c r="B472" i="35" s="1"/>
  <c r="D471" i="35"/>
  <c r="H471" i="35"/>
  <c r="G471" i="35"/>
  <c r="I524" i="55" l="1"/>
  <c r="B525" i="55" s="1"/>
  <c r="H524" i="55"/>
  <c r="G524" i="55"/>
  <c r="D524" i="55"/>
  <c r="C524" i="55"/>
  <c r="I524" i="54"/>
  <c r="B525" i="54" s="1"/>
  <c r="H524" i="54"/>
  <c r="G524" i="54"/>
  <c r="D524" i="54"/>
  <c r="C524" i="54"/>
  <c r="H524" i="53"/>
  <c r="D524" i="53"/>
  <c r="G524" i="53"/>
  <c r="C524" i="53"/>
  <c r="I524" i="53"/>
  <c r="B525" i="53" s="1"/>
  <c r="I524" i="52"/>
  <c r="B525" i="52" s="1"/>
  <c r="H524" i="52"/>
  <c r="G524" i="52"/>
  <c r="D524" i="52"/>
  <c r="C524" i="52"/>
  <c r="G524" i="51"/>
  <c r="D524" i="51"/>
  <c r="C524" i="51"/>
  <c r="I524" i="51"/>
  <c r="B525" i="51" s="1"/>
  <c r="H524" i="51"/>
  <c r="H523" i="50"/>
  <c r="G523" i="50"/>
  <c r="D523" i="50"/>
  <c r="C523" i="50"/>
  <c r="I523" i="50"/>
  <c r="B524" i="50" s="1"/>
  <c r="G523" i="49"/>
  <c r="I523" i="49"/>
  <c r="B524" i="49" s="1"/>
  <c r="C523" i="49"/>
  <c r="D523" i="49"/>
  <c r="H523" i="49"/>
  <c r="G523" i="48"/>
  <c r="D523" i="48"/>
  <c r="C523" i="48"/>
  <c r="I523" i="48"/>
  <c r="B524" i="48" s="1"/>
  <c r="H523" i="48"/>
  <c r="G523" i="47"/>
  <c r="D523" i="47"/>
  <c r="C523" i="47"/>
  <c r="I523" i="47"/>
  <c r="B524" i="47" s="1"/>
  <c r="H523" i="47"/>
  <c r="C472" i="35"/>
  <c r="G472" i="35"/>
  <c r="I472" i="35"/>
  <c r="B473" i="35" s="1"/>
  <c r="D472" i="35"/>
  <c r="H472" i="35"/>
  <c r="C525" i="55" l="1"/>
  <c r="I525" i="55"/>
  <c r="B526" i="55" s="1"/>
  <c r="H525" i="55"/>
  <c r="G525" i="55"/>
  <c r="D525" i="55"/>
  <c r="I525" i="54"/>
  <c r="B526" i="54" s="1"/>
  <c r="H525" i="54"/>
  <c r="G525" i="54"/>
  <c r="D525" i="54"/>
  <c r="C525" i="54"/>
  <c r="H525" i="53"/>
  <c r="D525" i="53"/>
  <c r="C525" i="53"/>
  <c r="I525" i="53"/>
  <c r="B526" i="53" s="1"/>
  <c r="G525" i="53"/>
  <c r="I525" i="52"/>
  <c r="B526" i="52" s="1"/>
  <c r="H525" i="52"/>
  <c r="G525" i="52"/>
  <c r="C525" i="52"/>
  <c r="D525" i="52"/>
  <c r="I525" i="51"/>
  <c r="B526" i="51" s="1"/>
  <c r="H525" i="51"/>
  <c r="G525" i="51"/>
  <c r="D525" i="51"/>
  <c r="C525" i="51"/>
  <c r="I524" i="50"/>
  <c r="B525" i="50" s="1"/>
  <c r="H524" i="50"/>
  <c r="G524" i="50"/>
  <c r="D524" i="50"/>
  <c r="C524" i="50"/>
  <c r="I524" i="49"/>
  <c r="B525" i="49" s="1"/>
  <c r="G524" i="49"/>
  <c r="D524" i="49"/>
  <c r="C524" i="49"/>
  <c r="H524" i="49"/>
  <c r="I524" i="48"/>
  <c r="B525" i="48" s="1"/>
  <c r="H524" i="48"/>
  <c r="G524" i="48"/>
  <c r="D524" i="48"/>
  <c r="C524" i="48"/>
  <c r="I524" i="47"/>
  <c r="B525" i="47" s="1"/>
  <c r="H524" i="47"/>
  <c r="G524" i="47"/>
  <c r="C524" i="47"/>
  <c r="D524" i="47"/>
  <c r="I473" i="35"/>
  <c r="B474" i="35" s="1"/>
  <c r="C473" i="35"/>
  <c r="H473" i="35"/>
  <c r="D473" i="35"/>
  <c r="G473" i="35"/>
  <c r="G526" i="55" l="1"/>
  <c r="D526" i="55"/>
  <c r="C526" i="55"/>
  <c r="I526" i="55"/>
  <c r="B527" i="55" s="1"/>
  <c r="H526" i="55"/>
  <c r="C526" i="54"/>
  <c r="I526" i="54"/>
  <c r="B527" i="54" s="1"/>
  <c r="H526" i="54"/>
  <c r="G526" i="54"/>
  <c r="D526" i="54"/>
  <c r="H526" i="53"/>
  <c r="G526" i="53"/>
  <c r="I526" i="53"/>
  <c r="B527" i="53" s="1"/>
  <c r="D526" i="53"/>
  <c r="C526" i="53"/>
  <c r="C526" i="52"/>
  <c r="I526" i="52"/>
  <c r="B527" i="52" s="1"/>
  <c r="G526" i="52"/>
  <c r="H526" i="52"/>
  <c r="D526" i="52"/>
  <c r="I526" i="51"/>
  <c r="B527" i="51" s="1"/>
  <c r="H526" i="51"/>
  <c r="C526" i="51"/>
  <c r="G526" i="51"/>
  <c r="D526" i="51"/>
  <c r="I525" i="50"/>
  <c r="B526" i="50" s="1"/>
  <c r="H525" i="50"/>
  <c r="G525" i="50"/>
  <c r="D525" i="50"/>
  <c r="C525" i="50"/>
  <c r="C525" i="49"/>
  <c r="I525" i="49"/>
  <c r="B526" i="49" s="1"/>
  <c r="H525" i="49"/>
  <c r="G525" i="49"/>
  <c r="D525" i="49"/>
  <c r="I525" i="48"/>
  <c r="B526" i="48" s="1"/>
  <c r="H525" i="48"/>
  <c r="G525" i="48"/>
  <c r="C525" i="48"/>
  <c r="D525" i="48"/>
  <c r="I525" i="47"/>
  <c r="B526" i="47" s="1"/>
  <c r="G525" i="47"/>
  <c r="H525" i="47"/>
  <c r="D525" i="47"/>
  <c r="C525" i="47"/>
  <c r="G474" i="35"/>
  <c r="D474" i="35"/>
  <c r="C474" i="35"/>
  <c r="I474" i="35"/>
  <c r="B475" i="35" s="1"/>
  <c r="H474" i="35"/>
  <c r="I527" i="55" l="1"/>
  <c r="B528" i="55" s="1"/>
  <c r="H527" i="55"/>
  <c r="G527" i="55"/>
  <c r="D527" i="55"/>
  <c r="C527" i="55"/>
  <c r="G527" i="54"/>
  <c r="D527" i="54"/>
  <c r="C527" i="54"/>
  <c r="I527" i="54"/>
  <c r="B528" i="54" s="1"/>
  <c r="H527" i="54"/>
  <c r="D527" i="53"/>
  <c r="I527" i="53"/>
  <c r="B528" i="53" s="1"/>
  <c r="H527" i="53"/>
  <c r="C527" i="53"/>
  <c r="G527" i="53"/>
  <c r="G527" i="52"/>
  <c r="D527" i="52"/>
  <c r="C527" i="52"/>
  <c r="I527" i="52"/>
  <c r="B528" i="52" s="1"/>
  <c r="H527" i="52"/>
  <c r="C527" i="51"/>
  <c r="G527" i="51"/>
  <c r="I527" i="51"/>
  <c r="B528" i="51" s="1"/>
  <c r="H527" i="51"/>
  <c r="D527" i="51"/>
  <c r="D526" i="50"/>
  <c r="C526" i="50"/>
  <c r="I526" i="50"/>
  <c r="B527" i="50" s="1"/>
  <c r="H526" i="50"/>
  <c r="G526" i="50"/>
  <c r="C526" i="49"/>
  <c r="G526" i="49"/>
  <c r="I526" i="49"/>
  <c r="B527" i="49" s="1"/>
  <c r="D526" i="49"/>
  <c r="H526" i="49"/>
  <c r="C526" i="48"/>
  <c r="I526" i="48"/>
  <c r="B527" i="48" s="1"/>
  <c r="G526" i="48"/>
  <c r="H526" i="48"/>
  <c r="D526" i="48"/>
  <c r="C526" i="47"/>
  <c r="I526" i="47"/>
  <c r="B527" i="47" s="1"/>
  <c r="H526" i="47"/>
  <c r="G526" i="47"/>
  <c r="D526" i="47"/>
  <c r="I475" i="35"/>
  <c r="B476" i="35" s="1"/>
  <c r="H475" i="35"/>
  <c r="G475" i="35"/>
  <c r="D475" i="35"/>
  <c r="C475" i="35"/>
  <c r="I528" i="55" l="1"/>
  <c r="B529" i="55" s="1"/>
  <c r="H528" i="55"/>
  <c r="G528" i="55"/>
  <c r="D528" i="55"/>
  <c r="C528" i="55"/>
  <c r="I528" i="54"/>
  <c r="B529" i="54" s="1"/>
  <c r="H528" i="54"/>
  <c r="G528" i="54"/>
  <c r="D528" i="54"/>
  <c r="C528" i="54"/>
  <c r="H528" i="53"/>
  <c r="D528" i="53"/>
  <c r="I528" i="53"/>
  <c r="B529" i="53" s="1"/>
  <c r="G528" i="53"/>
  <c r="C528" i="53"/>
  <c r="I528" i="52"/>
  <c r="B529" i="52" s="1"/>
  <c r="H528" i="52"/>
  <c r="G528" i="52"/>
  <c r="D528" i="52"/>
  <c r="C528" i="52"/>
  <c r="G528" i="51"/>
  <c r="D528" i="51"/>
  <c r="C528" i="51"/>
  <c r="I528" i="51"/>
  <c r="B529" i="51" s="1"/>
  <c r="H528" i="51"/>
  <c r="H527" i="50"/>
  <c r="G527" i="50"/>
  <c r="D527" i="50"/>
  <c r="C527" i="50"/>
  <c r="I527" i="50"/>
  <c r="B528" i="50" s="1"/>
  <c r="G527" i="49"/>
  <c r="I527" i="49"/>
  <c r="B528" i="49" s="1"/>
  <c r="H527" i="49"/>
  <c r="D527" i="49"/>
  <c r="C527" i="49"/>
  <c r="G527" i="48"/>
  <c r="D527" i="48"/>
  <c r="C527" i="48"/>
  <c r="I527" i="48"/>
  <c r="B528" i="48" s="1"/>
  <c r="H527" i="48"/>
  <c r="G527" i="47"/>
  <c r="D527" i="47"/>
  <c r="C527" i="47"/>
  <c r="I527" i="47"/>
  <c r="B528" i="47" s="1"/>
  <c r="H527" i="47"/>
  <c r="C476" i="35"/>
  <c r="G476" i="35"/>
  <c r="I476" i="35"/>
  <c r="B477" i="35" s="1"/>
  <c r="D476" i="35"/>
  <c r="H476" i="35"/>
  <c r="C529" i="55" l="1"/>
  <c r="I529" i="55"/>
  <c r="B530" i="55" s="1"/>
  <c r="H529" i="55"/>
  <c r="G529" i="55"/>
  <c r="D529" i="55"/>
  <c r="I529" i="54"/>
  <c r="B530" i="54" s="1"/>
  <c r="H529" i="54"/>
  <c r="G529" i="54"/>
  <c r="D529" i="54"/>
  <c r="C529" i="54"/>
  <c r="H529" i="53"/>
  <c r="G529" i="53"/>
  <c r="D529" i="53"/>
  <c r="C529" i="53"/>
  <c r="I529" i="53"/>
  <c r="B530" i="53" s="1"/>
  <c r="I529" i="52"/>
  <c r="B530" i="52" s="1"/>
  <c r="H529" i="52"/>
  <c r="G529" i="52"/>
  <c r="C529" i="52"/>
  <c r="D529" i="52"/>
  <c r="I529" i="51"/>
  <c r="B530" i="51" s="1"/>
  <c r="H529" i="51"/>
  <c r="G529" i="51"/>
  <c r="D529" i="51"/>
  <c r="C529" i="51"/>
  <c r="I528" i="50"/>
  <c r="B529" i="50" s="1"/>
  <c r="H528" i="50"/>
  <c r="G528" i="50"/>
  <c r="D528" i="50"/>
  <c r="C528" i="50"/>
  <c r="I528" i="49"/>
  <c r="B529" i="49" s="1"/>
  <c r="G528" i="49"/>
  <c r="C528" i="49"/>
  <c r="D528" i="49"/>
  <c r="H528" i="49"/>
  <c r="I528" i="48"/>
  <c r="B529" i="48" s="1"/>
  <c r="H528" i="48"/>
  <c r="G528" i="48"/>
  <c r="D528" i="48"/>
  <c r="C528" i="48"/>
  <c r="I528" i="47"/>
  <c r="B529" i="47" s="1"/>
  <c r="H528" i="47"/>
  <c r="G528" i="47"/>
  <c r="C528" i="47"/>
  <c r="D528" i="47"/>
  <c r="C477" i="35"/>
  <c r="G477" i="35"/>
  <c r="I477" i="35"/>
  <c r="B478" i="35" s="1"/>
  <c r="D477" i="35"/>
  <c r="H477" i="35"/>
  <c r="G530" i="55" l="1"/>
  <c r="D530" i="55"/>
  <c r="C530" i="55"/>
  <c r="I530" i="55"/>
  <c r="B531" i="55" s="1"/>
  <c r="H530" i="55"/>
  <c r="I530" i="54"/>
  <c r="B531" i="54" s="1"/>
  <c r="C530" i="54"/>
  <c r="H530" i="54"/>
  <c r="G530" i="54"/>
  <c r="D530" i="54"/>
  <c r="I530" i="53"/>
  <c r="B531" i="53" s="1"/>
  <c r="H530" i="53"/>
  <c r="G530" i="53"/>
  <c r="C530" i="53"/>
  <c r="D530" i="53"/>
  <c r="C530" i="52"/>
  <c r="I530" i="52"/>
  <c r="B531" i="52" s="1"/>
  <c r="G530" i="52"/>
  <c r="H530" i="52"/>
  <c r="D530" i="52"/>
  <c r="I530" i="51"/>
  <c r="B531" i="51" s="1"/>
  <c r="H530" i="51"/>
  <c r="C530" i="51"/>
  <c r="G530" i="51"/>
  <c r="D530" i="51"/>
  <c r="H529" i="50"/>
  <c r="I529" i="50"/>
  <c r="B530" i="50" s="1"/>
  <c r="G529" i="50"/>
  <c r="D529" i="50"/>
  <c r="C529" i="50"/>
  <c r="C529" i="49"/>
  <c r="I529" i="49"/>
  <c r="B530" i="49" s="1"/>
  <c r="H529" i="49"/>
  <c r="G529" i="49"/>
  <c r="D529" i="49"/>
  <c r="I529" i="48"/>
  <c r="B530" i="48" s="1"/>
  <c r="H529" i="48"/>
  <c r="G529" i="48"/>
  <c r="C529" i="48"/>
  <c r="D529" i="48"/>
  <c r="I529" i="47"/>
  <c r="B530" i="47" s="1"/>
  <c r="G529" i="47"/>
  <c r="H529" i="47"/>
  <c r="D529" i="47"/>
  <c r="C529" i="47"/>
  <c r="G478" i="35"/>
  <c r="D478" i="35"/>
  <c r="I478" i="35"/>
  <c r="B479" i="35" s="1"/>
  <c r="H478" i="35"/>
  <c r="C478" i="35"/>
  <c r="I531" i="55" l="1"/>
  <c r="B532" i="55" s="1"/>
  <c r="H531" i="55"/>
  <c r="G531" i="55"/>
  <c r="D531" i="55"/>
  <c r="C531" i="55"/>
  <c r="C531" i="54"/>
  <c r="I531" i="54"/>
  <c r="B532" i="54" s="1"/>
  <c r="H531" i="54"/>
  <c r="G531" i="54"/>
  <c r="D531" i="54"/>
  <c r="D531" i="53"/>
  <c r="I531" i="53"/>
  <c r="B532" i="53" s="1"/>
  <c r="C531" i="53"/>
  <c r="G531" i="53"/>
  <c r="H531" i="53"/>
  <c r="G531" i="52"/>
  <c r="D531" i="52"/>
  <c r="C531" i="52"/>
  <c r="I531" i="52"/>
  <c r="B532" i="52" s="1"/>
  <c r="H531" i="52"/>
  <c r="C531" i="51"/>
  <c r="G531" i="51"/>
  <c r="H531" i="51"/>
  <c r="D531" i="51"/>
  <c r="I531" i="51"/>
  <c r="B532" i="51" s="1"/>
  <c r="I530" i="50"/>
  <c r="B531" i="50" s="1"/>
  <c r="H530" i="50"/>
  <c r="G530" i="50"/>
  <c r="D530" i="50"/>
  <c r="C530" i="50"/>
  <c r="C530" i="49"/>
  <c r="G530" i="49"/>
  <c r="D530" i="49"/>
  <c r="I530" i="49"/>
  <c r="B531" i="49" s="1"/>
  <c r="H530" i="49"/>
  <c r="C530" i="48"/>
  <c r="I530" i="48"/>
  <c r="B531" i="48" s="1"/>
  <c r="G530" i="48"/>
  <c r="H530" i="48"/>
  <c r="D530" i="48"/>
  <c r="C530" i="47"/>
  <c r="I530" i="47"/>
  <c r="B531" i="47" s="1"/>
  <c r="H530" i="47"/>
  <c r="G530" i="47"/>
  <c r="D530" i="47"/>
  <c r="H479" i="35"/>
  <c r="C479" i="35"/>
  <c r="D479" i="35"/>
  <c r="I479" i="35"/>
  <c r="B480" i="35" s="1"/>
  <c r="G479" i="35"/>
  <c r="I532" i="55" l="1"/>
  <c r="B533" i="55" s="1"/>
  <c r="H532" i="55"/>
  <c r="G532" i="55"/>
  <c r="D532" i="55"/>
  <c r="C532" i="55"/>
  <c r="G532" i="54"/>
  <c r="D532" i="54"/>
  <c r="C532" i="54"/>
  <c r="I532" i="54"/>
  <c r="B533" i="54" s="1"/>
  <c r="H532" i="54"/>
  <c r="H532" i="53"/>
  <c r="D532" i="53"/>
  <c r="C532" i="53"/>
  <c r="I532" i="53"/>
  <c r="B533" i="53" s="1"/>
  <c r="G532" i="53"/>
  <c r="I532" i="52"/>
  <c r="B533" i="52" s="1"/>
  <c r="H532" i="52"/>
  <c r="G532" i="52"/>
  <c r="D532" i="52"/>
  <c r="C532" i="52"/>
  <c r="G532" i="51"/>
  <c r="D532" i="51"/>
  <c r="C532" i="51"/>
  <c r="I532" i="51"/>
  <c r="B533" i="51" s="1"/>
  <c r="H532" i="51"/>
  <c r="I531" i="50"/>
  <c r="B532" i="50" s="1"/>
  <c r="H531" i="50"/>
  <c r="G531" i="50"/>
  <c r="D531" i="50"/>
  <c r="C531" i="50"/>
  <c r="G531" i="49"/>
  <c r="I531" i="49"/>
  <c r="B532" i="49" s="1"/>
  <c r="H531" i="49"/>
  <c r="D531" i="49"/>
  <c r="C531" i="49"/>
  <c r="G531" i="48"/>
  <c r="D531" i="48"/>
  <c r="C531" i="48"/>
  <c r="I531" i="48"/>
  <c r="B532" i="48" s="1"/>
  <c r="H531" i="48"/>
  <c r="G531" i="47"/>
  <c r="D531" i="47"/>
  <c r="C531" i="47"/>
  <c r="I531" i="47"/>
  <c r="B532" i="47" s="1"/>
  <c r="H531" i="47"/>
  <c r="C480" i="35"/>
  <c r="G480" i="35"/>
  <c r="H480" i="35"/>
  <c r="D480" i="35"/>
  <c r="I480" i="35"/>
  <c r="B481" i="35" s="1"/>
  <c r="C533" i="55" l="1"/>
  <c r="I533" i="55"/>
  <c r="B534" i="55" s="1"/>
  <c r="H533" i="55"/>
  <c r="G533" i="55"/>
  <c r="D533" i="55"/>
  <c r="I533" i="54"/>
  <c r="B534" i="54" s="1"/>
  <c r="H533" i="54"/>
  <c r="G533" i="54"/>
  <c r="D533" i="54"/>
  <c r="C533" i="54"/>
  <c r="H533" i="53"/>
  <c r="G533" i="53"/>
  <c r="D533" i="53"/>
  <c r="C533" i="53"/>
  <c r="I533" i="53"/>
  <c r="B534" i="53" s="1"/>
  <c r="I533" i="52"/>
  <c r="B534" i="52" s="1"/>
  <c r="H533" i="52"/>
  <c r="G533" i="52"/>
  <c r="C533" i="52"/>
  <c r="D533" i="52"/>
  <c r="I533" i="51"/>
  <c r="B534" i="51" s="1"/>
  <c r="H533" i="51"/>
  <c r="G533" i="51"/>
  <c r="D533" i="51"/>
  <c r="C533" i="51"/>
  <c r="D532" i="50"/>
  <c r="C532" i="50"/>
  <c r="I532" i="50"/>
  <c r="B533" i="50" s="1"/>
  <c r="H532" i="50"/>
  <c r="G532" i="50"/>
  <c r="I532" i="49"/>
  <c r="B533" i="49" s="1"/>
  <c r="C532" i="49"/>
  <c r="H532" i="49"/>
  <c r="G532" i="49"/>
  <c r="D532" i="49"/>
  <c r="I532" i="48"/>
  <c r="B533" i="48" s="1"/>
  <c r="H532" i="48"/>
  <c r="G532" i="48"/>
  <c r="D532" i="48"/>
  <c r="C532" i="48"/>
  <c r="I532" i="47"/>
  <c r="B533" i="47" s="1"/>
  <c r="H532" i="47"/>
  <c r="G532" i="47"/>
  <c r="C532" i="47"/>
  <c r="D532" i="47"/>
  <c r="I481" i="35"/>
  <c r="B482" i="35" s="1"/>
  <c r="C481" i="35"/>
  <c r="G481" i="35"/>
  <c r="D481" i="35"/>
  <c r="H481" i="35"/>
  <c r="G534" i="55" l="1"/>
  <c r="D534" i="55"/>
  <c r="C534" i="55"/>
  <c r="I534" i="55"/>
  <c r="B535" i="55" s="1"/>
  <c r="H534" i="55"/>
  <c r="I534" i="54"/>
  <c r="B535" i="54" s="1"/>
  <c r="H534" i="54"/>
  <c r="G534" i="54"/>
  <c r="D534" i="54"/>
  <c r="C534" i="54"/>
  <c r="I534" i="53"/>
  <c r="B535" i="53" s="1"/>
  <c r="H534" i="53"/>
  <c r="G534" i="53"/>
  <c r="D534" i="53"/>
  <c r="C534" i="53"/>
  <c r="C534" i="52"/>
  <c r="I534" i="52"/>
  <c r="B535" i="52" s="1"/>
  <c r="G534" i="52"/>
  <c r="H534" i="52"/>
  <c r="D534" i="52"/>
  <c r="I534" i="51"/>
  <c r="B535" i="51" s="1"/>
  <c r="H534" i="51"/>
  <c r="C534" i="51"/>
  <c r="G534" i="51"/>
  <c r="D534" i="51"/>
  <c r="H533" i="50"/>
  <c r="G533" i="50"/>
  <c r="D533" i="50"/>
  <c r="C533" i="50"/>
  <c r="I533" i="50"/>
  <c r="B534" i="50" s="1"/>
  <c r="C533" i="49"/>
  <c r="I533" i="49"/>
  <c r="B534" i="49" s="1"/>
  <c r="G533" i="49"/>
  <c r="D533" i="49"/>
  <c r="H533" i="49"/>
  <c r="I533" i="48"/>
  <c r="B534" i="48" s="1"/>
  <c r="H533" i="48"/>
  <c r="G533" i="48"/>
  <c r="C533" i="48"/>
  <c r="D533" i="48"/>
  <c r="I533" i="47"/>
  <c r="B534" i="47" s="1"/>
  <c r="G533" i="47"/>
  <c r="H533" i="47"/>
  <c r="D533" i="47"/>
  <c r="C533" i="47"/>
  <c r="D482" i="35"/>
  <c r="G482" i="35"/>
  <c r="I482" i="35"/>
  <c r="B483" i="35" s="1"/>
  <c r="C482" i="35"/>
  <c r="H482" i="35"/>
  <c r="I535" i="55" l="1"/>
  <c r="B536" i="55" s="1"/>
  <c r="H535" i="55"/>
  <c r="G535" i="55"/>
  <c r="D535" i="55"/>
  <c r="C535" i="55"/>
  <c r="C535" i="54"/>
  <c r="I535" i="54"/>
  <c r="B536" i="54" s="1"/>
  <c r="H535" i="54"/>
  <c r="G535" i="54"/>
  <c r="D535" i="54"/>
  <c r="D535" i="53"/>
  <c r="I535" i="53"/>
  <c r="B536" i="53" s="1"/>
  <c r="H535" i="53"/>
  <c r="G535" i="53"/>
  <c r="C535" i="53"/>
  <c r="G535" i="52"/>
  <c r="D535" i="52"/>
  <c r="C535" i="52"/>
  <c r="I535" i="52"/>
  <c r="B536" i="52" s="1"/>
  <c r="H535" i="52"/>
  <c r="C535" i="51"/>
  <c r="G535" i="51"/>
  <c r="D535" i="51"/>
  <c r="I535" i="51"/>
  <c r="B536" i="51" s="1"/>
  <c r="H535" i="51"/>
  <c r="I534" i="50"/>
  <c r="B535" i="50" s="1"/>
  <c r="H534" i="50"/>
  <c r="G534" i="50"/>
  <c r="D534" i="50"/>
  <c r="C534" i="50"/>
  <c r="C534" i="49"/>
  <c r="G534" i="49"/>
  <c r="I534" i="49"/>
  <c r="B535" i="49" s="1"/>
  <c r="H534" i="49"/>
  <c r="D534" i="49"/>
  <c r="C534" i="48"/>
  <c r="I534" i="48"/>
  <c r="B535" i="48" s="1"/>
  <c r="G534" i="48"/>
  <c r="H534" i="48"/>
  <c r="D534" i="48"/>
  <c r="C534" i="47"/>
  <c r="I534" i="47"/>
  <c r="B535" i="47" s="1"/>
  <c r="H534" i="47"/>
  <c r="G534" i="47"/>
  <c r="D534" i="47"/>
  <c r="H483" i="35"/>
  <c r="I483" i="35"/>
  <c r="B484" i="35" s="1"/>
  <c r="C483" i="35"/>
  <c r="G483" i="35"/>
  <c r="D483" i="35"/>
  <c r="I536" i="55" l="1"/>
  <c r="B537" i="55" s="1"/>
  <c r="H536" i="55"/>
  <c r="G536" i="55"/>
  <c r="D536" i="55"/>
  <c r="C536" i="55"/>
  <c r="G536" i="54"/>
  <c r="D536" i="54"/>
  <c r="C536" i="54"/>
  <c r="I536" i="54"/>
  <c r="B537" i="54" s="1"/>
  <c r="H536" i="54"/>
  <c r="H536" i="53"/>
  <c r="D536" i="53"/>
  <c r="C536" i="53"/>
  <c r="I536" i="53"/>
  <c r="B537" i="53" s="1"/>
  <c r="G536" i="53"/>
  <c r="I536" i="52"/>
  <c r="B537" i="52" s="1"/>
  <c r="H536" i="52"/>
  <c r="G536" i="52"/>
  <c r="D536" i="52"/>
  <c r="C536" i="52"/>
  <c r="G536" i="51"/>
  <c r="D536" i="51"/>
  <c r="C536" i="51"/>
  <c r="I536" i="51"/>
  <c r="B537" i="51" s="1"/>
  <c r="H536" i="51"/>
  <c r="I535" i="50"/>
  <c r="B536" i="50" s="1"/>
  <c r="H535" i="50"/>
  <c r="G535" i="50"/>
  <c r="D535" i="50"/>
  <c r="C535" i="50"/>
  <c r="G535" i="49"/>
  <c r="I535" i="49"/>
  <c r="B536" i="49" s="1"/>
  <c r="H535" i="49"/>
  <c r="C535" i="49"/>
  <c r="D535" i="49"/>
  <c r="G535" i="48"/>
  <c r="D535" i="48"/>
  <c r="C535" i="48"/>
  <c r="I535" i="48"/>
  <c r="B536" i="48" s="1"/>
  <c r="H535" i="48"/>
  <c r="G535" i="47"/>
  <c r="D535" i="47"/>
  <c r="C535" i="47"/>
  <c r="I535" i="47"/>
  <c r="B536" i="47" s="1"/>
  <c r="H535" i="47"/>
  <c r="C484" i="35"/>
  <c r="G484" i="35"/>
  <c r="D484" i="35"/>
  <c r="H484" i="35"/>
  <c r="I484" i="35"/>
  <c r="B485" i="35" s="1"/>
  <c r="C537" i="55" l="1"/>
  <c r="I537" i="55"/>
  <c r="B538" i="55" s="1"/>
  <c r="H537" i="55"/>
  <c r="G537" i="55"/>
  <c r="D537" i="55"/>
  <c r="I537" i="54"/>
  <c r="B538" i="54" s="1"/>
  <c r="H537" i="54"/>
  <c r="G537" i="54"/>
  <c r="D537" i="54"/>
  <c r="C537" i="54"/>
  <c r="H537" i="53"/>
  <c r="G537" i="53"/>
  <c r="D537" i="53"/>
  <c r="C537" i="53"/>
  <c r="I537" i="53"/>
  <c r="B538" i="53" s="1"/>
  <c r="I537" i="52"/>
  <c r="B538" i="52" s="1"/>
  <c r="H537" i="52"/>
  <c r="G537" i="52"/>
  <c r="C537" i="52"/>
  <c r="D537" i="52"/>
  <c r="I537" i="51"/>
  <c r="B538" i="51" s="1"/>
  <c r="H537" i="51"/>
  <c r="G537" i="51"/>
  <c r="D537" i="51"/>
  <c r="C537" i="51"/>
  <c r="D536" i="50"/>
  <c r="C536" i="50"/>
  <c r="I536" i="50"/>
  <c r="B537" i="50" s="1"/>
  <c r="H536" i="50"/>
  <c r="G536" i="50"/>
  <c r="I536" i="49"/>
  <c r="B537" i="49" s="1"/>
  <c r="H536" i="49"/>
  <c r="G536" i="49"/>
  <c r="D536" i="49"/>
  <c r="C536" i="49"/>
  <c r="I536" i="48"/>
  <c r="B537" i="48" s="1"/>
  <c r="H536" i="48"/>
  <c r="G536" i="48"/>
  <c r="D536" i="48"/>
  <c r="C536" i="48"/>
  <c r="I536" i="47"/>
  <c r="B537" i="47" s="1"/>
  <c r="H536" i="47"/>
  <c r="G536" i="47"/>
  <c r="C536" i="47"/>
  <c r="D536" i="47"/>
  <c r="I485" i="35"/>
  <c r="B486" i="35" s="1"/>
  <c r="C485" i="35"/>
  <c r="H485" i="35"/>
  <c r="G485" i="35"/>
  <c r="D485" i="35"/>
  <c r="G538" i="55" l="1"/>
  <c r="D538" i="55"/>
  <c r="C538" i="55"/>
  <c r="I538" i="55"/>
  <c r="B539" i="55" s="1"/>
  <c r="H538" i="55"/>
  <c r="I538" i="54"/>
  <c r="B539" i="54" s="1"/>
  <c r="H538" i="54"/>
  <c r="G538" i="54"/>
  <c r="D538" i="54"/>
  <c r="C538" i="54"/>
  <c r="I538" i="53"/>
  <c r="B539" i="53" s="1"/>
  <c r="H538" i="53"/>
  <c r="G538" i="53"/>
  <c r="C538" i="53"/>
  <c r="D538" i="53"/>
  <c r="C538" i="52"/>
  <c r="I538" i="52"/>
  <c r="B539" i="52" s="1"/>
  <c r="G538" i="52"/>
  <c r="H538" i="52"/>
  <c r="D538" i="52"/>
  <c r="I538" i="51"/>
  <c r="B539" i="51" s="1"/>
  <c r="H538" i="51"/>
  <c r="C538" i="51"/>
  <c r="G538" i="51"/>
  <c r="D538" i="51"/>
  <c r="H537" i="50"/>
  <c r="G537" i="50"/>
  <c r="D537" i="50"/>
  <c r="C537" i="50"/>
  <c r="I537" i="50"/>
  <c r="B538" i="50" s="1"/>
  <c r="C537" i="49"/>
  <c r="G537" i="49"/>
  <c r="H537" i="49"/>
  <c r="D537" i="49"/>
  <c r="I537" i="49"/>
  <c r="B538" i="49" s="1"/>
  <c r="I537" i="48"/>
  <c r="B538" i="48" s="1"/>
  <c r="H537" i="48"/>
  <c r="G537" i="48"/>
  <c r="C537" i="48"/>
  <c r="D537" i="48"/>
  <c r="I537" i="47"/>
  <c r="B538" i="47" s="1"/>
  <c r="G537" i="47"/>
  <c r="H537" i="47"/>
  <c r="D537" i="47"/>
  <c r="C537" i="47"/>
  <c r="G486" i="35"/>
  <c r="D486" i="35"/>
  <c r="I486" i="35"/>
  <c r="B487" i="35" s="1"/>
  <c r="H486" i="35"/>
  <c r="C486" i="35"/>
  <c r="I539" i="55" l="1"/>
  <c r="B540" i="55" s="1"/>
  <c r="H539" i="55"/>
  <c r="G539" i="55"/>
  <c r="D539" i="55"/>
  <c r="C539" i="55"/>
  <c r="C539" i="54"/>
  <c r="I539" i="54"/>
  <c r="B540" i="54" s="1"/>
  <c r="H539" i="54"/>
  <c r="G539" i="54"/>
  <c r="D539" i="54"/>
  <c r="D539" i="53"/>
  <c r="I539" i="53"/>
  <c r="B540" i="53" s="1"/>
  <c r="H539" i="53"/>
  <c r="G539" i="53"/>
  <c r="C539" i="53"/>
  <c r="G539" i="52"/>
  <c r="D539" i="52"/>
  <c r="C539" i="52"/>
  <c r="I539" i="52"/>
  <c r="B540" i="52" s="1"/>
  <c r="H539" i="52"/>
  <c r="C539" i="51"/>
  <c r="G539" i="51"/>
  <c r="I539" i="51"/>
  <c r="B540" i="51" s="1"/>
  <c r="H539" i="51"/>
  <c r="D539" i="51"/>
  <c r="I538" i="50"/>
  <c r="B539" i="50" s="1"/>
  <c r="H538" i="50"/>
  <c r="G538" i="50"/>
  <c r="D538" i="50"/>
  <c r="C538" i="50"/>
  <c r="C538" i="49"/>
  <c r="G538" i="49"/>
  <c r="I538" i="49"/>
  <c r="B539" i="49" s="1"/>
  <c r="H538" i="49"/>
  <c r="D538" i="49"/>
  <c r="C538" i="48"/>
  <c r="I538" i="48"/>
  <c r="B539" i="48" s="1"/>
  <c r="G538" i="48"/>
  <c r="H538" i="48"/>
  <c r="D538" i="48"/>
  <c r="C538" i="47"/>
  <c r="I538" i="47"/>
  <c r="B539" i="47" s="1"/>
  <c r="H538" i="47"/>
  <c r="G538" i="47"/>
  <c r="D538" i="47"/>
  <c r="H487" i="35"/>
  <c r="D487" i="35"/>
  <c r="C487" i="35"/>
  <c r="I487" i="35"/>
  <c r="B488" i="35" s="1"/>
  <c r="G487" i="35"/>
  <c r="I540" i="55" l="1"/>
  <c r="B541" i="55" s="1"/>
  <c r="H540" i="55"/>
  <c r="G540" i="55"/>
  <c r="D540" i="55"/>
  <c r="C540" i="55"/>
  <c r="G540" i="54"/>
  <c r="D540" i="54"/>
  <c r="C540" i="54"/>
  <c r="I540" i="54"/>
  <c r="B541" i="54" s="1"/>
  <c r="H540" i="54"/>
  <c r="H540" i="53"/>
  <c r="D540" i="53"/>
  <c r="C540" i="53"/>
  <c r="I540" i="53"/>
  <c r="B541" i="53" s="1"/>
  <c r="G540" i="53"/>
  <c r="I540" i="52"/>
  <c r="B541" i="52" s="1"/>
  <c r="H540" i="52"/>
  <c r="G540" i="52"/>
  <c r="D540" i="52"/>
  <c r="C540" i="52"/>
  <c r="G540" i="51"/>
  <c r="D540" i="51"/>
  <c r="C540" i="51"/>
  <c r="I540" i="51"/>
  <c r="B541" i="51" s="1"/>
  <c r="H540" i="51"/>
  <c r="I539" i="50"/>
  <c r="B540" i="50" s="1"/>
  <c r="H539" i="50"/>
  <c r="G539" i="50"/>
  <c r="D539" i="50"/>
  <c r="C539" i="50"/>
  <c r="G539" i="49"/>
  <c r="C539" i="49"/>
  <c r="I539" i="49"/>
  <c r="B540" i="49" s="1"/>
  <c r="D539" i="49"/>
  <c r="H539" i="49"/>
  <c r="G539" i="48"/>
  <c r="D539" i="48"/>
  <c r="C539" i="48"/>
  <c r="I539" i="48"/>
  <c r="B540" i="48" s="1"/>
  <c r="H539" i="48"/>
  <c r="G539" i="47"/>
  <c r="D539" i="47"/>
  <c r="C539" i="47"/>
  <c r="I539" i="47"/>
  <c r="B540" i="47" s="1"/>
  <c r="H539" i="47"/>
  <c r="C488" i="35"/>
  <c r="G488" i="35"/>
  <c r="H488" i="35"/>
  <c r="I488" i="35"/>
  <c r="B489" i="35" s="1"/>
  <c r="D488" i="35"/>
  <c r="C541" i="55" l="1"/>
  <c r="I541" i="55"/>
  <c r="B542" i="55" s="1"/>
  <c r="H541" i="55"/>
  <c r="G541" i="55"/>
  <c r="D541" i="55"/>
  <c r="I541" i="54"/>
  <c r="B542" i="54" s="1"/>
  <c r="H541" i="54"/>
  <c r="G541" i="54"/>
  <c r="D541" i="54"/>
  <c r="C541" i="54"/>
  <c r="H541" i="53"/>
  <c r="G541" i="53"/>
  <c r="D541" i="53"/>
  <c r="C541" i="53"/>
  <c r="I541" i="53"/>
  <c r="B542" i="53" s="1"/>
  <c r="I541" i="52"/>
  <c r="B542" i="52" s="1"/>
  <c r="H541" i="52"/>
  <c r="G541" i="52"/>
  <c r="C541" i="52"/>
  <c r="D541" i="52"/>
  <c r="I541" i="51"/>
  <c r="B542" i="51" s="1"/>
  <c r="H541" i="51"/>
  <c r="G541" i="51"/>
  <c r="D541" i="51"/>
  <c r="C541" i="51"/>
  <c r="D540" i="50"/>
  <c r="C540" i="50"/>
  <c r="I540" i="50"/>
  <c r="B541" i="50" s="1"/>
  <c r="H540" i="50"/>
  <c r="G540" i="50"/>
  <c r="I540" i="49"/>
  <c r="B541" i="49" s="1"/>
  <c r="G540" i="49"/>
  <c r="C540" i="49"/>
  <c r="H540" i="49"/>
  <c r="D540" i="49"/>
  <c r="I540" i="48"/>
  <c r="B541" i="48" s="1"/>
  <c r="H540" i="48"/>
  <c r="G540" i="48"/>
  <c r="D540" i="48"/>
  <c r="C540" i="48"/>
  <c r="I540" i="47"/>
  <c r="B541" i="47" s="1"/>
  <c r="H540" i="47"/>
  <c r="G540" i="47"/>
  <c r="C540" i="47"/>
  <c r="D540" i="47"/>
  <c r="C489" i="35"/>
  <c r="I489" i="35"/>
  <c r="B490" i="35" s="1"/>
  <c r="G489" i="35"/>
  <c r="H489" i="35"/>
  <c r="D489" i="35"/>
  <c r="G542" i="55" l="1"/>
  <c r="D542" i="55"/>
  <c r="C542" i="55"/>
  <c r="I542" i="55"/>
  <c r="B543" i="55" s="1"/>
  <c r="H542" i="55"/>
  <c r="I542" i="54"/>
  <c r="B543" i="54" s="1"/>
  <c r="H542" i="54"/>
  <c r="G542" i="54"/>
  <c r="D542" i="54"/>
  <c r="C542" i="54"/>
  <c r="I542" i="53"/>
  <c r="B543" i="53" s="1"/>
  <c r="H542" i="53"/>
  <c r="G542" i="53"/>
  <c r="D542" i="53"/>
  <c r="C542" i="53"/>
  <c r="C542" i="52"/>
  <c r="I542" i="52"/>
  <c r="B543" i="52" s="1"/>
  <c r="G542" i="52"/>
  <c r="H542" i="52"/>
  <c r="D542" i="52"/>
  <c r="I542" i="51"/>
  <c r="B543" i="51" s="1"/>
  <c r="H542" i="51"/>
  <c r="C542" i="51"/>
  <c r="D542" i="51"/>
  <c r="G542" i="51"/>
  <c r="H541" i="50"/>
  <c r="G541" i="50"/>
  <c r="D541" i="50"/>
  <c r="C541" i="50"/>
  <c r="I541" i="50"/>
  <c r="B542" i="50" s="1"/>
  <c r="I541" i="49"/>
  <c r="B542" i="49" s="1"/>
  <c r="G541" i="49"/>
  <c r="C541" i="49"/>
  <c r="D541" i="49"/>
  <c r="H541" i="49"/>
  <c r="I541" i="48"/>
  <c r="B542" i="48" s="1"/>
  <c r="H541" i="48"/>
  <c r="G541" i="48"/>
  <c r="C541" i="48"/>
  <c r="D541" i="48"/>
  <c r="I541" i="47"/>
  <c r="B542" i="47" s="1"/>
  <c r="G541" i="47"/>
  <c r="H541" i="47"/>
  <c r="D541" i="47"/>
  <c r="C541" i="47"/>
  <c r="G490" i="35"/>
  <c r="D490" i="35"/>
  <c r="C490" i="35"/>
  <c r="I490" i="35"/>
  <c r="B491" i="35" s="1"/>
  <c r="H490" i="35"/>
  <c r="I543" i="55" l="1"/>
  <c r="B544" i="55" s="1"/>
  <c r="H543" i="55"/>
  <c r="G543" i="55"/>
  <c r="D543" i="55"/>
  <c r="C543" i="55"/>
  <c r="C543" i="54"/>
  <c r="I543" i="54"/>
  <c r="B544" i="54" s="1"/>
  <c r="H543" i="54"/>
  <c r="G543" i="54"/>
  <c r="D543" i="54"/>
  <c r="D543" i="53"/>
  <c r="I543" i="53"/>
  <c r="B544" i="53" s="1"/>
  <c r="H543" i="53"/>
  <c r="G543" i="53"/>
  <c r="C543" i="53"/>
  <c r="D543" i="52"/>
  <c r="I543" i="52"/>
  <c r="B544" i="52" s="1"/>
  <c r="H543" i="52"/>
  <c r="G543" i="52"/>
  <c r="C543" i="52"/>
  <c r="C543" i="51"/>
  <c r="G543" i="51"/>
  <c r="I543" i="51"/>
  <c r="B544" i="51" s="1"/>
  <c r="H543" i="51"/>
  <c r="D543" i="51"/>
  <c r="I542" i="50"/>
  <c r="B543" i="50" s="1"/>
  <c r="H542" i="50"/>
  <c r="G542" i="50"/>
  <c r="D542" i="50"/>
  <c r="C542" i="50"/>
  <c r="C542" i="49"/>
  <c r="I542" i="49"/>
  <c r="B543" i="49" s="1"/>
  <c r="G542" i="49"/>
  <c r="D542" i="49"/>
  <c r="H542" i="49"/>
  <c r="C542" i="48"/>
  <c r="I542" i="48"/>
  <c r="B543" i="48" s="1"/>
  <c r="G542" i="48"/>
  <c r="H542" i="48"/>
  <c r="D542" i="48"/>
  <c r="C542" i="47"/>
  <c r="I542" i="47"/>
  <c r="B543" i="47" s="1"/>
  <c r="H542" i="47"/>
  <c r="G542" i="47"/>
  <c r="D542" i="47"/>
  <c r="C491" i="35"/>
  <c r="I491" i="35"/>
  <c r="B492" i="35" s="1"/>
  <c r="D491" i="35"/>
  <c r="H491" i="35"/>
  <c r="G491" i="35"/>
  <c r="I544" i="55" l="1"/>
  <c r="B545" i="55" s="1"/>
  <c r="H544" i="55"/>
  <c r="G544" i="55"/>
  <c r="D544" i="55"/>
  <c r="C544" i="55"/>
  <c r="G544" i="54"/>
  <c r="D544" i="54"/>
  <c r="C544" i="54"/>
  <c r="I544" i="54"/>
  <c r="B545" i="54" s="1"/>
  <c r="H544" i="54"/>
  <c r="H544" i="53"/>
  <c r="D544" i="53"/>
  <c r="C544" i="53"/>
  <c r="G544" i="53"/>
  <c r="I544" i="53"/>
  <c r="B545" i="53" s="1"/>
  <c r="H544" i="52"/>
  <c r="G544" i="52"/>
  <c r="D544" i="52"/>
  <c r="C544" i="52"/>
  <c r="I544" i="52"/>
  <c r="B545" i="52" s="1"/>
  <c r="G544" i="51"/>
  <c r="D544" i="51"/>
  <c r="C544" i="51"/>
  <c r="I544" i="51"/>
  <c r="B545" i="51" s="1"/>
  <c r="H544" i="51"/>
  <c r="I543" i="50"/>
  <c r="B544" i="50" s="1"/>
  <c r="H543" i="50"/>
  <c r="G543" i="50"/>
  <c r="D543" i="50"/>
  <c r="C543" i="50"/>
  <c r="G543" i="49"/>
  <c r="D543" i="49"/>
  <c r="C543" i="49"/>
  <c r="I543" i="49"/>
  <c r="B544" i="49" s="1"/>
  <c r="H543" i="49"/>
  <c r="I543" i="48"/>
  <c r="B544" i="48" s="1"/>
  <c r="G543" i="48"/>
  <c r="H543" i="48"/>
  <c r="D543" i="48"/>
  <c r="C543" i="48"/>
  <c r="G543" i="47"/>
  <c r="D543" i="47"/>
  <c r="C543" i="47"/>
  <c r="I543" i="47"/>
  <c r="B544" i="47" s="1"/>
  <c r="H543" i="47"/>
  <c r="C492" i="35"/>
  <c r="G492" i="35"/>
  <c r="D492" i="35"/>
  <c r="H492" i="35"/>
  <c r="I492" i="35"/>
  <c r="B493" i="35" s="1"/>
  <c r="C545" i="55" l="1"/>
  <c r="I545" i="55"/>
  <c r="B546" i="55" s="1"/>
  <c r="H545" i="55"/>
  <c r="G545" i="55"/>
  <c r="D545" i="55"/>
  <c r="I545" i="54"/>
  <c r="B546" i="54" s="1"/>
  <c r="H545" i="54"/>
  <c r="G545" i="54"/>
  <c r="D545" i="54"/>
  <c r="C545" i="54"/>
  <c r="H545" i="53"/>
  <c r="G545" i="53"/>
  <c r="D545" i="53"/>
  <c r="C545" i="53"/>
  <c r="I545" i="53"/>
  <c r="B546" i="53" s="1"/>
  <c r="I545" i="52"/>
  <c r="B546" i="52" s="1"/>
  <c r="H545" i="52"/>
  <c r="G545" i="52"/>
  <c r="D545" i="52"/>
  <c r="C545" i="52"/>
  <c r="I545" i="51"/>
  <c r="B546" i="51" s="1"/>
  <c r="H545" i="51"/>
  <c r="G545" i="51"/>
  <c r="D545" i="51"/>
  <c r="C545" i="51"/>
  <c r="D544" i="50"/>
  <c r="C544" i="50"/>
  <c r="I544" i="50"/>
  <c r="B545" i="50" s="1"/>
  <c r="H544" i="50"/>
  <c r="G544" i="50"/>
  <c r="I544" i="49"/>
  <c r="B545" i="49" s="1"/>
  <c r="H544" i="49"/>
  <c r="G544" i="49"/>
  <c r="D544" i="49"/>
  <c r="C544" i="49"/>
  <c r="G544" i="48"/>
  <c r="D544" i="48"/>
  <c r="C544" i="48"/>
  <c r="I544" i="48"/>
  <c r="B545" i="48" s="1"/>
  <c r="H544" i="48"/>
  <c r="I544" i="47"/>
  <c r="B545" i="47" s="1"/>
  <c r="H544" i="47"/>
  <c r="G544" i="47"/>
  <c r="C544" i="47"/>
  <c r="D544" i="47"/>
  <c r="C493" i="35"/>
  <c r="I493" i="35"/>
  <c r="B494" i="35" s="1"/>
  <c r="H493" i="35"/>
  <c r="D493" i="35"/>
  <c r="G493" i="35"/>
  <c r="G546" i="55" l="1"/>
  <c r="D546" i="55"/>
  <c r="C546" i="55"/>
  <c r="I546" i="55"/>
  <c r="B547" i="55" s="1"/>
  <c r="H546" i="55"/>
  <c r="I546" i="54"/>
  <c r="B547" i="54" s="1"/>
  <c r="H546" i="54"/>
  <c r="G546" i="54"/>
  <c r="D546" i="54"/>
  <c r="C546" i="54"/>
  <c r="I546" i="53"/>
  <c r="B547" i="53" s="1"/>
  <c r="H546" i="53"/>
  <c r="G546" i="53"/>
  <c r="D546" i="53"/>
  <c r="C546" i="53"/>
  <c r="I546" i="52"/>
  <c r="B547" i="52" s="1"/>
  <c r="H546" i="52"/>
  <c r="G546" i="52"/>
  <c r="D546" i="52"/>
  <c r="C546" i="52"/>
  <c r="I546" i="51"/>
  <c r="B547" i="51" s="1"/>
  <c r="H546" i="51"/>
  <c r="C546" i="51"/>
  <c r="G546" i="51"/>
  <c r="D546" i="51"/>
  <c r="H545" i="50"/>
  <c r="G545" i="50"/>
  <c r="D545" i="50"/>
  <c r="C545" i="50"/>
  <c r="I545" i="50"/>
  <c r="B546" i="50" s="1"/>
  <c r="I545" i="49"/>
  <c r="B546" i="49" s="1"/>
  <c r="H545" i="49"/>
  <c r="G545" i="49"/>
  <c r="C545" i="49"/>
  <c r="D545" i="49"/>
  <c r="I545" i="48"/>
  <c r="B546" i="48" s="1"/>
  <c r="H545" i="48"/>
  <c r="G545" i="48"/>
  <c r="D545" i="48"/>
  <c r="C545" i="48"/>
  <c r="I545" i="47"/>
  <c r="B546" i="47" s="1"/>
  <c r="G545" i="47"/>
  <c r="H545" i="47"/>
  <c r="D545" i="47"/>
  <c r="C545" i="47"/>
  <c r="G494" i="35"/>
  <c r="D494" i="35"/>
  <c r="I494" i="35"/>
  <c r="B495" i="35" s="1"/>
  <c r="H494" i="35"/>
  <c r="C494" i="35"/>
  <c r="I547" i="55" l="1"/>
  <c r="B548" i="55" s="1"/>
  <c r="H547" i="55"/>
  <c r="G547" i="55"/>
  <c r="D547" i="55"/>
  <c r="C547" i="55"/>
  <c r="C547" i="54"/>
  <c r="I547" i="54"/>
  <c r="B548" i="54" s="1"/>
  <c r="H547" i="54"/>
  <c r="G547" i="54"/>
  <c r="D547" i="54"/>
  <c r="D547" i="53"/>
  <c r="I547" i="53"/>
  <c r="B548" i="53" s="1"/>
  <c r="H547" i="53"/>
  <c r="G547" i="53"/>
  <c r="C547" i="53"/>
  <c r="D547" i="52"/>
  <c r="C547" i="52"/>
  <c r="I547" i="52"/>
  <c r="B548" i="52" s="1"/>
  <c r="H547" i="52"/>
  <c r="G547" i="52"/>
  <c r="C547" i="51"/>
  <c r="G547" i="51"/>
  <c r="I547" i="51"/>
  <c r="B548" i="51" s="1"/>
  <c r="H547" i="51"/>
  <c r="D547" i="51"/>
  <c r="I546" i="50"/>
  <c r="B547" i="50" s="1"/>
  <c r="H546" i="50"/>
  <c r="G546" i="50"/>
  <c r="D546" i="50"/>
  <c r="C546" i="50"/>
  <c r="C546" i="49"/>
  <c r="I546" i="49"/>
  <c r="B547" i="49" s="1"/>
  <c r="G546" i="49"/>
  <c r="D546" i="49"/>
  <c r="H546" i="49"/>
  <c r="I546" i="48"/>
  <c r="B547" i="48" s="1"/>
  <c r="H546" i="48"/>
  <c r="G546" i="48"/>
  <c r="C546" i="48"/>
  <c r="D546" i="48"/>
  <c r="C546" i="47"/>
  <c r="I546" i="47"/>
  <c r="B547" i="47" s="1"/>
  <c r="H546" i="47"/>
  <c r="G546" i="47"/>
  <c r="D546" i="47"/>
  <c r="C495" i="35"/>
  <c r="H495" i="35"/>
  <c r="D495" i="35"/>
  <c r="G495" i="35"/>
  <c r="I495" i="35"/>
  <c r="B496" i="35" s="1"/>
  <c r="I548" i="55" l="1"/>
  <c r="B549" i="55" s="1"/>
  <c r="H548" i="55"/>
  <c r="G548" i="55"/>
  <c r="D548" i="55"/>
  <c r="C548" i="55"/>
  <c r="G548" i="54"/>
  <c r="D548" i="54"/>
  <c r="C548" i="54"/>
  <c r="I548" i="54"/>
  <c r="B549" i="54" s="1"/>
  <c r="H548" i="54"/>
  <c r="H548" i="53"/>
  <c r="D548" i="53"/>
  <c r="C548" i="53"/>
  <c r="I548" i="53"/>
  <c r="B549" i="53" s="1"/>
  <c r="G548" i="53"/>
  <c r="H548" i="52"/>
  <c r="G548" i="52"/>
  <c r="D548" i="52"/>
  <c r="C548" i="52"/>
  <c r="I548" i="52"/>
  <c r="B549" i="52" s="1"/>
  <c r="G548" i="51"/>
  <c r="D548" i="51"/>
  <c r="C548" i="51"/>
  <c r="I548" i="51"/>
  <c r="B549" i="51" s="1"/>
  <c r="H548" i="51"/>
  <c r="I547" i="50"/>
  <c r="B548" i="50" s="1"/>
  <c r="H547" i="50"/>
  <c r="G547" i="50"/>
  <c r="D547" i="50"/>
  <c r="C547" i="50"/>
  <c r="G547" i="49"/>
  <c r="D547" i="49"/>
  <c r="C547" i="49"/>
  <c r="I547" i="49"/>
  <c r="B548" i="49" s="1"/>
  <c r="H547" i="49"/>
  <c r="C547" i="48"/>
  <c r="I547" i="48"/>
  <c r="B548" i="48" s="1"/>
  <c r="G547" i="48"/>
  <c r="H547" i="48"/>
  <c r="D547" i="48"/>
  <c r="G547" i="47"/>
  <c r="D547" i="47"/>
  <c r="C547" i="47"/>
  <c r="I547" i="47"/>
  <c r="B548" i="47" s="1"/>
  <c r="H547" i="47"/>
  <c r="C496" i="35"/>
  <c r="G496" i="35"/>
  <c r="I496" i="35"/>
  <c r="B497" i="35" s="1"/>
  <c r="D496" i="35"/>
  <c r="H496" i="35"/>
  <c r="C549" i="55" l="1"/>
  <c r="I549" i="55"/>
  <c r="B550" i="55" s="1"/>
  <c r="H549" i="55"/>
  <c r="G549" i="55"/>
  <c r="D549" i="55"/>
  <c r="I549" i="54"/>
  <c r="B550" i="54" s="1"/>
  <c r="H549" i="54"/>
  <c r="G549" i="54"/>
  <c r="D549" i="54"/>
  <c r="C549" i="54"/>
  <c r="H549" i="53"/>
  <c r="G549" i="53"/>
  <c r="D549" i="53"/>
  <c r="C549" i="53"/>
  <c r="I549" i="53"/>
  <c r="B550" i="53" s="1"/>
  <c r="I549" i="52"/>
  <c r="B550" i="52" s="1"/>
  <c r="H549" i="52"/>
  <c r="G549" i="52"/>
  <c r="D549" i="52"/>
  <c r="C549" i="52"/>
  <c r="I549" i="51"/>
  <c r="B550" i="51" s="1"/>
  <c r="H549" i="51"/>
  <c r="G549" i="51"/>
  <c r="D549" i="51"/>
  <c r="C549" i="51"/>
  <c r="D548" i="50"/>
  <c r="C548" i="50"/>
  <c r="I548" i="50"/>
  <c r="B549" i="50" s="1"/>
  <c r="H548" i="50"/>
  <c r="G548" i="50"/>
  <c r="I548" i="49"/>
  <c r="B549" i="49" s="1"/>
  <c r="H548" i="49"/>
  <c r="G548" i="49"/>
  <c r="D548" i="49"/>
  <c r="C548" i="49"/>
  <c r="G548" i="48"/>
  <c r="D548" i="48"/>
  <c r="C548" i="48"/>
  <c r="I548" i="48"/>
  <c r="B549" i="48" s="1"/>
  <c r="H548" i="48"/>
  <c r="I548" i="47"/>
  <c r="B549" i="47" s="1"/>
  <c r="H548" i="47"/>
  <c r="G548" i="47"/>
  <c r="C548" i="47"/>
  <c r="D548" i="47"/>
  <c r="I497" i="35"/>
  <c r="B498" i="35" s="1"/>
  <c r="C497" i="35"/>
  <c r="G497" i="35"/>
  <c r="H497" i="35"/>
  <c r="D497" i="35"/>
  <c r="G550" i="55" l="1"/>
  <c r="D550" i="55"/>
  <c r="C550" i="55"/>
  <c r="I550" i="55"/>
  <c r="B551" i="55" s="1"/>
  <c r="H550" i="55"/>
  <c r="I550" i="54"/>
  <c r="B551" i="54" s="1"/>
  <c r="H550" i="54"/>
  <c r="G550" i="54"/>
  <c r="D550" i="54"/>
  <c r="C550" i="54"/>
  <c r="I550" i="53"/>
  <c r="B551" i="53" s="1"/>
  <c r="H550" i="53"/>
  <c r="G550" i="53"/>
  <c r="D550" i="53"/>
  <c r="C550" i="53"/>
  <c r="I550" i="52"/>
  <c r="B551" i="52" s="1"/>
  <c r="H550" i="52"/>
  <c r="G550" i="52"/>
  <c r="D550" i="52"/>
  <c r="C550" i="52"/>
  <c r="I550" i="51"/>
  <c r="B551" i="51" s="1"/>
  <c r="H550" i="51"/>
  <c r="C550" i="51"/>
  <c r="G550" i="51"/>
  <c r="D550" i="51"/>
  <c r="H549" i="50"/>
  <c r="G549" i="50"/>
  <c r="D549" i="50"/>
  <c r="C549" i="50"/>
  <c r="I549" i="50"/>
  <c r="B550" i="50" s="1"/>
  <c r="I549" i="49"/>
  <c r="B550" i="49" s="1"/>
  <c r="H549" i="49"/>
  <c r="G549" i="49"/>
  <c r="C549" i="49"/>
  <c r="D549" i="49"/>
  <c r="I549" i="48"/>
  <c r="B550" i="48" s="1"/>
  <c r="H549" i="48"/>
  <c r="G549" i="48"/>
  <c r="D549" i="48"/>
  <c r="C549" i="48"/>
  <c r="I549" i="47"/>
  <c r="B550" i="47" s="1"/>
  <c r="G549" i="47"/>
  <c r="H549" i="47"/>
  <c r="D549" i="47"/>
  <c r="C549" i="47"/>
  <c r="G498" i="35"/>
  <c r="D498" i="35"/>
  <c r="I498" i="35"/>
  <c r="B499" i="35" s="1"/>
  <c r="C498" i="35"/>
  <c r="H498" i="35"/>
  <c r="I551" i="55" l="1"/>
  <c r="B552" i="55" s="1"/>
  <c r="H551" i="55"/>
  <c r="G551" i="55"/>
  <c r="D551" i="55"/>
  <c r="C551" i="55"/>
  <c r="C551" i="54"/>
  <c r="I551" i="54"/>
  <c r="B552" i="54" s="1"/>
  <c r="H551" i="54"/>
  <c r="G551" i="54"/>
  <c r="D551" i="54"/>
  <c r="D551" i="53"/>
  <c r="I551" i="53"/>
  <c r="B552" i="53" s="1"/>
  <c r="G551" i="53"/>
  <c r="C551" i="53"/>
  <c r="H551" i="53"/>
  <c r="D551" i="52"/>
  <c r="C551" i="52"/>
  <c r="I551" i="52"/>
  <c r="B552" i="52" s="1"/>
  <c r="H551" i="52"/>
  <c r="G551" i="52"/>
  <c r="C551" i="51"/>
  <c r="G551" i="51"/>
  <c r="I551" i="51"/>
  <c r="B552" i="51" s="1"/>
  <c r="H551" i="51"/>
  <c r="D551" i="51"/>
  <c r="I550" i="50"/>
  <c r="B551" i="50" s="1"/>
  <c r="H550" i="50"/>
  <c r="G550" i="50"/>
  <c r="D550" i="50"/>
  <c r="C550" i="50"/>
  <c r="C550" i="49"/>
  <c r="I550" i="49"/>
  <c r="B551" i="49" s="1"/>
  <c r="G550" i="49"/>
  <c r="H550" i="49"/>
  <c r="D550" i="49"/>
  <c r="I550" i="48"/>
  <c r="B551" i="48" s="1"/>
  <c r="H550" i="48"/>
  <c r="G550" i="48"/>
  <c r="C550" i="48"/>
  <c r="D550" i="48"/>
  <c r="C550" i="47"/>
  <c r="I550" i="47"/>
  <c r="B551" i="47" s="1"/>
  <c r="H550" i="47"/>
  <c r="G550" i="47"/>
  <c r="D550" i="47"/>
  <c r="H499" i="35"/>
  <c r="I499" i="35"/>
  <c r="B500" i="35" s="1"/>
  <c r="C499" i="35"/>
  <c r="G499" i="35"/>
  <c r="D499" i="35"/>
  <c r="I552" i="55" l="1"/>
  <c r="B553" i="55" s="1"/>
  <c r="H552" i="55"/>
  <c r="G552" i="55"/>
  <c r="D552" i="55"/>
  <c r="C552" i="55"/>
  <c r="G552" i="54"/>
  <c r="D552" i="54"/>
  <c r="C552" i="54"/>
  <c r="I552" i="54"/>
  <c r="B553" i="54" s="1"/>
  <c r="H552" i="54"/>
  <c r="H552" i="53"/>
  <c r="D552" i="53"/>
  <c r="C552" i="53"/>
  <c r="G552" i="53"/>
  <c r="I552" i="53"/>
  <c r="B553" i="53" s="1"/>
  <c r="H552" i="52"/>
  <c r="G552" i="52"/>
  <c r="D552" i="52"/>
  <c r="C552" i="52"/>
  <c r="I552" i="52"/>
  <c r="B553" i="52" s="1"/>
  <c r="G552" i="51"/>
  <c r="D552" i="51"/>
  <c r="C552" i="51"/>
  <c r="I552" i="51"/>
  <c r="B553" i="51" s="1"/>
  <c r="H552" i="51"/>
  <c r="I551" i="50"/>
  <c r="B552" i="50" s="1"/>
  <c r="H551" i="50"/>
  <c r="G551" i="50"/>
  <c r="D551" i="50"/>
  <c r="C551" i="50"/>
  <c r="G551" i="49"/>
  <c r="D551" i="49"/>
  <c r="C551" i="49"/>
  <c r="I551" i="49"/>
  <c r="B552" i="49" s="1"/>
  <c r="H551" i="49"/>
  <c r="C551" i="48"/>
  <c r="I551" i="48"/>
  <c r="B552" i="48" s="1"/>
  <c r="G551" i="48"/>
  <c r="H551" i="48"/>
  <c r="D551" i="48"/>
  <c r="G551" i="47"/>
  <c r="D551" i="47"/>
  <c r="C551" i="47"/>
  <c r="I551" i="47"/>
  <c r="B552" i="47" s="1"/>
  <c r="H551" i="47"/>
  <c r="C500" i="35"/>
  <c r="G500" i="35"/>
  <c r="I500" i="35"/>
  <c r="B501" i="35" s="1"/>
  <c r="D500" i="35"/>
  <c r="H500" i="35"/>
  <c r="C553" i="55" l="1"/>
  <c r="I553" i="55"/>
  <c r="B554" i="55" s="1"/>
  <c r="H553" i="55"/>
  <c r="G553" i="55"/>
  <c r="D553" i="55"/>
  <c r="I553" i="54"/>
  <c r="B554" i="54" s="1"/>
  <c r="H553" i="54"/>
  <c r="G553" i="54"/>
  <c r="D553" i="54"/>
  <c r="C553" i="54"/>
  <c r="H553" i="53"/>
  <c r="G553" i="53"/>
  <c r="D553" i="53"/>
  <c r="C553" i="53"/>
  <c r="I553" i="53"/>
  <c r="B554" i="53" s="1"/>
  <c r="I553" i="52"/>
  <c r="B554" i="52" s="1"/>
  <c r="H553" i="52"/>
  <c r="G553" i="52"/>
  <c r="D553" i="52"/>
  <c r="C553" i="52"/>
  <c r="I553" i="51"/>
  <c r="B554" i="51" s="1"/>
  <c r="H553" i="51"/>
  <c r="G553" i="51"/>
  <c r="D553" i="51"/>
  <c r="C553" i="51"/>
  <c r="D552" i="50"/>
  <c r="C552" i="50"/>
  <c r="I552" i="50"/>
  <c r="B553" i="50" s="1"/>
  <c r="H552" i="50"/>
  <c r="G552" i="50"/>
  <c r="I552" i="49"/>
  <c r="B553" i="49" s="1"/>
  <c r="H552" i="49"/>
  <c r="G552" i="49"/>
  <c r="D552" i="49"/>
  <c r="C552" i="49"/>
  <c r="G552" i="48"/>
  <c r="D552" i="48"/>
  <c r="C552" i="48"/>
  <c r="I552" i="48"/>
  <c r="B553" i="48" s="1"/>
  <c r="H552" i="48"/>
  <c r="I552" i="47"/>
  <c r="B553" i="47" s="1"/>
  <c r="H552" i="47"/>
  <c r="G552" i="47"/>
  <c r="C552" i="47"/>
  <c r="D552" i="47"/>
  <c r="I501" i="35"/>
  <c r="B502" i="35" s="1"/>
  <c r="C501" i="35"/>
  <c r="H501" i="35"/>
  <c r="G501" i="35"/>
  <c r="D501" i="35"/>
  <c r="G554" i="55" l="1"/>
  <c r="D554" i="55"/>
  <c r="C554" i="55"/>
  <c r="I554" i="55"/>
  <c r="B555" i="55" s="1"/>
  <c r="H554" i="55"/>
  <c r="I554" i="54"/>
  <c r="B555" i="54" s="1"/>
  <c r="H554" i="54"/>
  <c r="G554" i="54"/>
  <c r="D554" i="54"/>
  <c r="C554" i="54"/>
  <c r="I554" i="53"/>
  <c r="B555" i="53" s="1"/>
  <c r="H554" i="53"/>
  <c r="G554" i="53"/>
  <c r="D554" i="53"/>
  <c r="C554" i="53"/>
  <c r="I554" i="52"/>
  <c r="B555" i="52" s="1"/>
  <c r="H554" i="52"/>
  <c r="G554" i="52"/>
  <c r="D554" i="52"/>
  <c r="C554" i="52"/>
  <c r="I554" i="51"/>
  <c r="B555" i="51" s="1"/>
  <c r="H554" i="51"/>
  <c r="C554" i="51"/>
  <c r="G554" i="51"/>
  <c r="D554" i="51"/>
  <c r="H553" i="50"/>
  <c r="G553" i="50"/>
  <c r="D553" i="50"/>
  <c r="C553" i="50"/>
  <c r="I553" i="50"/>
  <c r="B554" i="50" s="1"/>
  <c r="I553" i="49"/>
  <c r="B554" i="49" s="1"/>
  <c r="H553" i="49"/>
  <c r="G553" i="49"/>
  <c r="C553" i="49"/>
  <c r="D553" i="49"/>
  <c r="I553" i="48"/>
  <c r="B554" i="48" s="1"/>
  <c r="H553" i="48"/>
  <c r="G553" i="48"/>
  <c r="D553" i="48"/>
  <c r="C553" i="48"/>
  <c r="I553" i="47"/>
  <c r="B554" i="47" s="1"/>
  <c r="G553" i="47"/>
  <c r="H553" i="47"/>
  <c r="D553" i="47"/>
  <c r="C553" i="47"/>
  <c r="D502" i="35"/>
  <c r="G502" i="35"/>
  <c r="I502" i="35"/>
  <c r="B503" i="35" s="1"/>
  <c r="H502" i="35"/>
  <c r="C502" i="35"/>
  <c r="I555" i="55" l="1"/>
  <c r="B556" i="55" s="1"/>
  <c r="H555" i="55"/>
  <c r="G555" i="55"/>
  <c r="D555" i="55"/>
  <c r="C555" i="55"/>
  <c r="C555" i="54"/>
  <c r="I555" i="54"/>
  <c r="B556" i="54" s="1"/>
  <c r="H555" i="54"/>
  <c r="G555" i="54"/>
  <c r="D555" i="54"/>
  <c r="D555" i="53"/>
  <c r="I555" i="53"/>
  <c r="B556" i="53" s="1"/>
  <c r="H555" i="53"/>
  <c r="C555" i="53"/>
  <c r="G555" i="53"/>
  <c r="D555" i="52"/>
  <c r="C555" i="52"/>
  <c r="I555" i="52"/>
  <c r="B556" i="52" s="1"/>
  <c r="H555" i="52"/>
  <c r="G555" i="52"/>
  <c r="C555" i="51"/>
  <c r="G555" i="51"/>
  <c r="I555" i="51"/>
  <c r="B556" i="51" s="1"/>
  <c r="H555" i="51"/>
  <c r="D555" i="51"/>
  <c r="I554" i="50"/>
  <c r="B555" i="50" s="1"/>
  <c r="H554" i="50"/>
  <c r="G554" i="50"/>
  <c r="D554" i="50"/>
  <c r="C554" i="50"/>
  <c r="C554" i="49"/>
  <c r="I554" i="49"/>
  <c r="B555" i="49" s="1"/>
  <c r="G554" i="49"/>
  <c r="H554" i="49"/>
  <c r="D554" i="49"/>
  <c r="I554" i="48"/>
  <c r="B555" i="48" s="1"/>
  <c r="H554" i="48"/>
  <c r="G554" i="48"/>
  <c r="C554" i="48"/>
  <c r="D554" i="48"/>
  <c r="C554" i="47"/>
  <c r="I554" i="47"/>
  <c r="B555" i="47" s="1"/>
  <c r="H554" i="47"/>
  <c r="G554" i="47"/>
  <c r="D554" i="47"/>
  <c r="C503" i="35"/>
  <c r="I503" i="35"/>
  <c r="B504" i="35" s="1"/>
  <c r="G503" i="35"/>
  <c r="D503" i="35"/>
  <c r="H503" i="35"/>
  <c r="I556" i="55" l="1"/>
  <c r="B557" i="55" s="1"/>
  <c r="H556" i="55"/>
  <c r="G556" i="55"/>
  <c r="D556" i="55"/>
  <c r="C556" i="55"/>
  <c r="G556" i="54"/>
  <c r="D556" i="54"/>
  <c r="C556" i="54"/>
  <c r="I556" i="54"/>
  <c r="B557" i="54" s="1"/>
  <c r="H556" i="54"/>
  <c r="H556" i="53"/>
  <c r="D556" i="53"/>
  <c r="C556" i="53"/>
  <c r="I556" i="53"/>
  <c r="B557" i="53" s="1"/>
  <c r="G556" i="53"/>
  <c r="H556" i="52"/>
  <c r="G556" i="52"/>
  <c r="D556" i="52"/>
  <c r="C556" i="52"/>
  <c r="I556" i="52"/>
  <c r="B557" i="52" s="1"/>
  <c r="G556" i="51"/>
  <c r="D556" i="51"/>
  <c r="C556" i="51"/>
  <c r="I556" i="51"/>
  <c r="B557" i="51" s="1"/>
  <c r="H556" i="51"/>
  <c r="I555" i="50"/>
  <c r="B556" i="50" s="1"/>
  <c r="H555" i="50"/>
  <c r="G555" i="50"/>
  <c r="D555" i="50"/>
  <c r="C555" i="50"/>
  <c r="G555" i="49"/>
  <c r="D555" i="49"/>
  <c r="C555" i="49"/>
  <c r="I555" i="49"/>
  <c r="B556" i="49" s="1"/>
  <c r="H555" i="49"/>
  <c r="C555" i="48"/>
  <c r="I555" i="48"/>
  <c r="B556" i="48" s="1"/>
  <c r="G555" i="48"/>
  <c r="H555" i="48"/>
  <c r="D555" i="48"/>
  <c r="G555" i="47"/>
  <c r="D555" i="47"/>
  <c r="C555" i="47"/>
  <c r="I555" i="47"/>
  <c r="B556" i="47" s="1"/>
  <c r="H555" i="47"/>
  <c r="C504" i="35"/>
  <c r="G504" i="35"/>
  <c r="H504" i="35"/>
  <c r="D504" i="35"/>
  <c r="I504" i="35"/>
  <c r="B505" i="35" s="1"/>
  <c r="C557" i="55" l="1"/>
  <c r="I557" i="55"/>
  <c r="B558" i="55" s="1"/>
  <c r="H557" i="55"/>
  <c r="G557" i="55"/>
  <c r="D557" i="55"/>
  <c r="I557" i="54"/>
  <c r="B558" i="54" s="1"/>
  <c r="H557" i="54"/>
  <c r="G557" i="54"/>
  <c r="D557" i="54"/>
  <c r="C557" i="54"/>
  <c r="H557" i="53"/>
  <c r="G557" i="53"/>
  <c r="D557" i="53"/>
  <c r="C557" i="53"/>
  <c r="I557" i="53"/>
  <c r="B558" i="53" s="1"/>
  <c r="I557" i="52"/>
  <c r="B558" i="52" s="1"/>
  <c r="H557" i="52"/>
  <c r="G557" i="52"/>
  <c r="D557" i="52"/>
  <c r="C557" i="52"/>
  <c r="I557" i="51"/>
  <c r="B558" i="51" s="1"/>
  <c r="H557" i="51"/>
  <c r="G557" i="51"/>
  <c r="D557" i="51"/>
  <c r="C557" i="51"/>
  <c r="D556" i="50"/>
  <c r="C556" i="50"/>
  <c r="I556" i="50"/>
  <c r="B557" i="50" s="1"/>
  <c r="H556" i="50"/>
  <c r="G556" i="50"/>
  <c r="I556" i="49"/>
  <c r="B557" i="49" s="1"/>
  <c r="H556" i="49"/>
  <c r="G556" i="49"/>
  <c r="D556" i="49"/>
  <c r="C556" i="49"/>
  <c r="G556" i="48"/>
  <c r="D556" i="48"/>
  <c r="C556" i="48"/>
  <c r="I556" i="48"/>
  <c r="B557" i="48" s="1"/>
  <c r="H556" i="48"/>
  <c r="I556" i="47"/>
  <c r="B557" i="47" s="1"/>
  <c r="H556" i="47"/>
  <c r="G556" i="47"/>
  <c r="C556" i="47"/>
  <c r="D556" i="47"/>
  <c r="I505" i="35"/>
  <c r="B506" i="35" s="1"/>
  <c r="C505" i="35"/>
  <c r="H505" i="35"/>
  <c r="D505" i="35"/>
  <c r="G505" i="35"/>
  <c r="G558" i="55" l="1"/>
  <c r="D558" i="55"/>
  <c r="C558" i="55"/>
  <c r="I558" i="55"/>
  <c r="B559" i="55" s="1"/>
  <c r="H558" i="55"/>
  <c r="I558" i="54"/>
  <c r="B559" i="54" s="1"/>
  <c r="H558" i="54"/>
  <c r="G558" i="54"/>
  <c r="D558" i="54"/>
  <c r="C558" i="54"/>
  <c r="I558" i="53"/>
  <c r="B559" i="53" s="1"/>
  <c r="H558" i="53"/>
  <c r="G558" i="53"/>
  <c r="D558" i="53"/>
  <c r="C558" i="53"/>
  <c r="I558" i="52"/>
  <c r="B559" i="52" s="1"/>
  <c r="H558" i="52"/>
  <c r="G558" i="52"/>
  <c r="D558" i="52"/>
  <c r="C558" i="52"/>
  <c r="I558" i="51"/>
  <c r="B559" i="51" s="1"/>
  <c r="H558" i="51"/>
  <c r="C558" i="51"/>
  <c r="G558" i="51"/>
  <c r="D558" i="51"/>
  <c r="H557" i="50"/>
  <c r="G557" i="50"/>
  <c r="D557" i="50"/>
  <c r="C557" i="50"/>
  <c r="I557" i="50"/>
  <c r="B558" i="50" s="1"/>
  <c r="I557" i="49"/>
  <c r="B558" i="49" s="1"/>
  <c r="H557" i="49"/>
  <c r="G557" i="49"/>
  <c r="C557" i="49"/>
  <c r="D557" i="49"/>
  <c r="I557" i="48"/>
  <c r="B558" i="48" s="1"/>
  <c r="H557" i="48"/>
  <c r="G557" i="48"/>
  <c r="D557" i="48"/>
  <c r="C557" i="48"/>
  <c r="I557" i="47"/>
  <c r="B558" i="47" s="1"/>
  <c r="G557" i="47"/>
  <c r="H557" i="47"/>
  <c r="D557" i="47"/>
  <c r="C557" i="47"/>
  <c r="G506" i="35"/>
  <c r="D506" i="35"/>
  <c r="I506" i="35"/>
  <c r="B507" i="35" s="1"/>
  <c r="H506" i="35"/>
  <c r="C506" i="35"/>
  <c r="I559" i="55" l="1"/>
  <c r="B560" i="55" s="1"/>
  <c r="H559" i="55"/>
  <c r="G559" i="55"/>
  <c r="D559" i="55"/>
  <c r="C559" i="55"/>
  <c r="C559" i="54"/>
  <c r="I559" i="54"/>
  <c r="B560" i="54" s="1"/>
  <c r="H559" i="54"/>
  <c r="G559" i="54"/>
  <c r="D559" i="54"/>
  <c r="D559" i="53"/>
  <c r="I559" i="53"/>
  <c r="B560" i="53" s="1"/>
  <c r="G559" i="53"/>
  <c r="H559" i="53"/>
  <c r="C559" i="53"/>
  <c r="D559" i="52"/>
  <c r="C559" i="52"/>
  <c r="I559" i="52"/>
  <c r="B560" i="52" s="1"/>
  <c r="H559" i="52"/>
  <c r="G559" i="52"/>
  <c r="C559" i="51"/>
  <c r="G559" i="51"/>
  <c r="I559" i="51"/>
  <c r="B560" i="51" s="1"/>
  <c r="H559" i="51"/>
  <c r="D559" i="51"/>
  <c r="I558" i="50"/>
  <c r="B559" i="50" s="1"/>
  <c r="H558" i="50"/>
  <c r="G558" i="50"/>
  <c r="D558" i="50"/>
  <c r="C558" i="50"/>
  <c r="C558" i="49"/>
  <c r="I558" i="49"/>
  <c r="B559" i="49" s="1"/>
  <c r="G558" i="49"/>
  <c r="D558" i="49"/>
  <c r="H558" i="49"/>
  <c r="I558" i="48"/>
  <c r="B559" i="48" s="1"/>
  <c r="H558" i="48"/>
  <c r="G558" i="48"/>
  <c r="C558" i="48"/>
  <c r="D558" i="48"/>
  <c r="C558" i="47"/>
  <c r="I558" i="47"/>
  <c r="B559" i="47" s="1"/>
  <c r="H558" i="47"/>
  <c r="G558" i="47"/>
  <c r="D558" i="47"/>
  <c r="I507" i="35"/>
  <c r="B508" i="35" s="1"/>
  <c r="C507" i="35"/>
  <c r="H507" i="35"/>
  <c r="G507" i="35"/>
  <c r="D507" i="35"/>
  <c r="I560" i="55" l="1"/>
  <c r="B561" i="55" s="1"/>
  <c r="H560" i="55"/>
  <c r="G560" i="55"/>
  <c r="D560" i="55"/>
  <c r="C560" i="55"/>
  <c r="G560" i="54"/>
  <c r="D560" i="54"/>
  <c r="C560" i="54"/>
  <c r="I560" i="54"/>
  <c r="B561" i="54" s="1"/>
  <c r="H560" i="54"/>
  <c r="H560" i="53"/>
  <c r="D560" i="53"/>
  <c r="C560" i="53"/>
  <c r="I560" i="53"/>
  <c r="B561" i="53" s="1"/>
  <c r="G560" i="53"/>
  <c r="H560" i="52"/>
  <c r="G560" i="52"/>
  <c r="D560" i="52"/>
  <c r="C560" i="52"/>
  <c r="I560" i="52"/>
  <c r="B561" i="52" s="1"/>
  <c r="G560" i="51"/>
  <c r="D560" i="51"/>
  <c r="C560" i="51"/>
  <c r="I560" i="51"/>
  <c r="B561" i="51" s="1"/>
  <c r="H560" i="51"/>
  <c r="I559" i="50"/>
  <c r="B560" i="50" s="1"/>
  <c r="H559" i="50"/>
  <c r="G559" i="50"/>
  <c r="D559" i="50"/>
  <c r="C559" i="50"/>
  <c r="G559" i="49"/>
  <c r="D559" i="49"/>
  <c r="C559" i="49"/>
  <c r="I559" i="49"/>
  <c r="B560" i="49" s="1"/>
  <c r="H559" i="49"/>
  <c r="C559" i="48"/>
  <c r="I559" i="48"/>
  <c r="B560" i="48" s="1"/>
  <c r="G559" i="48"/>
  <c r="H559" i="48"/>
  <c r="D559" i="48"/>
  <c r="G559" i="47"/>
  <c r="D559" i="47"/>
  <c r="C559" i="47"/>
  <c r="I559" i="47"/>
  <c r="B560" i="47" s="1"/>
  <c r="H559" i="47"/>
  <c r="C508" i="35"/>
  <c r="G508" i="35"/>
  <c r="I508" i="35"/>
  <c r="B509" i="35" s="1"/>
  <c r="D508" i="35"/>
  <c r="H508" i="35"/>
  <c r="C561" i="55" l="1"/>
  <c r="I561" i="55"/>
  <c r="B562" i="55" s="1"/>
  <c r="H561" i="55"/>
  <c r="G561" i="55"/>
  <c r="D561" i="55"/>
  <c r="I561" i="54"/>
  <c r="B562" i="54" s="1"/>
  <c r="H561" i="54"/>
  <c r="G561" i="54"/>
  <c r="D561" i="54"/>
  <c r="C561" i="54"/>
  <c r="H561" i="53"/>
  <c r="G561" i="53"/>
  <c r="D561" i="53"/>
  <c r="C561" i="53"/>
  <c r="I561" i="53"/>
  <c r="B562" i="53" s="1"/>
  <c r="I561" i="52"/>
  <c r="B562" i="52" s="1"/>
  <c r="H561" i="52"/>
  <c r="G561" i="52"/>
  <c r="D561" i="52"/>
  <c r="C561" i="52"/>
  <c r="I561" i="51"/>
  <c r="B562" i="51" s="1"/>
  <c r="H561" i="51"/>
  <c r="G561" i="51"/>
  <c r="D561" i="51"/>
  <c r="C561" i="51"/>
  <c r="D560" i="50"/>
  <c r="C560" i="50"/>
  <c r="I560" i="50"/>
  <c r="B561" i="50" s="1"/>
  <c r="H560" i="50"/>
  <c r="G560" i="50"/>
  <c r="I560" i="49"/>
  <c r="B561" i="49" s="1"/>
  <c r="H560" i="49"/>
  <c r="G560" i="49"/>
  <c r="D560" i="49"/>
  <c r="C560" i="49"/>
  <c r="G560" i="48"/>
  <c r="D560" i="48"/>
  <c r="C560" i="48"/>
  <c r="I560" i="48"/>
  <c r="B561" i="48" s="1"/>
  <c r="H560" i="48"/>
  <c r="I560" i="47"/>
  <c r="B561" i="47" s="1"/>
  <c r="H560" i="47"/>
  <c r="G560" i="47"/>
  <c r="C560" i="47"/>
  <c r="D560" i="47"/>
  <c r="C509" i="35"/>
  <c r="G509" i="35"/>
  <c r="I509" i="35"/>
  <c r="B510" i="35" s="1"/>
  <c r="H509" i="35"/>
  <c r="D509" i="35"/>
  <c r="G562" i="55" l="1"/>
  <c r="D562" i="55"/>
  <c r="C562" i="55"/>
  <c r="I562" i="55"/>
  <c r="B563" i="55" s="1"/>
  <c r="H562" i="55"/>
  <c r="I562" i="54"/>
  <c r="B563" i="54" s="1"/>
  <c r="H562" i="54"/>
  <c r="G562" i="54"/>
  <c r="D562" i="54"/>
  <c r="C562" i="54"/>
  <c r="I562" i="53"/>
  <c r="B563" i="53" s="1"/>
  <c r="H562" i="53"/>
  <c r="G562" i="53"/>
  <c r="C562" i="53"/>
  <c r="D562" i="53"/>
  <c r="I562" i="52"/>
  <c r="B563" i="52" s="1"/>
  <c r="H562" i="52"/>
  <c r="G562" i="52"/>
  <c r="D562" i="52"/>
  <c r="C562" i="52"/>
  <c r="I562" i="51"/>
  <c r="B563" i="51" s="1"/>
  <c r="H562" i="51"/>
  <c r="C562" i="51"/>
  <c r="G562" i="51"/>
  <c r="D562" i="51"/>
  <c r="H561" i="50"/>
  <c r="G561" i="50"/>
  <c r="D561" i="50"/>
  <c r="C561" i="50"/>
  <c r="I561" i="50"/>
  <c r="B562" i="50" s="1"/>
  <c r="I561" i="49"/>
  <c r="B562" i="49" s="1"/>
  <c r="H561" i="49"/>
  <c r="G561" i="49"/>
  <c r="C561" i="49"/>
  <c r="D561" i="49"/>
  <c r="I561" i="48"/>
  <c r="B562" i="48" s="1"/>
  <c r="H561" i="48"/>
  <c r="G561" i="48"/>
  <c r="D561" i="48"/>
  <c r="C561" i="48"/>
  <c r="I561" i="47"/>
  <c r="B562" i="47" s="1"/>
  <c r="G561" i="47"/>
  <c r="H561" i="47"/>
  <c r="D561" i="47"/>
  <c r="C561" i="47"/>
  <c r="G510" i="35"/>
  <c r="D510" i="35"/>
  <c r="I510" i="35"/>
  <c r="B511" i="35" s="1"/>
  <c r="H510" i="35"/>
  <c r="C510" i="35"/>
  <c r="I563" i="55" l="1"/>
  <c r="B564" i="55" s="1"/>
  <c r="H563" i="55"/>
  <c r="G563" i="55"/>
  <c r="D563" i="55"/>
  <c r="C563" i="55"/>
  <c r="C563" i="54"/>
  <c r="I563" i="54"/>
  <c r="B564" i="54" s="1"/>
  <c r="H563" i="54"/>
  <c r="G563" i="54"/>
  <c r="D563" i="54"/>
  <c r="D563" i="53"/>
  <c r="I563" i="53"/>
  <c r="B564" i="53" s="1"/>
  <c r="C563" i="53"/>
  <c r="H563" i="53"/>
  <c r="G563" i="53"/>
  <c r="D563" i="52"/>
  <c r="C563" i="52"/>
  <c r="I563" i="52"/>
  <c r="B564" i="52" s="1"/>
  <c r="H563" i="52"/>
  <c r="G563" i="52"/>
  <c r="C563" i="51"/>
  <c r="G563" i="51"/>
  <c r="H563" i="51"/>
  <c r="D563" i="51"/>
  <c r="I563" i="51"/>
  <c r="B564" i="51" s="1"/>
  <c r="I562" i="50"/>
  <c r="B563" i="50" s="1"/>
  <c r="H562" i="50"/>
  <c r="G562" i="50"/>
  <c r="D562" i="50"/>
  <c r="C562" i="50"/>
  <c r="C562" i="49"/>
  <c r="I562" i="49"/>
  <c r="B563" i="49" s="1"/>
  <c r="G562" i="49"/>
  <c r="D562" i="49"/>
  <c r="H562" i="49"/>
  <c r="I562" i="48"/>
  <c r="B563" i="48" s="1"/>
  <c r="H562" i="48"/>
  <c r="G562" i="48"/>
  <c r="C562" i="48"/>
  <c r="D562" i="48"/>
  <c r="C562" i="47"/>
  <c r="I562" i="47"/>
  <c r="B563" i="47" s="1"/>
  <c r="H562" i="47"/>
  <c r="G562" i="47"/>
  <c r="D562" i="47"/>
  <c r="H511" i="35"/>
  <c r="C511" i="35"/>
  <c r="D511" i="35"/>
  <c r="G511" i="35"/>
  <c r="I511" i="35"/>
  <c r="B512" i="35" s="1"/>
  <c r="I564" i="55" l="1"/>
  <c r="B565" i="55" s="1"/>
  <c r="H564" i="55"/>
  <c r="G564" i="55"/>
  <c r="D564" i="55"/>
  <c r="C564" i="55"/>
  <c r="G564" i="54"/>
  <c r="D564" i="54"/>
  <c r="C564" i="54"/>
  <c r="I564" i="54"/>
  <c r="B565" i="54" s="1"/>
  <c r="H564" i="54"/>
  <c r="H564" i="53"/>
  <c r="D564" i="53"/>
  <c r="C564" i="53"/>
  <c r="I564" i="53"/>
  <c r="B565" i="53" s="1"/>
  <c r="G564" i="53"/>
  <c r="H564" i="52"/>
  <c r="G564" i="52"/>
  <c r="D564" i="52"/>
  <c r="C564" i="52"/>
  <c r="I564" i="52"/>
  <c r="B565" i="52" s="1"/>
  <c r="G564" i="51"/>
  <c r="D564" i="51"/>
  <c r="C564" i="51"/>
  <c r="I564" i="51"/>
  <c r="B565" i="51" s="1"/>
  <c r="H564" i="51"/>
  <c r="I563" i="50"/>
  <c r="B564" i="50" s="1"/>
  <c r="H563" i="50"/>
  <c r="G563" i="50"/>
  <c r="D563" i="50"/>
  <c r="C563" i="50"/>
  <c r="G563" i="49"/>
  <c r="D563" i="49"/>
  <c r="C563" i="49"/>
  <c r="I563" i="49"/>
  <c r="B564" i="49" s="1"/>
  <c r="H563" i="49"/>
  <c r="C563" i="48"/>
  <c r="I563" i="48"/>
  <c r="B564" i="48" s="1"/>
  <c r="G563" i="48"/>
  <c r="H563" i="48"/>
  <c r="D563" i="48"/>
  <c r="G563" i="47"/>
  <c r="D563" i="47"/>
  <c r="C563" i="47"/>
  <c r="I563" i="47"/>
  <c r="B564" i="47" s="1"/>
  <c r="H563" i="47"/>
  <c r="C512" i="35"/>
  <c r="G512" i="35"/>
  <c r="H512" i="35"/>
  <c r="D512" i="35"/>
  <c r="I512" i="35"/>
  <c r="B513" i="35" s="1"/>
  <c r="I565" i="55" l="1"/>
  <c r="B566" i="55" s="1"/>
  <c r="H565" i="55"/>
  <c r="C565" i="55"/>
  <c r="G565" i="55"/>
  <c r="D565" i="55"/>
  <c r="I565" i="54"/>
  <c r="B566" i="54" s="1"/>
  <c r="H565" i="54"/>
  <c r="G565" i="54"/>
  <c r="D565" i="54"/>
  <c r="C565" i="54"/>
  <c r="H565" i="53"/>
  <c r="G565" i="53"/>
  <c r="D565" i="53"/>
  <c r="C565" i="53"/>
  <c r="I565" i="53"/>
  <c r="B566" i="53" s="1"/>
  <c r="I565" i="52"/>
  <c r="B566" i="52" s="1"/>
  <c r="H565" i="52"/>
  <c r="G565" i="52"/>
  <c r="D565" i="52"/>
  <c r="C565" i="52"/>
  <c r="I565" i="51"/>
  <c r="B566" i="51" s="1"/>
  <c r="H565" i="51"/>
  <c r="G565" i="51"/>
  <c r="D565" i="51"/>
  <c r="C565" i="51"/>
  <c r="D564" i="50"/>
  <c r="C564" i="50"/>
  <c r="I564" i="50"/>
  <c r="B565" i="50" s="1"/>
  <c r="H564" i="50"/>
  <c r="G564" i="50"/>
  <c r="I564" i="49"/>
  <c r="B565" i="49" s="1"/>
  <c r="H564" i="49"/>
  <c r="G564" i="49"/>
  <c r="D564" i="49"/>
  <c r="C564" i="49"/>
  <c r="G564" i="48"/>
  <c r="D564" i="48"/>
  <c r="C564" i="48"/>
  <c r="I564" i="48"/>
  <c r="B565" i="48" s="1"/>
  <c r="H564" i="48"/>
  <c r="I564" i="47"/>
  <c r="B565" i="47" s="1"/>
  <c r="H564" i="47"/>
  <c r="G564" i="47"/>
  <c r="C564" i="47"/>
  <c r="D564" i="47"/>
  <c r="I513" i="35"/>
  <c r="B514" i="35" s="1"/>
  <c r="C513" i="35"/>
  <c r="D513" i="35"/>
  <c r="G513" i="35"/>
  <c r="H513" i="35"/>
  <c r="I566" i="55" l="1"/>
  <c r="B567" i="55" s="1"/>
  <c r="H566" i="55"/>
  <c r="G566" i="55"/>
  <c r="D566" i="55"/>
  <c r="C566" i="55"/>
  <c r="I566" i="54"/>
  <c r="B567" i="54" s="1"/>
  <c r="H566" i="54"/>
  <c r="G566" i="54"/>
  <c r="D566" i="54"/>
  <c r="C566" i="54"/>
  <c r="I566" i="53"/>
  <c r="B567" i="53" s="1"/>
  <c r="H566" i="53"/>
  <c r="G566" i="53"/>
  <c r="D566" i="53"/>
  <c r="C566" i="53"/>
  <c r="I566" i="52"/>
  <c r="B567" i="52" s="1"/>
  <c r="H566" i="52"/>
  <c r="G566" i="52"/>
  <c r="D566" i="52"/>
  <c r="C566" i="52"/>
  <c r="I566" i="51"/>
  <c r="B567" i="51" s="1"/>
  <c r="H566" i="51"/>
  <c r="C566" i="51"/>
  <c r="G566" i="51"/>
  <c r="D566" i="51"/>
  <c r="H565" i="50"/>
  <c r="G565" i="50"/>
  <c r="D565" i="50"/>
  <c r="C565" i="50"/>
  <c r="I565" i="50"/>
  <c r="B566" i="50" s="1"/>
  <c r="I565" i="49"/>
  <c r="B566" i="49" s="1"/>
  <c r="H565" i="49"/>
  <c r="G565" i="49"/>
  <c r="C565" i="49"/>
  <c r="D565" i="49"/>
  <c r="I565" i="48"/>
  <c r="B566" i="48" s="1"/>
  <c r="H565" i="48"/>
  <c r="G565" i="48"/>
  <c r="D565" i="48"/>
  <c r="C565" i="48"/>
  <c r="I565" i="47"/>
  <c r="B566" i="47" s="1"/>
  <c r="G565" i="47"/>
  <c r="H565" i="47"/>
  <c r="D565" i="47"/>
  <c r="C565" i="47"/>
  <c r="D514" i="35"/>
  <c r="G514" i="35"/>
  <c r="I514" i="35"/>
  <c r="B515" i="35" s="1"/>
  <c r="H514" i="35"/>
  <c r="C514" i="35"/>
  <c r="D567" i="55" l="1"/>
  <c r="C567" i="55"/>
  <c r="I567" i="55"/>
  <c r="B568" i="55" s="1"/>
  <c r="H567" i="55"/>
  <c r="G567" i="55"/>
  <c r="C567" i="54"/>
  <c r="I567" i="54"/>
  <c r="B568" i="54" s="1"/>
  <c r="H567" i="54"/>
  <c r="G567" i="54"/>
  <c r="D567" i="54"/>
  <c r="D567" i="53"/>
  <c r="I567" i="53"/>
  <c r="B568" i="53" s="1"/>
  <c r="H567" i="53"/>
  <c r="C567" i="53"/>
  <c r="G567" i="53"/>
  <c r="D567" i="52"/>
  <c r="C567" i="52"/>
  <c r="I567" i="52"/>
  <c r="B568" i="52" s="1"/>
  <c r="H567" i="52"/>
  <c r="G567" i="52"/>
  <c r="C567" i="51"/>
  <c r="G567" i="51"/>
  <c r="D567" i="51"/>
  <c r="I567" i="51"/>
  <c r="B568" i="51" s="1"/>
  <c r="H567" i="51"/>
  <c r="I566" i="50"/>
  <c r="B567" i="50" s="1"/>
  <c r="H566" i="50"/>
  <c r="G566" i="50"/>
  <c r="D566" i="50"/>
  <c r="C566" i="50"/>
  <c r="C566" i="49"/>
  <c r="I566" i="49"/>
  <c r="B567" i="49" s="1"/>
  <c r="G566" i="49"/>
  <c r="H566" i="49"/>
  <c r="D566" i="49"/>
  <c r="I566" i="48"/>
  <c r="B567" i="48" s="1"/>
  <c r="H566" i="48"/>
  <c r="G566" i="48"/>
  <c r="C566" i="48"/>
  <c r="D566" i="48"/>
  <c r="C566" i="47"/>
  <c r="I566" i="47"/>
  <c r="B567" i="47" s="1"/>
  <c r="H566" i="47"/>
  <c r="G566" i="47"/>
  <c r="D566" i="47"/>
  <c r="H515" i="35"/>
  <c r="C515" i="35"/>
  <c r="I515" i="35"/>
  <c r="B516" i="35" s="1"/>
  <c r="G515" i="35"/>
  <c r="D515" i="35"/>
  <c r="H568" i="55" l="1"/>
  <c r="G568" i="55"/>
  <c r="D568" i="55"/>
  <c r="C568" i="55"/>
  <c r="I568" i="55"/>
  <c r="B569" i="55" s="1"/>
  <c r="G568" i="54"/>
  <c r="D568" i="54"/>
  <c r="C568" i="54"/>
  <c r="I568" i="54"/>
  <c r="B569" i="54" s="1"/>
  <c r="H568" i="54"/>
  <c r="H568" i="53"/>
  <c r="D568" i="53"/>
  <c r="C568" i="53"/>
  <c r="I568" i="53"/>
  <c r="B569" i="53" s="1"/>
  <c r="G568" i="53"/>
  <c r="H568" i="52"/>
  <c r="G568" i="52"/>
  <c r="D568" i="52"/>
  <c r="C568" i="52"/>
  <c r="I568" i="52"/>
  <c r="B569" i="52" s="1"/>
  <c r="G568" i="51"/>
  <c r="D568" i="51"/>
  <c r="C568" i="51"/>
  <c r="I568" i="51"/>
  <c r="B569" i="51" s="1"/>
  <c r="H568" i="51"/>
  <c r="I567" i="50"/>
  <c r="B568" i="50" s="1"/>
  <c r="H567" i="50"/>
  <c r="G567" i="50"/>
  <c r="D567" i="50"/>
  <c r="C567" i="50"/>
  <c r="G567" i="49"/>
  <c r="D567" i="49"/>
  <c r="C567" i="49"/>
  <c r="I567" i="49"/>
  <c r="B568" i="49" s="1"/>
  <c r="H567" i="49"/>
  <c r="C567" i="48"/>
  <c r="I567" i="48"/>
  <c r="B568" i="48" s="1"/>
  <c r="G567" i="48"/>
  <c r="H567" i="48"/>
  <c r="D567" i="48"/>
  <c r="G567" i="47"/>
  <c r="D567" i="47"/>
  <c r="C567" i="47"/>
  <c r="I567" i="47"/>
  <c r="B568" i="47" s="1"/>
  <c r="H567" i="47"/>
  <c r="C516" i="35"/>
  <c r="G516" i="35"/>
  <c r="I516" i="35"/>
  <c r="B517" i="35" s="1"/>
  <c r="H516" i="35"/>
  <c r="D516" i="35"/>
  <c r="I569" i="55" l="1"/>
  <c r="B570" i="55" s="1"/>
  <c r="H569" i="55"/>
  <c r="G569" i="55"/>
  <c r="D569" i="55"/>
  <c r="C569" i="55"/>
  <c r="I569" i="54"/>
  <c r="B570" i="54" s="1"/>
  <c r="H569" i="54"/>
  <c r="G569" i="54"/>
  <c r="D569" i="54"/>
  <c r="C569" i="54"/>
  <c r="H569" i="53"/>
  <c r="G569" i="53"/>
  <c r="D569" i="53"/>
  <c r="C569" i="53"/>
  <c r="I569" i="53"/>
  <c r="B570" i="53" s="1"/>
  <c r="I569" i="52"/>
  <c r="B570" i="52" s="1"/>
  <c r="H569" i="52"/>
  <c r="G569" i="52"/>
  <c r="D569" i="52"/>
  <c r="C569" i="52"/>
  <c r="I569" i="51"/>
  <c r="B570" i="51" s="1"/>
  <c r="H569" i="51"/>
  <c r="G569" i="51"/>
  <c r="D569" i="51"/>
  <c r="C569" i="51"/>
  <c r="D568" i="50"/>
  <c r="C568" i="50"/>
  <c r="I568" i="50"/>
  <c r="B569" i="50" s="1"/>
  <c r="H568" i="50"/>
  <c r="G568" i="50"/>
  <c r="I568" i="49"/>
  <c r="B569" i="49" s="1"/>
  <c r="H568" i="49"/>
  <c r="G568" i="49"/>
  <c r="D568" i="49"/>
  <c r="C568" i="49"/>
  <c r="G568" i="48"/>
  <c r="D568" i="48"/>
  <c r="C568" i="48"/>
  <c r="I568" i="48"/>
  <c r="B569" i="48" s="1"/>
  <c r="H568" i="48"/>
  <c r="I568" i="47"/>
  <c r="B569" i="47" s="1"/>
  <c r="H568" i="47"/>
  <c r="G568" i="47"/>
  <c r="C568" i="47"/>
  <c r="D568" i="47"/>
  <c r="I517" i="35"/>
  <c r="B518" i="35" s="1"/>
  <c r="C517" i="35"/>
  <c r="G517" i="35"/>
  <c r="D517" i="35"/>
  <c r="H517" i="35"/>
  <c r="I570" i="55" l="1"/>
  <c r="B571" i="55" s="1"/>
  <c r="H570" i="55"/>
  <c r="G570" i="55"/>
  <c r="D570" i="55"/>
  <c r="C570" i="55"/>
  <c r="I570" i="54"/>
  <c r="B571" i="54" s="1"/>
  <c r="H570" i="54"/>
  <c r="G570" i="54"/>
  <c r="D570" i="54"/>
  <c r="C570" i="54"/>
  <c r="I570" i="53"/>
  <c r="B571" i="53" s="1"/>
  <c r="H570" i="53"/>
  <c r="G570" i="53"/>
  <c r="C570" i="53"/>
  <c r="D570" i="53"/>
  <c r="I570" i="52"/>
  <c r="B571" i="52" s="1"/>
  <c r="H570" i="52"/>
  <c r="G570" i="52"/>
  <c r="D570" i="52"/>
  <c r="C570" i="52"/>
  <c r="I570" i="51"/>
  <c r="B571" i="51" s="1"/>
  <c r="H570" i="51"/>
  <c r="C570" i="51"/>
  <c r="G570" i="51"/>
  <c r="D570" i="51"/>
  <c r="H569" i="50"/>
  <c r="G569" i="50"/>
  <c r="D569" i="50"/>
  <c r="C569" i="50"/>
  <c r="I569" i="50"/>
  <c r="B570" i="50" s="1"/>
  <c r="I569" i="49"/>
  <c r="B570" i="49" s="1"/>
  <c r="H569" i="49"/>
  <c r="G569" i="49"/>
  <c r="C569" i="49"/>
  <c r="D569" i="49"/>
  <c r="I569" i="48"/>
  <c r="B570" i="48" s="1"/>
  <c r="H569" i="48"/>
  <c r="G569" i="48"/>
  <c r="D569" i="48"/>
  <c r="C569" i="48"/>
  <c r="I569" i="47"/>
  <c r="B570" i="47" s="1"/>
  <c r="G569" i="47"/>
  <c r="H569" i="47"/>
  <c r="D569" i="47"/>
  <c r="C569" i="47"/>
  <c r="D518" i="35"/>
  <c r="I518" i="35"/>
  <c r="B519" i="35" s="1"/>
  <c r="G518" i="35"/>
  <c r="C518" i="35"/>
  <c r="H518" i="35"/>
  <c r="D571" i="55" l="1"/>
  <c r="C571" i="55"/>
  <c r="I571" i="55"/>
  <c r="B572" i="55" s="1"/>
  <c r="H571" i="55"/>
  <c r="G571" i="55"/>
  <c r="C571" i="54"/>
  <c r="I571" i="54"/>
  <c r="B572" i="54" s="1"/>
  <c r="H571" i="54"/>
  <c r="G571" i="54"/>
  <c r="D571" i="54"/>
  <c r="D571" i="53"/>
  <c r="I571" i="53"/>
  <c r="B572" i="53" s="1"/>
  <c r="H571" i="53"/>
  <c r="G571" i="53"/>
  <c r="C571" i="53"/>
  <c r="D571" i="52"/>
  <c r="C571" i="52"/>
  <c r="I571" i="52"/>
  <c r="B572" i="52" s="1"/>
  <c r="H571" i="52"/>
  <c r="G571" i="52"/>
  <c r="I571" i="51"/>
  <c r="B572" i="51" s="1"/>
  <c r="C571" i="51"/>
  <c r="G571" i="51"/>
  <c r="H571" i="51"/>
  <c r="D571" i="51"/>
  <c r="I570" i="50"/>
  <c r="B571" i="50" s="1"/>
  <c r="H570" i="50"/>
  <c r="G570" i="50"/>
  <c r="D570" i="50"/>
  <c r="C570" i="50"/>
  <c r="C570" i="49"/>
  <c r="I570" i="49"/>
  <c r="B571" i="49" s="1"/>
  <c r="G570" i="49"/>
  <c r="H570" i="49"/>
  <c r="D570" i="49"/>
  <c r="I570" i="48"/>
  <c r="B571" i="48" s="1"/>
  <c r="H570" i="48"/>
  <c r="G570" i="48"/>
  <c r="C570" i="48"/>
  <c r="D570" i="48"/>
  <c r="C570" i="47"/>
  <c r="I570" i="47"/>
  <c r="B571" i="47" s="1"/>
  <c r="H570" i="47"/>
  <c r="G570" i="47"/>
  <c r="D570" i="47"/>
  <c r="C519" i="35"/>
  <c r="H519" i="35"/>
  <c r="I519" i="35"/>
  <c r="B520" i="35" s="1"/>
  <c r="G519" i="35"/>
  <c r="D519" i="35"/>
  <c r="H572" i="55" l="1"/>
  <c r="G572" i="55"/>
  <c r="D572" i="55"/>
  <c r="C572" i="55"/>
  <c r="I572" i="55"/>
  <c r="B573" i="55" s="1"/>
  <c r="G572" i="54"/>
  <c r="D572" i="54"/>
  <c r="C572" i="54"/>
  <c r="I572" i="54"/>
  <c r="B573" i="54" s="1"/>
  <c r="H572" i="54"/>
  <c r="H572" i="53"/>
  <c r="D572" i="53"/>
  <c r="C572" i="53"/>
  <c r="I572" i="53"/>
  <c r="B573" i="53" s="1"/>
  <c r="G572" i="53"/>
  <c r="H572" i="52"/>
  <c r="G572" i="52"/>
  <c r="D572" i="52"/>
  <c r="C572" i="52"/>
  <c r="I572" i="52"/>
  <c r="B573" i="52" s="1"/>
  <c r="I572" i="51"/>
  <c r="B573" i="51" s="1"/>
  <c r="G572" i="51"/>
  <c r="H572" i="51"/>
  <c r="D572" i="51"/>
  <c r="C572" i="51"/>
  <c r="I571" i="50"/>
  <c r="B572" i="50" s="1"/>
  <c r="H571" i="50"/>
  <c r="G571" i="50"/>
  <c r="D571" i="50"/>
  <c r="C571" i="50"/>
  <c r="G571" i="49"/>
  <c r="D571" i="49"/>
  <c r="C571" i="49"/>
  <c r="I571" i="49"/>
  <c r="B572" i="49" s="1"/>
  <c r="H571" i="49"/>
  <c r="C571" i="48"/>
  <c r="I571" i="48"/>
  <c r="B572" i="48" s="1"/>
  <c r="G571" i="48"/>
  <c r="H571" i="48"/>
  <c r="D571" i="48"/>
  <c r="G571" i="47"/>
  <c r="D571" i="47"/>
  <c r="C571" i="47"/>
  <c r="I571" i="47"/>
  <c r="B572" i="47" s="1"/>
  <c r="H571" i="47"/>
  <c r="C520" i="35"/>
  <c r="D520" i="35"/>
  <c r="H520" i="35"/>
  <c r="G520" i="35"/>
  <c r="I520" i="35"/>
  <c r="B521" i="35" s="1"/>
  <c r="I573" i="55" l="1"/>
  <c r="B574" i="55" s="1"/>
  <c r="H573" i="55"/>
  <c r="G573" i="55"/>
  <c r="D573" i="55"/>
  <c r="C573" i="55"/>
  <c r="I573" i="54"/>
  <c r="B574" i="54" s="1"/>
  <c r="H573" i="54"/>
  <c r="G573" i="54"/>
  <c r="D573" i="54"/>
  <c r="C573" i="54"/>
  <c r="H573" i="53"/>
  <c r="G573" i="53"/>
  <c r="D573" i="53"/>
  <c r="C573" i="53"/>
  <c r="I573" i="53"/>
  <c r="B574" i="53" s="1"/>
  <c r="I573" i="52"/>
  <c r="B574" i="52" s="1"/>
  <c r="H573" i="52"/>
  <c r="G573" i="52"/>
  <c r="D573" i="52"/>
  <c r="C573" i="52"/>
  <c r="D573" i="51"/>
  <c r="C573" i="51"/>
  <c r="I573" i="51"/>
  <c r="B574" i="51" s="1"/>
  <c r="H573" i="51"/>
  <c r="G573" i="51"/>
  <c r="D572" i="50"/>
  <c r="C572" i="50"/>
  <c r="I572" i="50"/>
  <c r="B573" i="50" s="1"/>
  <c r="H572" i="50"/>
  <c r="G572" i="50"/>
  <c r="I572" i="49"/>
  <c r="B573" i="49" s="1"/>
  <c r="H572" i="49"/>
  <c r="G572" i="49"/>
  <c r="D572" i="49"/>
  <c r="C572" i="49"/>
  <c r="G572" i="48"/>
  <c r="D572" i="48"/>
  <c r="C572" i="48"/>
  <c r="I572" i="48"/>
  <c r="B573" i="48" s="1"/>
  <c r="H572" i="48"/>
  <c r="I572" i="47"/>
  <c r="B573" i="47" s="1"/>
  <c r="H572" i="47"/>
  <c r="G572" i="47"/>
  <c r="C572" i="47"/>
  <c r="D572" i="47"/>
  <c r="G521" i="35"/>
  <c r="H521" i="35"/>
  <c r="C521" i="35"/>
  <c r="I521" i="35"/>
  <c r="B522" i="35" s="1"/>
  <c r="D521" i="35"/>
  <c r="I574" i="55" l="1"/>
  <c r="B575" i="55" s="1"/>
  <c r="H574" i="55"/>
  <c r="G574" i="55"/>
  <c r="D574" i="55"/>
  <c r="C574" i="55"/>
  <c r="I574" i="54"/>
  <c r="B575" i="54" s="1"/>
  <c r="H574" i="54"/>
  <c r="G574" i="54"/>
  <c r="D574" i="54"/>
  <c r="C574" i="54"/>
  <c r="I574" i="53"/>
  <c r="B575" i="53" s="1"/>
  <c r="H574" i="53"/>
  <c r="G574" i="53"/>
  <c r="D574" i="53"/>
  <c r="C574" i="53"/>
  <c r="I574" i="52"/>
  <c r="B575" i="52" s="1"/>
  <c r="H574" i="52"/>
  <c r="G574" i="52"/>
  <c r="D574" i="52"/>
  <c r="C574" i="52"/>
  <c r="H574" i="51"/>
  <c r="G574" i="51"/>
  <c r="D574" i="51"/>
  <c r="C574" i="51"/>
  <c r="I574" i="51"/>
  <c r="B575" i="51" s="1"/>
  <c r="H573" i="50"/>
  <c r="G573" i="50"/>
  <c r="D573" i="50"/>
  <c r="C573" i="50"/>
  <c r="I573" i="50"/>
  <c r="B574" i="50" s="1"/>
  <c r="I573" i="49"/>
  <c r="B574" i="49" s="1"/>
  <c r="H573" i="49"/>
  <c r="G573" i="49"/>
  <c r="C573" i="49"/>
  <c r="D573" i="49"/>
  <c r="I573" i="48"/>
  <c r="B574" i="48" s="1"/>
  <c r="H573" i="48"/>
  <c r="G573" i="48"/>
  <c r="D573" i="48"/>
  <c r="C573" i="48"/>
  <c r="I573" i="47"/>
  <c r="B574" i="47" s="1"/>
  <c r="G573" i="47"/>
  <c r="H573" i="47"/>
  <c r="D573" i="47"/>
  <c r="C573" i="47"/>
  <c r="I522" i="35"/>
  <c r="B523" i="35" s="1"/>
  <c r="D522" i="35"/>
  <c r="G522" i="35"/>
  <c r="C522" i="35"/>
  <c r="H522" i="35"/>
  <c r="D575" i="55" l="1"/>
  <c r="C575" i="55"/>
  <c r="I575" i="55"/>
  <c r="B576" i="55" s="1"/>
  <c r="H575" i="55"/>
  <c r="G575" i="55"/>
  <c r="C575" i="54"/>
  <c r="I575" i="54"/>
  <c r="B576" i="54" s="1"/>
  <c r="H575" i="54"/>
  <c r="G575" i="54"/>
  <c r="D575" i="54"/>
  <c r="D575" i="53"/>
  <c r="I575" i="53"/>
  <c r="B576" i="53" s="1"/>
  <c r="H575" i="53"/>
  <c r="G575" i="53"/>
  <c r="C575" i="53"/>
  <c r="D575" i="52"/>
  <c r="C575" i="52"/>
  <c r="I575" i="52"/>
  <c r="B576" i="52" s="1"/>
  <c r="H575" i="52"/>
  <c r="G575" i="52"/>
  <c r="I575" i="51"/>
  <c r="B576" i="51" s="1"/>
  <c r="H575" i="51"/>
  <c r="G575" i="51"/>
  <c r="C575" i="51"/>
  <c r="D575" i="51"/>
  <c r="I574" i="50"/>
  <c r="B575" i="50" s="1"/>
  <c r="H574" i="50"/>
  <c r="G574" i="50"/>
  <c r="D574" i="50"/>
  <c r="C574" i="50"/>
  <c r="C574" i="49"/>
  <c r="I574" i="49"/>
  <c r="B575" i="49" s="1"/>
  <c r="G574" i="49"/>
  <c r="D574" i="49"/>
  <c r="H574" i="49"/>
  <c r="I574" i="48"/>
  <c r="B575" i="48" s="1"/>
  <c r="H574" i="48"/>
  <c r="G574" i="48"/>
  <c r="C574" i="48"/>
  <c r="D574" i="48"/>
  <c r="C574" i="47"/>
  <c r="I574" i="47"/>
  <c r="B575" i="47" s="1"/>
  <c r="H574" i="47"/>
  <c r="G574" i="47"/>
  <c r="D574" i="47"/>
  <c r="C523" i="35"/>
  <c r="H523" i="35"/>
  <c r="D523" i="35"/>
  <c r="I523" i="35"/>
  <c r="B524" i="35" s="1"/>
  <c r="G523" i="35"/>
  <c r="H576" i="55" l="1"/>
  <c r="G576" i="55"/>
  <c r="D576" i="55"/>
  <c r="C576" i="55"/>
  <c r="I576" i="55"/>
  <c r="B577" i="55" s="1"/>
  <c r="G576" i="54"/>
  <c r="D576" i="54"/>
  <c r="C576" i="54"/>
  <c r="I576" i="54"/>
  <c r="B577" i="54" s="1"/>
  <c r="H576" i="54"/>
  <c r="H576" i="53"/>
  <c r="D576" i="53"/>
  <c r="C576" i="53"/>
  <c r="G576" i="53"/>
  <c r="I576" i="53"/>
  <c r="B577" i="53" s="1"/>
  <c r="H576" i="52"/>
  <c r="G576" i="52"/>
  <c r="D576" i="52"/>
  <c r="C576" i="52"/>
  <c r="I576" i="52"/>
  <c r="B577" i="52" s="1"/>
  <c r="I576" i="51"/>
  <c r="B577" i="51" s="1"/>
  <c r="G576" i="51"/>
  <c r="H576" i="51"/>
  <c r="D576" i="51"/>
  <c r="C576" i="51"/>
  <c r="I575" i="50"/>
  <c r="B576" i="50" s="1"/>
  <c r="H575" i="50"/>
  <c r="G575" i="50"/>
  <c r="D575" i="50"/>
  <c r="C575" i="50"/>
  <c r="G575" i="49"/>
  <c r="D575" i="49"/>
  <c r="C575" i="49"/>
  <c r="I575" i="49"/>
  <c r="B576" i="49" s="1"/>
  <c r="H575" i="49"/>
  <c r="C575" i="48"/>
  <c r="I575" i="48"/>
  <c r="B576" i="48" s="1"/>
  <c r="G575" i="48"/>
  <c r="H575" i="48"/>
  <c r="D575" i="48"/>
  <c r="G575" i="47"/>
  <c r="D575" i="47"/>
  <c r="C575" i="47"/>
  <c r="I575" i="47"/>
  <c r="B576" i="47" s="1"/>
  <c r="H575" i="47"/>
  <c r="D524" i="35"/>
  <c r="C524" i="35"/>
  <c r="I524" i="35"/>
  <c r="B525" i="35" s="1"/>
  <c r="H524" i="35"/>
  <c r="G524" i="35"/>
  <c r="I577" i="55" l="1"/>
  <c r="B578" i="55" s="1"/>
  <c r="H577" i="55"/>
  <c r="G577" i="55"/>
  <c r="D577" i="55"/>
  <c r="C577" i="55"/>
  <c r="I577" i="54"/>
  <c r="B578" i="54" s="1"/>
  <c r="H577" i="54"/>
  <c r="G577" i="54"/>
  <c r="D577" i="54"/>
  <c r="C577" i="54"/>
  <c r="G577" i="53"/>
  <c r="I577" i="53"/>
  <c r="B578" i="53" s="1"/>
  <c r="H577" i="53"/>
  <c r="D577" i="53"/>
  <c r="C577" i="53"/>
  <c r="I577" i="52"/>
  <c r="B578" i="52" s="1"/>
  <c r="H577" i="52"/>
  <c r="G577" i="52"/>
  <c r="D577" i="52"/>
  <c r="C577" i="52"/>
  <c r="D577" i="51"/>
  <c r="C577" i="51"/>
  <c r="I577" i="51"/>
  <c r="B578" i="51" s="1"/>
  <c r="G577" i="51"/>
  <c r="H577" i="51"/>
  <c r="D576" i="50"/>
  <c r="C576" i="50"/>
  <c r="I576" i="50"/>
  <c r="B577" i="50" s="1"/>
  <c r="H576" i="50"/>
  <c r="G576" i="50"/>
  <c r="I576" i="49"/>
  <c r="B577" i="49" s="1"/>
  <c r="H576" i="49"/>
  <c r="G576" i="49"/>
  <c r="D576" i="49"/>
  <c r="C576" i="49"/>
  <c r="G576" i="48"/>
  <c r="D576" i="48"/>
  <c r="C576" i="48"/>
  <c r="I576" i="48"/>
  <c r="B577" i="48" s="1"/>
  <c r="H576" i="48"/>
  <c r="I576" i="47"/>
  <c r="B577" i="47" s="1"/>
  <c r="H576" i="47"/>
  <c r="G576" i="47"/>
  <c r="C576" i="47"/>
  <c r="D576" i="47"/>
  <c r="H525" i="35"/>
  <c r="G525" i="35"/>
  <c r="C525" i="35"/>
  <c r="D525" i="35"/>
  <c r="I525" i="35"/>
  <c r="B526" i="35" s="1"/>
  <c r="I578" i="55" l="1"/>
  <c r="B579" i="55" s="1"/>
  <c r="H578" i="55"/>
  <c r="G578" i="55"/>
  <c r="D578" i="55"/>
  <c r="C578" i="55"/>
  <c r="I578" i="54"/>
  <c r="B579" i="54" s="1"/>
  <c r="H578" i="54"/>
  <c r="G578" i="54"/>
  <c r="D578" i="54"/>
  <c r="C578" i="54"/>
  <c r="D578" i="53"/>
  <c r="I578" i="53"/>
  <c r="B579" i="53" s="1"/>
  <c r="G578" i="53"/>
  <c r="H578" i="53"/>
  <c r="C578" i="53"/>
  <c r="I578" i="52"/>
  <c r="B579" i="52" s="1"/>
  <c r="H578" i="52"/>
  <c r="G578" i="52"/>
  <c r="D578" i="52"/>
  <c r="C578" i="52"/>
  <c r="H578" i="51"/>
  <c r="G578" i="51"/>
  <c r="D578" i="51"/>
  <c r="C578" i="51"/>
  <c r="I578" i="51"/>
  <c r="B579" i="51" s="1"/>
  <c r="H577" i="50"/>
  <c r="G577" i="50"/>
  <c r="D577" i="50"/>
  <c r="C577" i="50"/>
  <c r="I577" i="50"/>
  <c r="B578" i="50" s="1"/>
  <c r="I577" i="49"/>
  <c r="B578" i="49" s="1"/>
  <c r="H577" i="49"/>
  <c r="G577" i="49"/>
  <c r="C577" i="49"/>
  <c r="D577" i="49"/>
  <c r="I577" i="48"/>
  <c r="B578" i="48" s="1"/>
  <c r="H577" i="48"/>
  <c r="G577" i="48"/>
  <c r="D577" i="48"/>
  <c r="C577" i="48"/>
  <c r="I577" i="47"/>
  <c r="B578" i="47" s="1"/>
  <c r="G577" i="47"/>
  <c r="H577" i="47"/>
  <c r="D577" i="47"/>
  <c r="C577" i="47"/>
  <c r="I526" i="35"/>
  <c r="B527" i="35" s="1"/>
  <c r="D526" i="35"/>
  <c r="G526" i="35"/>
  <c r="C526" i="35"/>
  <c r="H526" i="35"/>
  <c r="D579" i="55" l="1"/>
  <c r="C579" i="55"/>
  <c r="I579" i="55"/>
  <c r="B580" i="55" s="1"/>
  <c r="H579" i="55"/>
  <c r="G579" i="55"/>
  <c r="C579" i="54"/>
  <c r="I579" i="54"/>
  <c r="B580" i="54" s="1"/>
  <c r="H579" i="54"/>
  <c r="G579" i="54"/>
  <c r="D579" i="54"/>
  <c r="H579" i="53"/>
  <c r="I579" i="53"/>
  <c r="B580" i="53" s="1"/>
  <c r="G579" i="53"/>
  <c r="D579" i="53"/>
  <c r="C579" i="53"/>
  <c r="D579" i="52"/>
  <c r="C579" i="52"/>
  <c r="I579" i="52"/>
  <c r="B580" i="52" s="1"/>
  <c r="H579" i="52"/>
  <c r="G579" i="52"/>
  <c r="I579" i="51"/>
  <c r="B580" i="51" s="1"/>
  <c r="H579" i="51"/>
  <c r="G579" i="51"/>
  <c r="C579" i="51"/>
  <c r="D579" i="51"/>
  <c r="I578" i="50"/>
  <c r="B579" i="50" s="1"/>
  <c r="H578" i="50"/>
  <c r="G578" i="50"/>
  <c r="D578" i="50"/>
  <c r="C578" i="50"/>
  <c r="C578" i="49"/>
  <c r="I578" i="49"/>
  <c r="B579" i="49" s="1"/>
  <c r="G578" i="49"/>
  <c r="D578" i="49"/>
  <c r="H578" i="49"/>
  <c r="I578" i="48"/>
  <c r="B579" i="48" s="1"/>
  <c r="H578" i="48"/>
  <c r="G578" i="48"/>
  <c r="C578" i="48"/>
  <c r="D578" i="48"/>
  <c r="C578" i="47"/>
  <c r="I578" i="47"/>
  <c r="B579" i="47" s="1"/>
  <c r="H578" i="47"/>
  <c r="G578" i="47"/>
  <c r="D578" i="47"/>
  <c r="C527" i="35"/>
  <c r="H527" i="35"/>
  <c r="I527" i="35"/>
  <c r="B528" i="35" s="1"/>
  <c r="D527" i="35"/>
  <c r="G527" i="35"/>
  <c r="H580" i="55" l="1"/>
  <c r="G580" i="55"/>
  <c r="D580" i="55"/>
  <c r="C580" i="55"/>
  <c r="I580" i="55"/>
  <c r="B581" i="55" s="1"/>
  <c r="G580" i="54"/>
  <c r="D580" i="54"/>
  <c r="C580" i="54"/>
  <c r="I580" i="54"/>
  <c r="B581" i="54" s="1"/>
  <c r="H580" i="54"/>
  <c r="C580" i="53"/>
  <c r="D580" i="53"/>
  <c r="I580" i="53"/>
  <c r="B581" i="53" s="1"/>
  <c r="H580" i="53"/>
  <c r="G580" i="53"/>
  <c r="H580" i="52"/>
  <c r="G580" i="52"/>
  <c r="D580" i="52"/>
  <c r="C580" i="52"/>
  <c r="I580" i="52"/>
  <c r="B581" i="52" s="1"/>
  <c r="I580" i="51"/>
  <c r="B581" i="51" s="1"/>
  <c r="G580" i="51"/>
  <c r="H580" i="51"/>
  <c r="D580" i="51"/>
  <c r="C580" i="51"/>
  <c r="I579" i="50"/>
  <c r="B580" i="50" s="1"/>
  <c r="H579" i="50"/>
  <c r="G579" i="50"/>
  <c r="D579" i="50"/>
  <c r="C579" i="50"/>
  <c r="G579" i="49"/>
  <c r="D579" i="49"/>
  <c r="C579" i="49"/>
  <c r="I579" i="49"/>
  <c r="B580" i="49" s="1"/>
  <c r="H579" i="49"/>
  <c r="C579" i="48"/>
  <c r="I579" i="48"/>
  <c r="B580" i="48" s="1"/>
  <c r="G579" i="48"/>
  <c r="H579" i="48"/>
  <c r="D579" i="48"/>
  <c r="G579" i="47"/>
  <c r="D579" i="47"/>
  <c r="C579" i="47"/>
  <c r="I579" i="47"/>
  <c r="B580" i="47" s="1"/>
  <c r="H579" i="47"/>
  <c r="D528" i="35"/>
  <c r="C528" i="35"/>
  <c r="G528" i="35"/>
  <c r="I528" i="35"/>
  <c r="B529" i="35" s="1"/>
  <c r="H528" i="35"/>
  <c r="I581" i="55" l="1"/>
  <c r="B582" i="55" s="1"/>
  <c r="H581" i="55"/>
  <c r="G581" i="55"/>
  <c r="D581" i="55"/>
  <c r="C581" i="55"/>
  <c r="I581" i="54"/>
  <c r="B582" i="54" s="1"/>
  <c r="H581" i="54"/>
  <c r="G581" i="54"/>
  <c r="D581" i="54"/>
  <c r="C581" i="54"/>
  <c r="G581" i="53"/>
  <c r="H581" i="53"/>
  <c r="D581" i="53"/>
  <c r="C581" i="53"/>
  <c r="I581" i="53"/>
  <c r="B582" i="53" s="1"/>
  <c r="I581" i="52"/>
  <c r="B582" i="52" s="1"/>
  <c r="H581" i="52"/>
  <c r="G581" i="52"/>
  <c r="D581" i="52"/>
  <c r="C581" i="52"/>
  <c r="D581" i="51"/>
  <c r="C581" i="51"/>
  <c r="I581" i="51"/>
  <c r="B582" i="51" s="1"/>
  <c r="H581" i="51"/>
  <c r="G581" i="51"/>
  <c r="D580" i="50"/>
  <c r="C580" i="50"/>
  <c r="I580" i="50"/>
  <c r="B581" i="50" s="1"/>
  <c r="H580" i="50"/>
  <c r="G580" i="50"/>
  <c r="I580" i="49"/>
  <c r="B581" i="49" s="1"/>
  <c r="H580" i="49"/>
  <c r="G580" i="49"/>
  <c r="D580" i="49"/>
  <c r="C580" i="49"/>
  <c r="G580" i="48"/>
  <c r="D580" i="48"/>
  <c r="C580" i="48"/>
  <c r="I580" i="48"/>
  <c r="B581" i="48" s="1"/>
  <c r="H580" i="48"/>
  <c r="I580" i="47"/>
  <c r="B581" i="47" s="1"/>
  <c r="H580" i="47"/>
  <c r="G580" i="47"/>
  <c r="C580" i="47"/>
  <c r="D580" i="47"/>
  <c r="H529" i="35"/>
  <c r="G529" i="35"/>
  <c r="C529" i="35"/>
  <c r="I529" i="35"/>
  <c r="B530" i="35" s="1"/>
  <c r="D529" i="35"/>
  <c r="I582" i="55" l="1"/>
  <c r="B583" i="55" s="1"/>
  <c r="H582" i="55"/>
  <c r="G582" i="55"/>
  <c r="D582" i="55"/>
  <c r="C582" i="55"/>
  <c r="I582" i="54"/>
  <c r="B583" i="54" s="1"/>
  <c r="H582" i="54"/>
  <c r="G582" i="54"/>
  <c r="D582" i="54"/>
  <c r="C582" i="54"/>
  <c r="D582" i="53"/>
  <c r="I582" i="53"/>
  <c r="B583" i="53" s="1"/>
  <c r="H582" i="53"/>
  <c r="C582" i="53"/>
  <c r="G582" i="53"/>
  <c r="I582" i="52"/>
  <c r="B583" i="52" s="1"/>
  <c r="H582" i="52"/>
  <c r="G582" i="52"/>
  <c r="D582" i="52"/>
  <c r="C582" i="52"/>
  <c r="H582" i="51"/>
  <c r="G582" i="51"/>
  <c r="D582" i="51"/>
  <c r="C582" i="51"/>
  <c r="I582" i="51"/>
  <c r="B583" i="51" s="1"/>
  <c r="H581" i="50"/>
  <c r="G581" i="50"/>
  <c r="D581" i="50"/>
  <c r="C581" i="50"/>
  <c r="I581" i="50"/>
  <c r="B582" i="50" s="1"/>
  <c r="I581" i="49"/>
  <c r="B582" i="49" s="1"/>
  <c r="H581" i="49"/>
  <c r="G581" i="49"/>
  <c r="C581" i="49"/>
  <c r="D581" i="49"/>
  <c r="I581" i="48"/>
  <c r="B582" i="48" s="1"/>
  <c r="H581" i="48"/>
  <c r="G581" i="48"/>
  <c r="D581" i="48"/>
  <c r="C581" i="48"/>
  <c r="I581" i="47"/>
  <c r="B582" i="47" s="1"/>
  <c r="G581" i="47"/>
  <c r="H581" i="47"/>
  <c r="D581" i="47"/>
  <c r="C581" i="47"/>
  <c r="I530" i="35"/>
  <c r="B531" i="35" s="1"/>
  <c r="D530" i="35"/>
  <c r="G530" i="35"/>
  <c r="C530" i="35"/>
  <c r="H530" i="35"/>
  <c r="D583" i="55" l="1"/>
  <c r="C583" i="55"/>
  <c r="I583" i="55"/>
  <c r="B584" i="55" s="1"/>
  <c r="H583" i="55"/>
  <c r="G583" i="55"/>
  <c r="C583" i="54"/>
  <c r="I583" i="54"/>
  <c r="B584" i="54" s="1"/>
  <c r="H583" i="54"/>
  <c r="G583" i="54"/>
  <c r="D583" i="54"/>
  <c r="H583" i="53"/>
  <c r="I583" i="53"/>
  <c r="B584" i="53" s="1"/>
  <c r="D583" i="53"/>
  <c r="C583" i="53"/>
  <c r="G583" i="53"/>
  <c r="D583" i="52"/>
  <c r="C583" i="52"/>
  <c r="I583" i="52"/>
  <c r="B584" i="52" s="1"/>
  <c r="H583" i="52"/>
  <c r="G583" i="52"/>
  <c r="I583" i="51"/>
  <c r="B584" i="51" s="1"/>
  <c r="H583" i="51"/>
  <c r="G583" i="51"/>
  <c r="C583" i="51"/>
  <c r="D583" i="51"/>
  <c r="I582" i="50"/>
  <c r="B583" i="50" s="1"/>
  <c r="H582" i="50"/>
  <c r="G582" i="50"/>
  <c r="D582" i="50"/>
  <c r="C582" i="50"/>
  <c r="C582" i="49"/>
  <c r="I582" i="49"/>
  <c r="B583" i="49" s="1"/>
  <c r="G582" i="49"/>
  <c r="H582" i="49"/>
  <c r="D582" i="49"/>
  <c r="I582" i="48"/>
  <c r="B583" i="48" s="1"/>
  <c r="H582" i="48"/>
  <c r="G582" i="48"/>
  <c r="C582" i="48"/>
  <c r="D582" i="48"/>
  <c r="C582" i="47"/>
  <c r="I582" i="47"/>
  <c r="B583" i="47" s="1"/>
  <c r="H582" i="47"/>
  <c r="G582" i="47"/>
  <c r="D582" i="47"/>
  <c r="C531" i="35"/>
  <c r="H531" i="35"/>
  <c r="G531" i="35"/>
  <c r="D531" i="35"/>
  <c r="I531" i="35"/>
  <c r="B532" i="35" s="1"/>
  <c r="H584" i="55" l="1"/>
  <c r="G584" i="55"/>
  <c r="D584" i="55"/>
  <c r="C584" i="55"/>
  <c r="I584" i="55"/>
  <c r="B585" i="55" s="1"/>
  <c r="G584" i="54"/>
  <c r="D584" i="54"/>
  <c r="C584" i="54"/>
  <c r="I584" i="54"/>
  <c r="B585" i="54" s="1"/>
  <c r="H584" i="54"/>
  <c r="C584" i="53"/>
  <c r="I584" i="53"/>
  <c r="B585" i="53" s="1"/>
  <c r="H584" i="53"/>
  <c r="G584" i="53"/>
  <c r="D584" i="53"/>
  <c r="H584" i="52"/>
  <c r="G584" i="52"/>
  <c r="D584" i="52"/>
  <c r="C584" i="52"/>
  <c r="I584" i="52"/>
  <c r="B585" i="52" s="1"/>
  <c r="I584" i="51"/>
  <c r="B585" i="51" s="1"/>
  <c r="G584" i="51"/>
  <c r="D584" i="51"/>
  <c r="C584" i="51"/>
  <c r="H584" i="51"/>
  <c r="I583" i="50"/>
  <c r="B584" i="50" s="1"/>
  <c r="H583" i="50"/>
  <c r="G583" i="50"/>
  <c r="D583" i="50"/>
  <c r="C583" i="50"/>
  <c r="G583" i="49"/>
  <c r="D583" i="49"/>
  <c r="C583" i="49"/>
  <c r="I583" i="49"/>
  <c r="B584" i="49" s="1"/>
  <c r="H583" i="49"/>
  <c r="C583" i="48"/>
  <c r="I583" i="48"/>
  <c r="B584" i="48" s="1"/>
  <c r="G583" i="48"/>
  <c r="H583" i="48"/>
  <c r="D583" i="48"/>
  <c r="G583" i="47"/>
  <c r="D583" i="47"/>
  <c r="C583" i="47"/>
  <c r="I583" i="47"/>
  <c r="B584" i="47" s="1"/>
  <c r="H583" i="47"/>
  <c r="C532" i="35"/>
  <c r="G532" i="35"/>
  <c r="D532" i="35"/>
  <c r="I532" i="35"/>
  <c r="B533" i="35" s="1"/>
  <c r="H532" i="35"/>
  <c r="I585" i="55" l="1"/>
  <c r="B586" i="55" s="1"/>
  <c r="H585" i="55"/>
  <c r="G585" i="55"/>
  <c r="D585" i="55"/>
  <c r="C585" i="55"/>
  <c r="I585" i="54"/>
  <c r="B586" i="54" s="1"/>
  <c r="H585" i="54"/>
  <c r="G585" i="54"/>
  <c r="D585" i="54"/>
  <c r="C585" i="54"/>
  <c r="G585" i="53"/>
  <c r="H585" i="53"/>
  <c r="C585" i="53"/>
  <c r="I585" i="53"/>
  <c r="B586" i="53" s="1"/>
  <c r="D585" i="53"/>
  <c r="I585" i="52"/>
  <c r="B586" i="52" s="1"/>
  <c r="H585" i="52"/>
  <c r="G585" i="52"/>
  <c r="D585" i="52"/>
  <c r="C585" i="52"/>
  <c r="D585" i="51"/>
  <c r="C585" i="51"/>
  <c r="I585" i="51"/>
  <c r="B586" i="51" s="1"/>
  <c r="G585" i="51"/>
  <c r="H585" i="51"/>
  <c r="D584" i="50"/>
  <c r="C584" i="50"/>
  <c r="I584" i="50"/>
  <c r="B585" i="50" s="1"/>
  <c r="H584" i="50"/>
  <c r="G584" i="50"/>
  <c r="I584" i="49"/>
  <c r="B585" i="49" s="1"/>
  <c r="H584" i="49"/>
  <c r="G584" i="49"/>
  <c r="D584" i="49"/>
  <c r="C584" i="49"/>
  <c r="G584" i="48"/>
  <c r="D584" i="48"/>
  <c r="C584" i="48"/>
  <c r="I584" i="48"/>
  <c r="B585" i="48" s="1"/>
  <c r="H584" i="48"/>
  <c r="I584" i="47"/>
  <c r="B585" i="47" s="1"/>
  <c r="H584" i="47"/>
  <c r="G584" i="47"/>
  <c r="C584" i="47"/>
  <c r="D584" i="47"/>
  <c r="H533" i="35"/>
  <c r="G533" i="35"/>
  <c r="D533" i="35"/>
  <c r="C533" i="35"/>
  <c r="I533" i="35"/>
  <c r="B534" i="35" s="1"/>
  <c r="I586" i="55" l="1"/>
  <c r="B587" i="55" s="1"/>
  <c r="H586" i="55"/>
  <c r="G586" i="55"/>
  <c r="D586" i="55"/>
  <c r="C586" i="55"/>
  <c r="I586" i="54"/>
  <c r="B587" i="54" s="1"/>
  <c r="H586" i="54"/>
  <c r="G586" i="54"/>
  <c r="D586" i="54"/>
  <c r="C586" i="54"/>
  <c r="D586" i="53"/>
  <c r="I586" i="53"/>
  <c r="B587" i="53" s="1"/>
  <c r="H586" i="53"/>
  <c r="G586" i="53"/>
  <c r="C586" i="53"/>
  <c r="I586" i="52"/>
  <c r="B587" i="52" s="1"/>
  <c r="H586" i="52"/>
  <c r="G586" i="52"/>
  <c r="D586" i="52"/>
  <c r="C586" i="52"/>
  <c r="H586" i="51"/>
  <c r="G586" i="51"/>
  <c r="D586" i="51"/>
  <c r="C586" i="51"/>
  <c r="I586" i="51"/>
  <c r="B587" i="51" s="1"/>
  <c r="H585" i="50"/>
  <c r="G585" i="50"/>
  <c r="D585" i="50"/>
  <c r="C585" i="50"/>
  <c r="I585" i="50"/>
  <c r="B586" i="50" s="1"/>
  <c r="I585" i="49"/>
  <c r="B586" i="49" s="1"/>
  <c r="H585" i="49"/>
  <c r="G585" i="49"/>
  <c r="C585" i="49"/>
  <c r="D585" i="49"/>
  <c r="I585" i="48"/>
  <c r="B586" i="48" s="1"/>
  <c r="H585" i="48"/>
  <c r="G585" i="48"/>
  <c r="D585" i="48"/>
  <c r="C585" i="48"/>
  <c r="I585" i="47"/>
  <c r="B586" i="47" s="1"/>
  <c r="G585" i="47"/>
  <c r="H585" i="47"/>
  <c r="D585" i="47"/>
  <c r="C585" i="47"/>
  <c r="D534" i="35"/>
  <c r="I534" i="35"/>
  <c r="B535" i="35" s="1"/>
  <c r="G534" i="35"/>
  <c r="H534" i="35"/>
  <c r="C534" i="35"/>
  <c r="D587" i="55" l="1"/>
  <c r="C587" i="55"/>
  <c r="I587" i="55"/>
  <c r="B588" i="55" s="1"/>
  <c r="H587" i="55"/>
  <c r="G587" i="55"/>
  <c r="C587" i="54"/>
  <c r="I587" i="54"/>
  <c r="B588" i="54" s="1"/>
  <c r="H587" i="54"/>
  <c r="G587" i="54"/>
  <c r="D587" i="54"/>
  <c r="H587" i="53"/>
  <c r="D587" i="53"/>
  <c r="C587" i="53"/>
  <c r="I587" i="53"/>
  <c r="B588" i="53" s="1"/>
  <c r="G587" i="53"/>
  <c r="D587" i="52"/>
  <c r="C587" i="52"/>
  <c r="I587" i="52"/>
  <c r="B588" i="52" s="1"/>
  <c r="H587" i="52"/>
  <c r="G587" i="52"/>
  <c r="I587" i="51"/>
  <c r="B588" i="51" s="1"/>
  <c r="H587" i="51"/>
  <c r="G587" i="51"/>
  <c r="C587" i="51"/>
  <c r="D587" i="51"/>
  <c r="I586" i="50"/>
  <c r="B587" i="50" s="1"/>
  <c r="H586" i="50"/>
  <c r="G586" i="50"/>
  <c r="D586" i="50"/>
  <c r="C586" i="50"/>
  <c r="D586" i="49"/>
  <c r="I586" i="49"/>
  <c r="B587" i="49" s="1"/>
  <c r="C586" i="49"/>
  <c r="H586" i="49"/>
  <c r="G586" i="49"/>
  <c r="I586" i="48"/>
  <c r="B587" i="48" s="1"/>
  <c r="H586" i="48"/>
  <c r="G586" i="48"/>
  <c r="C586" i="48"/>
  <c r="D586" i="48"/>
  <c r="C586" i="47"/>
  <c r="I586" i="47"/>
  <c r="B587" i="47" s="1"/>
  <c r="H586" i="47"/>
  <c r="G586" i="47"/>
  <c r="D586" i="47"/>
  <c r="C535" i="35"/>
  <c r="H535" i="35"/>
  <c r="I535" i="35"/>
  <c r="B536" i="35" s="1"/>
  <c r="D535" i="35"/>
  <c r="G535" i="35"/>
  <c r="H588" i="55" l="1"/>
  <c r="G588" i="55"/>
  <c r="D588" i="55"/>
  <c r="C588" i="55"/>
  <c r="I588" i="55"/>
  <c r="B589" i="55" s="1"/>
  <c r="G588" i="54"/>
  <c r="D588" i="54"/>
  <c r="C588" i="54"/>
  <c r="I588" i="54"/>
  <c r="B589" i="54" s="1"/>
  <c r="H588" i="54"/>
  <c r="C588" i="53"/>
  <c r="H588" i="53"/>
  <c r="G588" i="53"/>
  <c r="D588" i="53"/>
  <c r="I588" i="53"/>
  <c r="B589" i="53" s="1"/>
  <c r="H588" i="52"/>
  <c r="G588" i="52"/>
  <c r="D588" i="52"/>
  <c r="C588" i="52"/>
  <c r="I588" i="52"/>
  <c r="B589" i="52" s="1"/>
  <c r="I588" i="51"/>
  <c r="B589" i="51" s="1"/>
  <c r="G588" i="51"/>
  <c r="C588" i="51"/>
  <c r="H588" i="51"/>
  <c r="D588" i="51"/>
  <c r="I587" i="50"/>
  <c r="B588" i="50" s="1"/>
  <c r="H587" i="50"/>
  <c r="G587" i="50"/>
  <c r="D587" i="50"/>
  <c r="C587" i="50"/>
  <c r="I587" i="49"/>
  <c r="B588" i="49" s="1"/>
  <c r="H587" i="49"/>
  <c r="D587" i="49"/>
  <c r="C587" i="49"/>
  <c r="G587" i="49"/>
  <c r="C587" i="48"/>
  <c r="I587" i="48"/>
  <c r="B588" i="48" s="1"/>
  <c r="G587" i="48"/>
  <c r="H587" i="48"/>
  <c r="D587" i="48"/>
  <c r="G587" i="47"/>
  <c r="D587" i="47"/>
  <c r="C587" i="47"/>
  <c r="I587" i="47"/>
  <c r="B588" i="47" s="1"/>
  <c r="H587" i="47"/>
  <c r="C536" i="35"/>
  <c r="D536" i="35"/>
  <c r="I536" i="35"/>
  <c r="B537" i="35" s="1"/>
  <c r="G536" i="35"/>
  <c r="H536" i="35"/>
  <c r="I589" i="55" l="1"/>
  <c r="B590" i="55" s="1"/>
  <c r="H589" i="55"/>
  <c r="G589" i="55"/>
  <c r="D589" i="55"/>
  <c r="C589" i="55"/>
  <c r="I589" i="54"/>
  <c r="B590" i="54" s="1"/>
  <c r="H589" i="54"/>
  <c r="G589" i="54"/>
  <c r="D589" i="54"/>
  <c r="C589" i="54"/>
  <c r="G589" i="53"/>
  <c r="C589" i="53"/>
  <c r="I589" i="53"/>
  <c r="B590" i="53" s="1"/>
  <c r="H589" i="53"/>
  <c r="D589" i="53"/>
  <c r="I589" i="52"/>
  <c r="B590" i="52" s="1"/>
  <c r="H589" i="52"/>
  <c r="G589" i="52"/>
  <c r="D589" i="52"/>
  <c r="C589" i="52"/>
  <c r="D589" i="51"/>
  <c r="C589" i="51"/>
  <c r="I589" i="51"/>
  <c r="B590" i="51" s="1"/>
  <c r="H589" i="51"/>
  <c r="G589" i="51"/>
  <c r="D588" i="50"/>
  <c r="C588" i="50"/>
  <c r="I588" i="50"/>
  <c r="B589" i="50" s="1"/>
  <c r="H588" i="50"/>
  <c r="G588" i="50"/>
  <c r="H588" i="49"/>
  <c r="G588" i="49"/>
  <c r="C588" i="49"/>
  <c r="I588" i="49"/>
  <c r="B589" i="49" s="1"/>
  <c r="D588" i="49"/>
  <c r="G588" i="48"/>
  <c r="D588" i="48"/>
  <c r="C588" i="48"/>
  <c r="I588" i="48"/>
  <c r="B589" i="48" s="1"/>
  <c r="H588" i="48"/>
  <c r="I588" i="47"/>
  <c r="B589" i="47" s="1"/>
  <c r="H588" i="47"/>
  <c r="G588" i="47"/>
  <c r="C588" i="47"/>
  <c r="D588" i="47"/>
  <c r="H537" i="35"/>
  <c r="G537" i="35"/>
  <c r="I537" i="35"/>
  <c r="B538" i="35" s="1"/>
  <c r="D537" i="35"/>
  <c r="C537" i="35"/>
  <c r="I590" i="55" l="1"/>
  <c r="B591" i="55" s="1"/>
  <c r="H590" i="55"/>
  <c r="G590" i="55"/>
  <c r="D590" i="55"/>
  <c r="C590" i="55"/>
  <c r="I590" i="54"/>
  <c r="B591" i="54" s="1"/>
  <c r="H590" i="54"/>
  <c r="G590" i="54"/>
  <c r="D590" i="54"/>
  <c r="C590" i="54"/>
  <c r="D590" i="53"/>
  <c r="I590" i="53"/>
  <c r="B591" i="53" s="1"/>
  <c r="G590" i="53"/>
  <c r="C590" i="53"/>
  <c r="H590" i="53"/>
  <c r="I590" i="52"/>
  <c r="B591" i="52" s="1"/>
  <c r="H590" i="52"/>
  <c r="G590" i="52"/>
  <c r="D590" i="52"/>
  <c r="C590" i="52"/>
  <c r="H590" i="51"/>
  <c r="G590" i="51"/>
  <c r="D590" i="51"/>
  <c r="C590" i="51"/>
  <c r="I590" i="51"/>
  <c r="B591" i="51" s="1"/>
  <c r="H589" i="50"/>
  <c r="G589" i="50"/>
  <c r="D589" i="50"/>
  <c r="C589" i="50"/>
  <c r="I589" i="50"/>
  <c r="B590" i="50" s="1"/>
  <c r="C589" i="49"/>
  <c r="I589" i="49"/>
  <c r="B590" i="49" s="1"/>
  <c r="G589" i="49"/>
  <c r="D589" i="49"/>
  <c r="H589" i="49"/>
  <c r="I589" i="48"/>
  <c r="B590" i="48" s="1"/>
  <c r="H589" i="48"/>
  <c r="G589" i="48"/>
  <c r="D589" i="48"/>
  <c r="C589" i="48"/>
  <c r="I589" i="47"/>
  <c r="B590" i="47" s="1"/>
  <c r="G589" i="47"/>
  <c r="H589" i="47"/>
  <c r="D589" i="47"/>
  <c r="C589" i="47"/>
  <c r="I538" i="35"/>
  <c r="B539" i="35" s="1"/>
  <c r="C538" i="35"/>
  <c r="D538" i="35"/>
  <c r="H538" i="35"/>
  <c r="G538" i="35"/>
  <c r="D591" i="55" l="1"/>
  <c r="C591" i="55"/>
  <c r="I591" i="55"/>
  <c r="B592" i="55" s="1"/>
  <c r="H591" i="55"/>
  <c r="G591" i="55"/>
  <c r="C591" i="54"/>
  <c r="I591" i="54"/>
  <c r="B592" i="54" s="1"/>
  <c r="H591" i="54"/>
  <c r="G591" i="54"/>
  <c r="D591" i="54"/>
  <c r="H591" i="53"/>
  <c r="I591" i="53"/>
  <c r="B592" i="53" s="1"/>
  <c r="G591" i="53"/>
  <c r="D591" i="53"/>
  <c r="C591" i="53"/>
  <c r="D591" i="52"/>
  <c r="C591" i="52"/>
  <c r="I591" i="52"/>
  <c r="B592" i="52" s="1"/>
  <c r="H591" i="52"/>
  <c r="G591" i="52"/>
  <c r="I591" i="51"/>
  <c r="B592" i="51" s="1"/>
  <c r="H591" i="51"/>
  <c r="G591" i="51"/>
  <c r="C591" i="51"/>
  <c r="D591" i="51"/>
  <c r="I590" i="50"/>
  <c r="B591" i="50" s="1"/>
  <c r="H590" i="50"/>
  <c r="G590" i="50"/>
  <c r="D590" i="50"/>
  <c r="C590" i="50"/>
  <c r="G590" i="49"/>
  <c r="D590" i="49"/>
  <c r="I590" i="49"/>
  <c r="B591" i="49" s="1"/>
  <c r="C590" i="49"/>
  <c r="H590" i="49"/>
  <c r="I590" i="48"/>
  <c r="B591" i="48" s="1"/>
  <c r="H590" i="48"/>
  <c r="G590" i="48"/>
  <c r="C590" i="48"/>
  <c r="D590" i="48"/>
  <c r="C590" i="47"/>
  <c r="I590" i="47"/>
  <c r="B591" i="47" s="1"/>
  <c r="H590" i="47"/>
  <c r="G590" i="47"/>
  <c r="D590" i="47"/>
  <c r="C539" i="35"/>
  <c r="H539" i="35"/>
  <c r="I539" i="35"/>
  <c r="B540" i="35" s="1"/>
  <c r="D539" i="35"/>
  <c r="G539" i="35"/>
  <c r="H592" i="55" l="1"/>
  <c r="G592" i="55"/>
  <c r="D592" i="55"/>
  <c r="C592" i="55"/>
  <c r="I592" i="55"/>
  <c r="B593" i="55" s="1"/>
  <c r="G592" i="54"/>
  <c r="D592" i="54"/>
  <c r="C592" i="54"/>
  <c r="I592" i="54"/>
  <c r="B593" i="54" s="1"/>
  <c r="H592" i="54"/>
  <c r="C592" i="53"/>
  <c r="H592" i="53"/>
  <c r="D592" i="53"/>
  <c r="G592" i="53"/>
  <c r="I592" i="53"/>
  <c r="B593" i="53" s="1"/>
  <c r="H592" i="52"/>
  <c r="G592" i="52"/>
  <c r="D592" i="52"/>
  <c r="C592" i="52"/>
  <c r="I592" i="52"/>
  <c r="B593" i="52" s="1"/>
  <c r="I592" i="51"/>
  <c r="B593" i="51" s="1"/>
  <c r="G592" i="51"/>
  <c r="D592" i="51"/>
  <c r="H592" i="51"/>
  <c r="C592" i="51"/>
  <c r="I591" i="50"/>
  <c r="B592" i="50" s="1"/>
  <c r="H591" i="50"/>
  <c r="G591" i="50"/>
  <c r="D591" i="50"/>
  <c r="C591" i="50"/>
  <c r="I591" i="49"/>
  <c r="B592" i="49" s="1"/>
  <c r="H591" i="49"/>
  <c r="D591" i="49"/>
  <c r="C591" i="49"/>
  <c r="G591" i="49"/>
  <c r="C591" i="48"/>
  <c r="I591" i="48"/>
  <c r="B592" i="48" s="1"/>
  <c r="G591" i="48"/>
  <c r="H591" i="48"/>
  <c r="D591" i="48"/>
  <c r="G591" i="47"/>
  <c r="D591" i="47"/>
  <c r="C591" i="47"/>
  <c r="I591" i="47"/>
  <c r="B592" i="47" s="1"/>
  <c r="H591" i="47"/>
  <c r="D540" i="35"/>
  <c r="C540" i="35"/>
  <c r="H540" i="35"/>
  <c r="G540" i="35"/>
  <c r="I540" i="35"/>
  <c r="B541" i="35" s="1"/>
  <c r="I593" i="55" l="1"/>
  <c r="B594" i="55" s="1"/>
  <c r="H593" i="55"/>
  <c r="G593" i="55"/>
  <c r="D593" i="55"/>
  <c r="C593" i="55"/>
  <c r="I593" i="54"/>
  <c r="B594" i="54" s="1"/>
  <c r="H593" i="54"/>
  <c r="G593" i="54"/>
  <c r="D593" i="54"/>
  <c r="C593" i="54"/>
  <c r="G593" i="53"/>
  <c r="I593" i="53"/>
  <c r="B594" i="53" s="1"/>
  <c r="H593" i="53"/>
  <c r="D593" i="53"/>
  <c r="C593" i="53"/>
  <c r="I593" i="52"/>
  <c r="B594" i="52" s="1"/>
  <c r="H593" i="52"/>
  <c r="G593" i="52"/>
  <c r="D593" i="52"/>
  <c r="C593" i="52"/>
  <c r="D593" i="51"/>
  <c r="C593" i="51"/>
  <c r="I593" i="51"/>
  <c r="B594" i="51" s="1"/>
  <c r="H593" i="51"/>
  <c r="G593" i="51"/>
  <c r="D592" i="50"/>
  <c r="C592" i="50"/>
  <c r="I592" i="50"/>
  <c r="B593" i="50" s="1"/>
  <c r="H592" i="50"/>
  <c r="G592" i="50"/>
  <c r="H592" i="49"/>
  <c r="G592" i="49"/>
  <c r="C592" i="49"/>
  <c r="I592" i="49"/>
  <c r="B593" i="49" s="1"/>
  <c r="D592" i="49"/>
  <c r="G592" i="48"/>
  <c r="D592" i="48"/>
  <c r="C592" i="48"/>
  <c r="I592" i="48"/>
  <c r="B593" i="48" s="1"/>
  <c r="H592" i="48"/>
  <c r="I592" i="47"/>
  <c r="B593" i="47" s="1"/>
  <c r="H592" i="47"/>
  <c r="G592" i="47"/>
  <c r="C592" i="47"/>
  <c r="D592" i="47"/>
  <c r="G541" i="35"/>
  <c r="H541" i="35"/>
  <c r="C541" i="35"/>
  <c r="I541" i="35"/>
  <c r="B542" i="35" s="1"/>
  <c r="D541" i="35"/>
  <c r="I594" i="55" l="1"/>
  <c r="B595" i="55" s="1"/>
  <c r="H594" i="55"/>
  <c r="G594" i="55"/>
  <c r="D594" i="55"/>
  <c r="C594" i="55"/>
  <c r="I594" i="54"/>
  <c r="B595" i="54" s="1"/>
  <c r="H594" i="54"/>
  <c r="G594" i="54"/>
  <c r="D594" i="54"/>
  <c r="C594" i="54"/>
  <c r="D594" i="53"/>
  <c r="I594" i="53"/>
  <c r="B595" i="53" s="1"/>
  <c r="G594" i="53"/>
  <c r="H594" i="53"/>
  <c r="C594" i="53"/>
  <c r="I594" i="52"/>
  <c r="B595" i="52" s="1"/>
  <c r="H594" i="52"/>
  <c r="G594" i="52"/>
  <c r="D594" i="52"/>
  <c r="C594" i="52"/>
  <c r="H594" i="51"/>
  <c r="G594" i="51"/>
  <c r="D594" i="51"/>
  <c r="C594" i="51"/>
  <c r="I594" i="51"/>
  <c r="B595" i="51" s="1"/>
  <c r="H593" i="50"/>
  <c r="G593" i="50"/>
  <c r="D593" i="50"/>
  <c r="C593" i="50"/>
  <c r="I593" i="50"/>
  <c r="B594" i="50" s="1"/>
  <c r="C593" i="49"/>
  <c r="I593" i="49"/>
  <c r="B594" i="49" s="1"/>
  <c r="G593" i="49"/>
  <c r="H593" i="49"/>
  <c r="D593" i="49"/>
  <c r="I593" i="48"/>
  <c r="B594" i="48" s="1"/>
  <c r="H593" i="48"/>
  <c r="G593" i="48"/>
  <c r="D593" i="48"/>
  <c r="C593" i="48"/>
  <c r="I593" i="47"/>
  <c r="B594" i="47" s="1"/>
  <c r="G593" i="47"/>
  <c r="H593" i="47"/>
  <c r="D593" i="47"/>
  <c r="C593" i="47"/>
  <c r="I542" i="35"/>
  <c r="B543" i="35" s="1"/>
  <c r="D542" i="35"/>
  <c r="G542" i="35"/>
  <c r="C542" i="35"/>
  <c r="H542" i="35"/>
  <c r="D595" i="55" l="1"/>
  <c r="C595" i="55"/>
  <c r="I595" i="55"/>
  <c r="B596" i="55" s="1"/>
  <c r="H595" i="55"/>
  <c r="G595" i="55"/>
  <c r="C595" i="54"/>
  <c r="I595" i="54"/>
  <c r="B596" i="54" s="1"/>
  <c r="H595" i="54"/>
  <c r="G595" i="54"/>
  <c r="D595" i="54"/>
  <c r="H595" i="53"/>
  <c r="I595" i="53"/>
  <c r="B596" i="53" s="1"/>
  <c r="G595" i="53"/>
  <c r="D595" i="53"/>
  <c r="C595" i="53"/>
  <c r="D595" i="52"/>
  <c r="C595" i="52"/>
  <c r="I595" i="52"/>
  <c r="B596" i="52" s="1"/>
  <c r="H595" i="52"/>
  <c r="G595" i="52"/>
  <c r="I595" i="51"/>
  <c r="B596" i="51" s="1"/>
  <c r="H595" i="51"/>
  <c r="G595" i="51"/>
  <c r="C595" i="51"/>
  <c r="D595" i="51"/>
  <c r="I594" i="50"/>
  <c r="B595" i="50" s="1"/>
  <c r="H594" i="50"/>
  <c r="G594" i="50"/>
  <c r="D594" i="50"/>
  <c r="C594" i="50"/>
  <c r="G594" i="49"/>
  <c r="D594" i="49"/>
  <c r="I594" i="49"/>
  <c r="B595" i="49" s="1"/>
  <c r="H594" i="49"/>
  <c r="C594" i="49"/>
  <c r="I594" i="48"/>
  <c r="B595" i="48" s="1"/>
  <c r="H594" i="48"/>
  <c r="G594" i="48"/>
  <c r="C594" i="48"/>
  <c r="D594" i="48"/>
  <c r="C594" i="47"/>
  <c r="I594" i="47"/>
  <c r="B595" i="47" s="1"/>
  <c r="H594" i="47"/>
  <c r="G594" i="47"/>
  <c r="D594" i="47"/>
  <c r="C543" i="35"/>
  <c r="H543" i="35"/>
  <c r="G543" i="35"/>
  <c r="D543" i="35"/>
  <c r="I543" i="35"/>
  <c r="B544" i="35" s="1"/>
  <c r="H596" i="55" l="1"/>
  <c r="G596" i="55"/>
  <c r="D596" i="55"/>
  <c r="C596" i="55"/>
  <c r="I596" i="55"/>
  <c r="B597" i="55" s="1"/>
  <c r="G596" i="54"/>
  <c r="D596" i="54"/>
  <c r="C596" i="54"/>
  <c r="I596" i="54"/>
  <c r="B597" i="54" s="1"/>
  <c r="H596" i="54"/>
  <c r="C596" i="53"/>
  <c r="D596" i="53"/>
  <c r="I596" i="53"/>
  <c r="B597" i="53" s="1"/>
  <c r="G596" i="53"/>
  <c r="H596" i="53"/>
  <c r="H596" i="52"/>
  <c r="G596" i="52"/>
  <c r="D596" i="52"/>
  <c r="C596" i="52"/>
  <c r="I596" i="52"/>
  <c r="B597" i="52" s="1"/>
  <c r="I596" i="51"/>
  <c r="B597" i="51" s="1"/>
  <c r="G596" i="51"/>
  <c r="C596" i="51"/>
  <c r="H596" i="51"/>
  <c r="D596" i="51"/>
  <c r="I595" i="50"/>
  <c r="B596" i="50" s="1"/>
  <c r="H595" i="50"/>
  <c r="G595" i="50"/>
  <c r="D595" i="50"/>
  <c r="C595" i="50"/>
  <c r="I595" i="49"/>
  <c r="B596" i="49" s="1"/>
  <c r="H595" i="49"/>
  <c r="D595" i="49"/>
  <c r="C595" i="49"/>
  <c r="G595" i="49"/>
  <c r="C595" i="48"/>
  <c r="I595" i="48"/>
  <c r="B596" i="48" s="1"/>
  <c r="G595" i="48"/>
  <c r="H595" i="48"/>
  <c r="D595" i="48"/>
  <c r="G595" i="47"/>
  <c r="D595" i="47"/>
  <c r="C595" i="47"/>
  <c r="I595" i="47"/>
  <c r="B596" i="47" s="1"/>
  <c r="H595" i="47"/>
  <c r="D544" i="35"/>
  <c r="C544" i="35"/>
  <c r="I544" i="35"/>
  <c r="B545" i="35" s="1"/>
  <c r="H544" i="35"/>
  <c r="G544" i="35"/>
  <c r="I597" i="55" l="1"/>
  <c r="B598" i="55" s="1"/>
  <c r="H597" i="55"/>
  <c r="G597" i="55"/>
  <c r="D597" i="55"/>
  <c r="C597" i="55"/>
  <c r="I597" i="54"/>
  <c r="B598" i="54" s="1"/>
  <c r="H597" i="54"/>
  <c r="G597" i="54"/>
  <c r="D597" i="54"/>
  <c r="C597" i="54"/>
  <c r="G597" i="53"/>
  <c r="H597" i="53"/>
  <c r="D597" i="53"/>
  <c r="C597" i="53"/>
  <c r="I597" i="53"/>
  <c r="B598" i="53" s="1"/>
  <c r="I597" i="52"/>
  <c r="B598" i="52" s="1"/>
  <c r="H597" i="52"/>
  <c r="G597" i="52"/>
  <c r="D597" i="52"/>
  <c r="C597" i="52"/>
  <c r="D597" i="51"/>
  <c r="C597" i="51"/>
  <c r="I597" i="51"/>
  <c r="B598" i="51" s="1"/>
  <c r="H597" i="51"/>
  <c r="G597" i="51"/>
  <c r="D596" i="50"/>
  <c r="C596" i="50"/>
  <c r="I596" i="50"/>
  <c r="B597" i="50" s="1"/>
  <c r="H596" i="50"/>
  <c r="G596" i="50"/>
  <c r="H596" i="49"/>
  <c r="G596" i="49"/>
  <c r="C596" i="49"/>
  <c r="D596" i="49"/>
  <c r="I596" i="49"/>
  <c r="B597" i="49" s="1"/>
  <c r="G596" i="48"/>
  <c r="D596" i="48"/>
  <c r="C596" i="48"/>
  <c r="I596" i="48"/>
  <c r="B597" i="48" s="1"/>
  <c r="H596" i="48"/>
  <c r="I596" i="47"/>
  <c r="B597" i="47" s="1"/>
  <c r="H596" i="47"/>
  <c r="G596" i="47"/>
  <c r="C596" i="47"/>
  <c r="D596" i="47"/>
  <c r="H545" i="35"/>
  <c r="G545" i="35"/>
  <c r="C545" i="35"/>
  <c r="I545" i="35"/>
  <c r="B546" i="35" s="1"/>
  <c r="D545" i="35"/>
  <c r="I598" i="55" l="1"/>
  <c r="B599" i="55" s="1"/>
  <c r="H598" i="55"/>
  <c r="G598" i="55"/>
  <c r="D598" i="55"/>
  <c r="C598" i="55"/>
  <c r="I598" i="54"/>
  <c r="B599" i="54" s="1"/>
  <c r="H598" i="54"/>
  <c r="G598" i="54"/>
  <c r="D598" i="54"/>
  <c r="C598" i="54"/>
  <c r="D598" i="53"/>
  <c r="I598" i="53"/>
  <c r="B599" i="53" s="1"/>
  <c r="H598" i="53"/>
  <c r="G598" i="53"/>
  <c r="C598" i="53"/>
  <c r="I598" i="52"/>
  <c r="B599" i="52" s="1"/>
  <c r="H598" i="52"/>
  <c r="G598" i="52"/>
  <c r="D598" i="52"/>
  <c r="C598" i="52"/>
  <c r="H598" i="51"/>
  <c r="G598" i="51"/>
  <c r="D598" i="51"/>
  <c r="C598" i="51"/>
  <c r="I598" i="51"/>
  <c r="B599" i="51" s="1"/>
  <c r="H597" i="50"/>
  <c r="G597" i="50"/>
  <c r="D597" i="50"/>
  <c r="C597" i="50"/>
  <c r="I597" i="50"/>
  <c r="B598" i="50" s="1"/>
  <c r="C597" i="49"/>
  <c r="I597" i="49"/>
  <c r="B598" i="49" s="1"/>
  <c r="G597" i="49"/>
  <c r="D597" i="49"/>
  <c r="H597" i="49"/>
  <c r="I597" i="48"/>
  <c r="B598" i="48" s="1"/>
  <c r="H597" i="48"/>
  <c r="G597" i="48"/>
  <c r="D597" i="48"/>
  <c r="C597" i="48"/>
  <c r="I597" i="47"/>
  <c r="B598" i="47" s="1"/>
  <c r="G597" i="47"/>
  <c r="H597" i="47"/>
  <c r="D597" i="47"/>
  <c r="C597" i="47"/>
  <c r="D546" i="35"/>
  <c r="I546" i="35"/>
  <c r="B547" i="35" s="1"/>
  <c r="H546" i="35"/>
  <c r="G546" i="35"/>
  <c r="C546" i="35"/>
  <c r="D599" i="55" l="1"/>
  <c r="C599" i="55"/>
  <c r="I599" i="55"/>
  <c r="B600" i="55" s="1"/>
  <c r="H599" i="55"/>
  <c r="G599" i="55"/>
  <c r="C599" i="54"/>
  <c r="I599" i="54"/>
  <c r="B600" i="54" s="1"/>
  <c r="H599" i="54"/>
  <c r="G599" i="54"/>
  <c r="D599" i="54"/>
  <c r="H599" i="53"/>
  <c r="D599" i="53"/>
  <c r="C599" i="53"/>
  <c r="I599" i="53"/>
  <c r="B600" i="53" s="1"/>
  <c r="G599" i="53"/>
  <c r="D599" i="52"/>
  <c r="C599" i="52"/>
  <c r="I599" i="52"/>
  <c r="B600" i="52" s="1"/>
  <c r="H599" i="52"/>
  <c r="G599" i="52"/>
  <c r="I599" i="51"/>
  <c r="B600" i="51" s="1"/>
  <c r="H599" i="51"/>
  <c r="G599" i="51"/>
  <c r="D599" i="51"/>
  <c r="C599" i="51"/>
  <c r="I598" i="50"/>
  <c r="B599" i="50" s="1"/>
  <c r="H598" i="50"/>
  <c r="G598" i="50"/>
  <c r="D598" i="50"/>
  <c r="C598" i="50"/>
  <c r="G598" i="49"/>
  <c r="D598" i="49"/>
  <c r="I598" i="49"/>
  <c r="B599" i="49" s="1"/>
  <c r="H598" i="49"/>
  <c r="C598" i="49"/>
  <c r="I598" i="48"/>
  <c r="B599" i="48" s="1"/>
  <c r="H598" i="48"/>
  <c r="G598" i="48"/>
  <c r="C598" i="48"/>
  <c r="D598" i="48"/>
  <c r="C598" i="47"/>
  <c r="I598" i="47"/>
  <c r="B599" i="47" s="1"/>
  <c r="H598" i="47"/>
  <c r="G598" i="47"/>
  <c r="D598" i="47"/>
  <c r="C547" i="35"/>
  <c r="H547" i="35"/>
  <c r="G547" i="35"/>
  <c r="D547" i="35"/>
  <c r="I547" i="35"/>
  <c r="B548" i="35" s="1"/>
  <c r="H600" i="55" l="1"/>
  <c r="G600" i="55"/>
  <c r="D600" i="55"/>
  <c r="C600" i="55"/>
  <c r="I600" i="55"/>
  <c r="B601" i="55" s="1"/>
  <c r="G600" i="54"/>
  <c r="D600" i="54"/>
  <c r="C600" i="54"/>
  <c r="I600" i="54"/>
  <c r="B601" i="54" s="1"/>
  <c r="H600" i="54"/>
  <c r="H600" i="53"/>
  <c r="G600" i="53"/>
  <c r="D600" i="53"/>
  <c r="C600" i="53"/>
  <c r="I600" i="53"/>
  <c r="B601" i="53" s="1"/>
  <c r="H600" i="52"/>
  <c r="G600" i="52"/>
  <c r="D600" i="52"/>
  <c r="C600" i="52"/>
  <c r="I600" i="52"/>
  <c r="B601" i="52" s="1"/>
  <c r="I600" i="51"/>
  <c r="B601" i="51" s="1"/>
  <c r="H600" i="51"/>
  <c r="G600" i="51"/>
  <c r="D600" i="51"/>
  <c r="C600" i="51"/>
  <c r="I599" i="50"/>
  <c r="B600" i="50" s="1"/>
  <c r="H599" i="50"/>
  <c r="G599" i="50"/>
  <c r="D599" i="50"/>
  <c r="C599" i="50"/>
  <c r="I599" i="49"/>
  <c r="B600" i="49" s="1"/>
  <c r="H599" i="49"/>
  <c r="D599" i="49"/>
  <c r="C599" i="49"/>
  <c r="G599" i="49"/>
  <c r="C599" i="48"/>
  <c r="I599" i="48"/>
  <c r="B600" i="48" s="1"/>
  <c r="G599" i="48"/>
  <c r="H599" i="48"/>
  <c r="D599" i="48"/>
  <c r="G599" i="47"/>
  <c r="D599" i="47"/>
  <c r="C599" i="47"/>
  <c r="I599" i="47"/>
  <c r="B600" i="47" s="1"/>
  <c r="H599" i="47"/>
  <c r="D548" i="35"/>
  <c r="C548" i="35"/>
  <c r="H548" i="35"/>
  <c r="G548" i="35"/>
  <c r="I548" i="35"/>
  <c r="B549" i="35" s="1"/>
  <c r="I601" i="55" l="1"/>
  <c r="B602" i="55" s="1"/>
  <c r="H601" i="55"/>
  <c r="G601" i="55"/>
  <c r="D601" i="55"/>
  <c r="C601" i="55"/>
  <c r="I601" i="54"/>
  <c r="B602" i="54" s="1"/>
  <c r="H601" i="54"/>
  <c r="G601" i="54"/>
  <c r="D601" i="54"/>
  <c r="C601" i="54"/>
  <c r="I601" i="53"/>
  <c r="B602" i="53" s="1"/>
  <c r="H601" i="53"/>
  <c r="G601" i="53"/>
  <c r="C601" i="53"/>
  <c r="D601" i="53"/>
  <c r="I601" i="52"/>
  <c r="B602" i="52" s="1"/>
  <c r="H601" i="52"/>
  <c r="G601" i="52"/>
  <c r="D601" i="52"/>
  <c r="C601" i="52"/>
  <c r="D601" i="51"/>
  <c r="C601" i="51"/>
  <c r="I601" i="51"/>
  <c r="B602" i="51" s="1"/>
  <c r="H601" i="51"/>
  <c r="G601" i="51"/>
  <c r="D600" i="50"/>
  <c r="C600" i="50"/>
  <c r="I600" i="50"/>
  <c r="B601" i="50" s="1"/>
  <c r="H600" i="50"/>
  <c r="G600" i="50"/>
  <c r="H600" i="49"/>
  <c r="G600" i="49"/>
  <c r="C600" i="49"/>
  <c r="I600" i="49"/>
  <c r="B601" i="49" s="1"/>
  <c r="D600" i="49"/>
  <c r="G600" i="48"/>
  <c r="D600" i="48"/>
  <c r="C600" i="48"/>
  <c r="I600" i="48"/>
  <c r="B601" i="48" s="1"/>
  <c r="H600" i="48"/>
  <c r="I600" i="47"/>
  <c r="B601" i="47" s="1"/>
  <c r="H600" i="47"/>
  <c r="G600" i="47"/>
  <c r="C600" i="47"/>
  <c r="D600" i="47"/>
  <c r="H549" i="35"/>
  <c r="G549" i="35"/>
  <c r="C549" i="35"/>
  <c r="I549" i="35"/>
  <c r="B550" i="35" s="1"/>
  <c r="D549" i="35"/>
  <c r="I602" i="55" l="1"/>
  <c r="B603" i="55" s="1"/>
  <c r="H602" i="55"/>
  <c r="G602" i="55"/>
  <c r="D602" i="55"/>
  <c r="C602" i="55"/>
  <c r="I602" i="54"/>
  <c r="B603" i="54" s="1"/>
  <c r="H602" i="54"/>
  <c r="G602" i="54"/>
  <c r="D602" i="54"/>
  <c r="C602" i="54"/>
  <c r="D602" i="53"/>
  <c r="I602" i="53"/>
  <c r="B603" i="53" s="1"/>
  <c r="H602" i="53"/>
  <c r="G602" i="53"/>
  <c r="C602" i="53"/>
  <c r="I602" i="52"/>
  <c r="B603" i="52" s="1"/>
  <c r="H602" i="52"/>
  <c r="G602" i="52"/>
  <c r="D602" i="52"/>
  <c r="C602" i="52"/>
  <c r="H602" i="51"/>
  <c r="G602" i="51"/>
  <c r="D602" i="51"/>
  <c r="C602" i="51"/>
  <c r="I602" i="51"/>
  <c r="B603" i="51" s="1"/>
  <c r="H601" i="50"/>
  <c r="G601" i="50"/>
  <c r="D601" i="50"/>
  <c r="C601" i="50"/>
  <c r="I601" i="50"/>
  <c r="B602" i="50" s="1"/>
  <c r="C601" i="49"/>
  <c r="I601" i="49"/>
  <c r="B602" i="49" s="1"/>
  <c r="G601" i="49"/>
  <c r="H601" i="49"/>
  <c r="D601" i="49"/>
  <c r="I601" i="48"/>
  <c r="B602" i="48" s="1"/>
  <c r="H601" i="48"/>
  <c r="G601" i="48"/>
  <c r="D601" i="48"/>
  <c r="C601" i="48"/>
  <c r="I601" i="47"/>
  <c r="B602" i="47" s="1"/>
  <c r="G601" i="47"/>
  <c r="H601" i="47"/>
  <c r="D601" i="47"/>
  <c r="C601" i="47"/>
  <c r="I550" i="35"/>
  <c r="B551" i="35" s="1"/>
  <c r="D550" i="35"/>
  <c r="C550" i="35"/>
  <c r="H550" i="35"/>
  <c r="G550" i="35"/>
  <c r="D603" i="55" l="1"/>
  <c r="C603" i="55"/>
  <c r="I603" i="55"/>
  <c r="B604" i="55" s="1"/>
  <c r="H603" i="55"/>
  <c r="G603" i="55"/>
  <c r="C603" i="54"/>
  <c r="I603" i="54"/>
  <c r="B604" i="54" s="1"/>
  <c r="H603" i="54"/>
  <c r="G603" i="54"/>
  <c r="D603" i="54"/>
  <c r="H603" i="53"/>
  <c r="D603" i="53"/>
  <c r="C603" i="53"/>
  <c r="I603" i="53"/>
  <c r="B604" i="53" s="1"/>
  <c r="G603" i="53"/>
  <c r="D603" i="52"/>
  <c r="C603" i="52"/>
  <c r="I603" i="52"/>
  <c r="B604" i="52" s="1"/>
  <c r="H603" i="52"/>
  <c r="G603" i="52"/>
  <c r="I603" i="51"/>
  <c r="B604" i="51" s="1"/>
  <c r="H603" i="51"/>
  <c r="G603" i="51"/>
  <c r="D603" i="51"/>
  <c r="C603" i="51"/>
  <c r="I602" i="50"/>
  <c r="B603" i="50" s="1"/>
  <c r="H602" i="50"/>
  <c r="G602" i="50"/>
  <c r="D602" i="50"/>
  <c r="C602" i="50"/>
  <c r="G602" i="49"/>
  <c r="D602" i="49"/>
  <c r="I602" i="49"/>
  <c r="B603" i="49" s="1"/>
  <c r="H602" i="49"/>
  <c r="C602" i="49"/>
  <c r="I602" i="48"/>
  <c r="B603" i="48" s="1"/>
  <c r="H602" i="48"/>
  <c r="G602" i="48"/>
  <c r="C602" i="48"/>
  <c r="D602" i="48"/>
  <c r="C602" i="47"/>
  <c r="I602" i="47"/>
  <c r="B603" i="47" s="1"/>
  <c r="H602" i="47"/>
  <c r="G602" i="47"/>
  <c r="D602" i="47"/>
  <c r="C551" i="35"/>
  <c r="H551" i="35"/>
  <c r="G551" i="35"/>
  <c r="I551" i="35"/>
  <c r="B552" i="35" s="1"/>
  <c r="D551" i="35"/>
  <c r="H604" i="55" l="1"/>
  <c r="G604" i="55"/>
  <c r="D604" i="55"/>
  <c r="C604" i="55"/>
  <c r="I604" i="55"/>
  <c r="B605" i="55" s="1"/>
  <c r="G604" i="54"/>
  <c r="D604" i="54"/>
  <c r="C604" i="54"/>
  <c r="I604" i="54"/>
  <c r="B605" i="54" s="1"/>
  <c r="H604" i="54"/>
  <c r="H604" i="53"/>
  <c r="G604" i="53"/>
  <c r="D604" i="53"/>
  <c r="C604" i="53"/>
  <c r="I604" i="53"/>
  <c r="B605" i="53" s="1"/>
  <c r="H604" i="52"/>
  <c r="G604" i="52"/>
  <c r="D604" i="52"/>
  <c r="C604" i="52"/>
  <c r="I604" i="52"/>
  <c r="B605" i="52" s="1"/>
  <c r="I604" i="51"/>
  <c r="B605" i="51" s="1"/>
  <c r="H604" i="51"/>
  <c r="G604" i="51"/>
  <c r="D604" i="51"/>
  <c r="C604" i="51"/>
  <c r="I603" i="50"/>
  <c r="B604" i="50" s="1"/>
  <c r="H603" i="50"/>
  <c r="G603" i="50"/>
  <c r="D603" i="50"/>
  <c r="C603" i="50"/>
  <c r="I603" i="49"/>
  <c r="B604" i="49" s="1"/>
  <c r="H603" i="49"/>
  <c r="D603" i="49"/>
  <c r="C603" i="49"/>
  <c r="G603" i="49"/>
  <c r="C603" i="48"/>
  <c r="I603" i="48"/>
  <c r="B604" i="48" s="1"/>
  <c r="G603" i="48"/>
  <c r="H603" i="48"/>
  <c r="D603" i="48"/>
  <c r="G603" i="47"/>
  <c r="D603" i="47"/>
  <c r="C603" i="47"/>
  <c r="I603" i="47"/>
  <c r="B604" i="47" s="1"/>
  <c r="H603" i="47"/>
  <c r="C552" i="35"/>
  <c r="H552" i="35"/>
  <c r="D552" i="35"/>
  <c r="G552" i="35"/>
  <c r="I552" i="35"/>
  <c r="B553" i="35" s="1"/>
  <c r="I605" i="55" l="1"/>
  <c r="B606" i="55" s="1"/>
  <c r="H605" i="55"/>
  <c r="G605" i="55"/>
  <c r="D605" i="55"/>
  <c r="C605" i="55"/>
  <c r="I605" i="54"/>
  <c r="B606" i="54" s="1"/>
  <c r="H605" i="54"/>
  <c r="G605" i="54"/>
  <c r="D605" i="54"/>
  <c r="C605" i="54"/>
  <c r="I605" i="53"/>
  <c r="B606" i="53" s="1"/>
  <c r="H605" i="53"/>
  <c r="G605" i="53"/>
  <c r="C605" i="53"/>
  <c r="D605" i="53"/>
  <c r="I605" i="52"/>
  <c r="B606" i="52" s="1"/>
  <c r="H605" i="52"/>
  <c r="G605" i="52"/>
  <c r="D605" i="52"/>
  <c r="C605" i="52"/>
  <c r="D605" i="51"/>
  <c r="C605" i="51"/>
  <c r="I605" i="51"/>
  <c r="B606" i="51" s="1"/>
  <c r="H605" i="51"/>
  <c r="G605" i="51"/>
  <c r="D604" i="50"/>
  <c r="C604" i="50"/>
  <c r="I604" i="50"/>
  <c r="B605" i="50" s="1"/>
  <c r="H604" i="50"/>
  <c r="G604" i="50"/>
  <c r="H604" i="49"/>
  <c r="G604" i="49"/>
  <c r="C604" i="49"/>
  <c r="D604" i="49"/>
  <c r="I604" i="49"/>
  <c r="B605" i="49" s="1"/>
  <c r="G604" i="48"/>
  <c r="D604" i="48"/>
  <c r="C604" i="48"/>
  <c r="I604" i="48"/>
  <c r="B605" i="48" s="1"/>
  <c r="H604" i="48"/>
  <c r="I604" i="47"/>
  <c r="B605" i="47" s="1"/>
  <c r="H604" i="47"/>
  <c r="G604" i="47"/>
  <c r="C604" i="47"/>
  <c r="D604" i="47"/>
  <c r="G553" i="35"/>
  <c r="H553" i="35"/>
  <c r="I553" i="35"/>
  <c r="B554" i="35" s="1"/>
  <c r="C553" i="35"/>
  <c r="D553" i="35"/>
  <c r="I606" i="55" l="1"/>
  <c r="B607" i="55" s="1"/>
  <c r="H606" i="55"/>
  <c r="G606" i="55"/>
  <c r="D606" i="55"/>
  <c r="C606" i="55"/>
  <c r="I606" i="54"/>
  <c r="B607" i="54" s="1"/>
  <c r="H606" i="54"/>
  <c r="G606" i="54"/>
  <c r="D606" i="54"/>
  <c r="C606" i="54"/>
  <c r="D606" i="53"/>
  <c r="I606" i="53"/>
  <c r="B607" i="53" s="1"/>
  <c r="H606" i="53"/>
  <c r="G606" i="53"/>
  <c r="C606" i="53"/>
  <c r="I606" i="52"/>
  <c r="B607" i="52" s="1"/>
  <c r="H606" i="52"/>
  <c r="G606" i="52"/>
  <c r="D606" i="52"/>
  <c r="C606" i="52"/>
  <c r="H606" i="51"/>
  <c r="G606" i="51"/>
  <c r="D606" i="51"/>
  <c r="C606" i="51"/>
  <c r="I606" i="51"/>
  <c r="B607" i="51" s="1"/>
  <c r="H605" i="50"/>
  <c r="G605" i="50"/>
  <c r="D605" i="50"/>
  <c r="C605" i="50"/>
  <c r="I605" i="50"/>
  <c r="B606" i="50" s="1"/>
  <c r="C605" i="49"/>
  <c r="I605" i="49"/>
  <c r="B606" i="49" s="1"/>
  <c r="G605" i="49"/>
  <c r="H605" i="49"/>
  <c r="D605" i="49"/>
  <c r="I605" i="48"/>
  <c r="B606" i="48" s="1"/>
  <c r="H605" i="48"/>
  <c r="G605" i="48"/>
  <c r="D605" i="48"/>
  <c r="C605" i="48"/>
  <c r="I605" i="47"/>
  <c r="B606" i="47" s="1"/>
  <c r="G605" i="47"/>
  <c r="H605" i="47"/>
  <c r="D605" i="47"/>
  <c r="C605" i="47"/>
  <c r="I554" i="35"/>
  <c r="B555" i="35" s="1"/>
  <c r="D554" i="35"/>
  <c r="H554" i="35"/>
  <c r="C554" i="35"/>
  <c r="G554" i="35"/>
  <c r="D607" i="55" l="1"/>
  <c r="C607" i="55"/>
  <c r="I607" i="55"/>
  <c r="B608" i="55" s="1"/>
  <c r="H607" i="55"/>
  <c r="G607" i="55"/>
  <c r="C607" i="54"/>
  <c r="I607" i="54"/>
  <c r="B608" i="54" s="1"/>
  <c r="H607" i="54"/>
  <c r="G607" i="54"/>
  <c r="D607" i="54"/>
  <c r="H607" i="53"/>
  <c r="D607" i="53"/>
  <c r="C607" i="53"/>
  <c r="G607" i="53"/>
  <c r="I607" i="53"/>
  <c r="B608" i="53" s="1"/>
  <c r="D607" i="52"/>
  <c r="C607" i="52"/>
  <c r="I607" i="52"/>
  <c r="B608" i="52" s="1"/>
  <c r="H607" i="52"/>
  <c r="G607" i="52"/>
  <c r="I607" i="51"/>
  <c r="B608" i="51" s="1"/>
  <c r="H607" i="51"/>
  <c r="G607" i="51"/>
  <c r="D607" i="51"/>
  <c r="C607" i="51"/>
  <c r="I606" i="50"/>
  <c r="B607" i="50" s="1"/>
  <c r="H606" i="50"/>
  <c r="G606" i="50"/>
  <c r="D606" i="50"/>
  <c r="C606" i="50"/>
  <c r="G606" i="49"/>
  <c r="D606" i="49"/>
  <c r="I606" i="49"/>
  <c r="B607" i="49" s="1"/>
  <c r="H606" i="49"/>
  <c r="C606" i="49"/>
  <c r="I606" i="48"/>
  <c r="B607" i="48" s="1"/>
  <c r="H606" i="48"/>
  <c r="G606" i="48"/>
  <c r="C606" i="48"/>
  <c r="D606" i="48"/>
  <c r="C606" i="47"/>
  <c r="I606" i="47"/>
  <c r="B607" i="47" s="1"/>
  <c r="H606" i="47"/>
  <c r="G606" i="47"/>
  <c r="D606" i="47"/>
  <c r="C555" i="35"/>
  <c r="H555" i="35"/>
  <c r="G555" i="35"/>
  <c r="I555" i="35"/>
  <c r="B556" i="35" s="1"/>
  <c r="D555" i="35"/>
  <c r="H608" i="55" l="1"/>
  <c r="G608" i="55"/>
  <c r="D608" i="55"/>
  <c r="C608" i="55"/>
  <c r="I608" i="55"/>
  <c r="B609" i="55" s="1"/>
  <c r="G608" i="54"/>
  <c r="D608" i="54"/>
  <c r="C608" i="54"/>
  <c r="I608" i="54"/>
  <c r="B609" i="54" s="1"/>
  <c r="H608" i="54"/>
  <c r="H608" i="53"/>
  <c r="G608" i="53"/>
  <c r="D608" i="53"/>
  <c r="C608" i="53"/>
  <c r="I608" i="53"/>
  <c r="B609" i="53" s="1"/>
  <c r="H608" i="52"/>
  <c r="G608" i="52"/>
  <c r="D608" i="52"/>
  <c r="C608" i="52"/>
  <c r="I608" i="52"/>
  <c r="B609" i="52" s="1"/>
  <c r="I608" i="51"/>
  <c r="B609" i="51" s="1"/>
  <c r="H608" i="51"/>
  <c r="G608" i="51"/>
  <c r="D608" i="51"/>
  <c r="C608" i="51"/>
  <c r="I607" i="50"/>
  <c r="B608" i="50" s="1"/>
  <c r="H607" i="50"/>
  <c r="G607" i="50"/>
  <c r="D607" i="50"/>
  <c r="C607" i="50"/>
  <c r="I607" i="49"/>
  <c r="B608" i="49" s="1"/>
  <c r="H607" i="49"/>
  <c r="D607" i="49"/>
  <c r="C607" i="49"/>
  <c r="G607" i="49"/>
  <c r="C607" i="48"/>
  <c r="I607" i="48"/>
  <c r="B608" i="48" s="1"/>
  <c r="G607" i="48"/>
  <c r="H607" i="48"/>
  <c r="D607" i="48"/>
  <c r="G607" i="47"/>
  <c r="D607" i="47"/>
  <c r="C607" i="47"/>
  <c r="I607" i="47"/>
  <c r="B608" i="47" s="1"/>
  <c r="H607" i="47"/>
  <c r="D556" i="35"/>
  <c r="C556" i="35"/>
  <c r="I556" i="35"/>
  <c r="B557" i="35" s="1"/>
  <c r="H556" i="35"/>
  <c r="G556" i="35"/>
  <c r="I609" i="55" l="1"/>
  <c r="B610" i="55" s="1"/>
  <c r="H609" i="55"/>
  <c r="G609" i="55"/>
  <c r="D609" i="55"/>
  <c r="C609" i="55"/>
  <c r="I609" i="54"/>
  <c r="B610" i="54" s="1"/>
  <c r="H609" i="54"/>
  <c r="G609" i="54"/>
  <c r="D609" i="54"/>
  <c r="C609" i="54"/>
  <c r="I609" i="53"/>
  <c r="B610" i="53" s="1"/>
  <c r="H609" i="53"/>
  <c r="G609" i="53"/>
  <c r="D609" i="53"/>
  <c r="C609" i="53"/>
  <c r="I609" i="52"/>
  <c r="B610" i="52" s="1"/>
  <c r="H609" i="52"/>
  <c r="G609" i="52"/>
  <c r="D609" i="52"/>
  <c r="C609" i="52"/>
  <c r="D609" i="51"/>
  <c r="C609" i="51"/>
  <c r="I609" i="51"/>
  <c r="B610" i="51" s="1"/>
  <c r="H609" i="51"/>
  <c r="G609" i="51"/>
  <c r="D608" i="50"/>
  <c r="C608" i="50"/>
  <c r="I608" i="50"/>
  <c r="B609" i="50" s="1"/>
  <c r="H608" i="50"/>
  <c r="G608" i="50"/>
  <c r="H608" i="49"/>
  <c r="G608" i="49"/>
  <c r="C608" i="49"/>
  <c r="I608" i="49"/>
  <c r="B609" i="49" s="1"/>
  <c r="D608" i="49"/>
  <c r="G608" i="48"/>
  <c r="D608" i="48"/>
  <c r="C608" i="48"/>
  <c r="I608" i="48"/>
  <c r="B609" i="48" s="1"/>
  <c r="H608" i="48"/>
  <c r="I608" i="47"/>
  <c r="B609" i="47" s="1"/>
  <c r="H608" i="47"/>
  <c r="G608" i="47"/>
  <c r="C608" i="47"/>
  <c r="D608" i="47"/>
  <c r="H557" i="35"/>
  <c r="G557" i="35"/>
  <c r="I557" i="35"/>
  <c r="B558" i="35" s="1"/>
  <c r="C557" i="35"/>
  <c r="D557" i="35"/>
  <c r="I610" i="55" l="1"/>
  <c r="B611" i="55" s="1"/>
  <c r="H610" i="55"/>
  <c r="G610" i="55"/>
  <c r="D610" i="55"/>
  <c r="C610" i="55"/>
  <c r="I610" i="54"/>
  <c r="B611" i="54" s="1"/>
  <c r="H610" i="54"/>
  <c r="G610" i="54"/>
  <c r="D610" i="54"/>
  <c r="C610" i="54"/>
  <c r="D610" i="53"/>
  <c r="I610" i="53"/>
  <c r="B611" i="53" s="1"/>
  <c r="H610" i="53"/>
  <c r="G610" i="53"/>
  <c r="C610" i="53"/>
  <c r="I610" i="52"/>
  <c r="B611" i="52" s="1"/>
  <c r="H610" i="52"/>
  <c r="G610" i="52"/>
  <c r="D610" i="52"/>
  <c r="C610" i="52"/>
  <c r="H610" i="51"/>
  <c r="G610" i="51"/>
  <c r="D610" i="51"/>
  <c r="C610" i="51"/>
  <c r="I610" i="51"/>
  <c r="B611" i="51" s="1"/>
  <c r="H609" i="50"/>
  <c r="G609" i="50"/>
  <c r="D609" i="50"/>
  <c r="C609" i="50"/>
  <c r="I609" i="50"/>
  <c r="B610" i="50" s="1"/>
  <c r="C609" i="49"/>
  <c r="I609" i="49"/>
  <c r="B610" i="49" s="1"/>
  <c r="G609" i="49"/>
  <c r="H609" i="49"/>
  <c r="D609" i="49"/>
  <c r="I609" i="48"/>
  <c r="B610" i="48" s="1"/>
  <c r="H609" i="48"/>
  <c r="G609" i="48"/>
  <c r="D609" i="48"/>
  <c r="C609" i="48"/>
  <c r="I609" i="47"/>
  <c r="B610" i="47" s="1"/>
  <c r="G609" i="47"/>
  <c r="H609" i="47"/>
  <c r="D609" i="47"/>
  <c r="C609" i="47"/>
  <c r="I558" i="35"/>
  <c r="B559" i="35" s="1"/>
  <c r="D558" i="35"/>
  <c r="G558" i="35"/>
  <c r="C558" i="35"/>
  <c r="H558" i="35"/>
  <c r="D611" i="55" l="1"/>
  <c r="C611" i="55"/>
  <c r="I611" i="55"/>
  <c r="B612" i="55" s="1"/>
  <c r="H611" i="55"/>
  <c r="G611" i="55"/>
  <c r="C611" i="54"/>
  <c r="I611" i="54"/>
  <c r="B612" i="54" s="1"/>
  <c r="H611" i="54"/>
  <c r="G611" i="54"/>
  <c r="D611" i="54"/>
  <c r="H611" i="53"/>
  <c r="D611" i="53"/>
  <c r="C611" i="53"/>
  <c r="I611" i="53"/>
  <c r="B612" i="53" s="1"/>
  <c r="G611" i="53"/>
  <c r="D611" i="52"/>
  <c r="C611" i="52"/>
  <c r="I611" i="52"/>
  <c r="B612" i="52" s="1"/>
  <c r="H611" i="52"/>
  <c r="G611" i="52"/>
  <c r="I611" i="51"/>
  <c r="B612" i="51" s="1"/>
  <c r="H611" i="51"/>
  <c r="G611" i="51"/>
  <c r="D611" i="51"/>
  <c r="C611" i="51"/>
  <c r="I610" i="50"/>
  <c r="B611" i="50" s="1"/>
  <c r="H610" i="50"/>
  <c r="G610" i="50"/>
  <c r="D610" i="50"/>
  <c r="C610" i="50"/>
  <c r="G610" i="49"/>
  <c r="D610" i="49"/>
  <c r="I610" i="49"/>
  <c r="B611" i="49" s="1"/>
  <c r="H610" i="49"/>
  <c r="C610" i="49"/>
  <c r="I610" i="48"/>
  <c r="B611" i="48" s="1"/>
  <c r="H610" i="48"/>
  <c r="G610" i="48"/>
  <c r="C610" i="48"/>
  <c r="D610" i="48"/>
  <c r="C610" i="47"/>
  <c r="I610" i="47"/>
  <c r="B611" i="47" s="1"/>
  <c r="H610" i="47"/>
  <c r="G610" i="47"/>
  <c r="D610" i="47"/>
  <c r="C559" i="35"/>
  <c r="H559" i="35"/>
  <c r="I559" i="35"/>
  <c r="B560" i="35" s="1"/>
  <c r="D559" i="35"/>
  <c r="G559" i="35"/>
  <c r="H612" i="55" l="1"/>
  <c r="G612" i="55"/>
  <c r="D612" i="55"/>
  <c r="C612" i="55"/>
  <c r="I612" i="55"/>
  <c r="B613" i="55" s="1"/>
  <c r="G612" i="54"/>
  <c r="D612" i="54"/>
  <c r="C612" i="54"/>
  <c r="I612" i="54"/>
  <c r="B613" i="54" s="1"/>
  <c r="H612" i="54"/>
  <c r="H612" i="53"/>
  <c r="G612" i="53"/>
  <c r="D612" i="53"/>
  <c r="C612" i="53"/>
  <c r="I612" i="53"/>
  <c r="B613" i="53" s="1"/>
  <c r="H612" i="52"/>
  <c r="G612" i="52"/>
  <c r="D612" i="52"/>
  <c r="C612" i="52"/>
  <c r="I612" i="52"/>
  <c r="B613" i="52" s="1"/>
  <c r="I612" i="51"/>
  <c r="B613" i="51" s="1"/>
  <c r="H612" i="51"/>
  <c r="G612" i="51"/>
  <c r="C612" i="51"/>
  <c r="D612" i="51"/>
  <c r="I611" i="50"/>
  <c r="B612" i="50" s="1"/>
  <c r="H611" i="50"/>
  <c r="G611" i="50"/>
  <c r="D611" i="50"/>
  <c r="C611" i="50"/>
  <c r="I611" i="49"/>
  <c r="B612" i="49" s="1"/>
  <c r="H611" i="49"/>
  <c r="D611" i="49"/>
  <c r="C611" i="49"/>
  <c r="G611" i="49"/>
  <c r="C611" i="48"/>
  <c r="I611" i="48"/>
  <c r="B612" i="48" s="1"/>
  <c r="G611" i="48"/>
  <c r="H611" i="48"/>
  <c r="D611" i="48"/>
  <c r="G611" i="47"/>
  <c r="D611" i="47"/>
  <c r="C611" i="47"/>
  <c r="I611" i="47"/>
  <c r="B612" i="47" s="1"/>
  <c r="H611" i="47"/>
  <c r="D560" i="35"/>
  <c r="C560" i="35"/>
  <c r="I560" i="35"/>
  <c r="B561" i="35" s="1"/>
  <c r="H560" i="35"/>
  <c r="G560" i="35"/>
  <c r="I613" i="55" l="1"/>
  <c r="B614" i="55" s="1"/>
  <c r="H613" i="55"/>
  <c r="G613" i="55"/>
  <c r="D613" i="55"/>
  <c r="C613" i="55"/>
  <c r="I613" i="54"/>
  <c r="B614" i="54" s="1"/>
  <c r="H613" i="54"/>
  <c r="G613" i="54"/>
  <c r="D613" i="54"/>
  <c r="C613" i="54"/>
  <c r="I613" i="53"/>
  <c r="B614" i="53" s="1"/>
  <c r="H613" i="53"/>
  <c r="G613" i="53"/>
  <c r="D613" i="53"/>
  <c r="C613" i="53"/>
  <c r="I613" i="52"/>
  <c r="B614" i="52" s="1"/>
  <c r="H613" i="52"/>
  <c r="G613" i="52"/>
  <c r="D613" i="52"/>
  <c r="C613" i="52"/>
  <c r="D613" i="51"/>
  <c r="C613" i="51"/>
  <c r="I613" i="51"/>
  <c r="B614" i="51" s="1"/>
  <c r="H613" i="51"/>
  <c r="G613" i="51"/>
  <c r="D612" i="50"/>
  <c r="C612" i="50"/>
  <c r="I612" i="50"/>
  <c r="B613" i="50" s="1"/>
  <c r="H612" i="50"/>
  <c r="G612" i="50"/>
  <c r="H612" i="49"/>
  <c r="G612" i="49"/>
  <c r="C612" i="49"/>
  <c r="I612" i="49"/>
  <c r="B613" i="49" s="1"/>
  <c r="D612" i="49"/>
  <c r="G612" i="48"/>
  <c r="D612" i="48"/>
  <c r="C612" i="48"/>
  <c r="I612" i="48"/>
  <c r="B613" i="48" s="1"/>
  <c r="H612" i="48"/>
  <c r="I612" i="47"/>
  <c r="B613" i="47" s="1"/>
  <c r="H612" i="47"/>
  <c r="G612" i="47"/>
  <c r="C612" i="47"/>
  <c r="D612" i="47"/>
  <c r="H561" i="35"/>
  <c r="G561" i="35"/>
  <c r="C561" i="35"/>
  <c r="I561" i="35"/>
  <c r="B562" i="35" s="1"/>
  <c r="D561" i="35"/>
  <c r="I614" i="55" l="1"/>
  <c r="B615" i="55" s="1"/>
  <c r="H614" i="55"/>
  <c r="G614" i="55"/>
  <c r="D614" i="55"/>
  <c r="C614" i="55"/>
  <c r="I614" i="54"/>
  <c r="B615" i="54" s="1"/>
  <c r="H614" i="54"/>
  <c r="G614" i="54"/>
  <c r="D614" i="54"/>
  <c r="C614" i="54"/>
  <c r="D614" i="53"/>
  <c r="I614" i="53"/>
  <c r="B615" i="53" s="1"/>
  <c r="G614" i="53"/>
  <c r="C614" i="53"/>
  <c r="H614" i="53"/>
  <c r="I614" i="52"/>
  <c r="B615" i="52" s="1"/>
  <c r="H614" i="52"/>
  <c r="G614" i="52"/>
  <c r="D614" i="52"/>
  <c r="C614" i="52"/>
  <c r="H614" i="51"/>
  <c r="G614" i="51"/>
  <c r="D614" i="51"/>
  <c r="C614" i="51"/>
  <c r="I614" i="51"/>
  <c r="B615" i="51" s="1"/>
  <c r="H613" i="50"/>
  <c r="G613" i="50"/>
  <c r="D613" i="50"/>
  <c r="C613" i="50"/>
  <c r="I613" i="50"/>
  <c r="B614" i="50" s="1"/>
  <c r="C613" i="49"/>
  <c r="I613" i="49"/>
  <c r="B614" i="49" s="1"/>
  <c r="G613" i="49"/>
  <c r="H613" i="49"/>
  <c r="D613" i="49"/>
  <c r="I613" i="48"/>
  <c r="B614" i="48" s="1"/>
  <c r="H613" i="48"/>
  <c r="G613" i="48"/>
  <c r="D613" i="48"/>
  <c r="C613" i="48"/>
  <c r="I613" i="47"/>
  <c r="B614" i="47" s="1"/>
  <c r="G613" i="47"/>
  <c r="H613" i="47"/>
  <c r="D613" i="47"/>
  <c r="C613" i="47"/>
  <c r="I562" i="35"/>
  <c r="B563" i="35" s="1"/>
  <c r="D562" i="35"/>
  <c r="G562" i="35"/>
  <c r="C562" i="35"/>
  <c r="H562" i="35"/>
  <c r="D615" i="55" l="1"/>
  <c r="C615" i="55"/>
  <c r="I615" i="55"/>
  <c r="B616" i="55" s="1"/>
  <c r="H615" i="55"/>
  <c r="G615" i="55"/>
  <c r="C615" i="54"/>
  <c r="I615" i="54"/>
  <c r="B616" i="54" s="1"/>
  <c r="H615" i="54"/>
  <c r="G615" i="54"/>
  <c r="D615" i="54"/>
  <c r="H615" i="53"/>
  <c r="D615" i="53"/>
  <c r="C615" i="53"/>
  <c r="G615" i="53"/>
  <c r="I615" i="53"/>
  <c r="B616" i="53" s="1"/>
  <c r="D615" i="52"/>
  <c r="C615" i="52"/>
  <c r="I615" i="52"/>
  <c r="B616" i="52" s="1"/>
  <c r="H615" i="52"/>
  <c r="G615" i="52"/>
  <c r="I615" i="51"/>
  <c r="B616" i="51" s="1"/>
  <c r="H615" i="51"/>
  <c r="G615" i="51"/>
  <c r="D615" i="51"/>
  <c r="C615" i="51"/>
  <c r="I614" i="50"/>
  <c r="B615" i="50" s="1"/>
  <c r="H614" i="50"/>
  <c r="G614" i="50"/>
  <c r="D614" i="50"/>
  <c r="C614" i="50"/>
  <c r="G614" i="49"/>
  <c r="D614" i="49"/>
  <c r="I614" i="49"/>
  <c r="B615" i="49" s="1"/>
  <c r="C614" i="49"/>
  <c r="H614" i="49"/>
  <c r="I614" i="48"/>
  <c r="B615" i="48" s="1"/>
  <c r="H614" i="48"/>
  <c r="G614" i="48"/>
  <c r="C614" i="48"/>
  <c r="D614" i="48"/>
  <c r="C614" i="47"/>
  <c r="I614" i="47"/>
  <c r="B615" i="47" s="1"/>
  <c r="H614" i="47"/>
  <c r="G614" i="47"/>
  <c r="D614" i="47"/>
  <c r="C563" i="35"/>
  <c r="H563" i="35"/>
  <c r="G563" i="35"/>
  <c r="I563" i="35"/>
  <c r="B564" i="35" s="1"/>
  <c r="D563" i="35"/>
  <c r="H616" i="55" l="1"/>
  <c r="G616" i="55"/>
  <c r="D616" i="55"/>
  <c r="C616" i="55"/>
  <c r="I616" i="55"/>
  <c r="B617" i="55" s="1"/>
  <c r="G616" i="54"/>
  <c r="D616" i="54"/>
  <c r="C616" i="54"/>
  <c r="I616" i="54"/>
  <c r="B617" i="54" s="1"/>
  <c r="H616" i="54"/>
  <c r="H616" i="53"/>
  <c r="G616" i="53"/>
  <c r="D616" i="53"/>
  <c r="C616" i="53"/>
  <c r="I616" i="53"/>
  <c r="B617" i="53" s="1"/>
  <c r="H616" i="52"/>
  <c r="G616" i="52"/>
  <c r="D616" i="52"/>
  <c r="C616" i="52"/>
  <c r="I616" i="52"/>
  <c r="B617" i="52" s="1"/>
  <c r="I616" i="51"/>
  <c r="B617" i="51" s="1"/>
  <c r="H616" i="51"/>
  <c r="G616" i="51"/>
  <c r="D616" i="51"/>
  <c r="C616" i="51"/>
  <c r="I615" i="50"/>
  <c r="B616" i="50" s="1"/>
  <c r="H615" i="50"/>
  <c r="G615" i="50"/>
  <c r="D615" i="50"/>
  <c r="C615" i="50"/>
  <c r="I615" i="49"/>
  <c r="B616" i="49" s="1"/>
  <c r="H615" i="49"/>
  <c r="D615" i="49"/>
  <c r="C615" i="49"/>
  <c r="G615" i="49"/>
  <c r="C615" i="48"/>
  <c r="I615" i="48"/>
  <c r="B616" i="48" s="1"/>
  <c r="G615" i="48"/>
  <c r="H615" i="48"/>
  <c r="D615" i="48"/>
  <c r="G615" i="47"/>
  <c r="D615" i="47"/>
  <c r="C615" i="47"/>
  <c r="I615" i="47"/>
  <c r="B616" i="47" s="1"/>
  <c r="H615" i="47"/>
  <c r="C564" i="35"/>
  <c r="H564" i="35"/>
  <c r="G564" i="35"/>
  <c r="D564" i="35"/>
  <c r="I564" i="35"/>
  <c r="B565" i="35" s="1"/>
  <c r="I617" i="55" l="1"/>
  <c r="B618" i="55" s="1"/>
  <c r="H617" i="55"/>
  <c r="G617" i="55"/>
  <c r="D617" i="55"/>
  <c r="C617" i="55"/>
  <c r="I617" i="54"/>
  <c r="B618" i="54" s="1"/>
  <c r="H617" i="54"/>
  <c r="G617" i="54"/>
  <c r="D617" i="54"/>
  <c r="C617" i="54"/>
  <c r="I617" i="53"/>
  <c r="B618" i="53" s="1"/>
  <c r="H617" i="53"/>
  <c r="G617" i="53"/>
  <c r="D617" i="53"/>
  <c r="C617" i="53"/>
  <c r="I617" i="52"/>
  <c r="B618" i="52" s="1"/>
  <c r="H617" i="52"/>
  <c r="G617" i="52"/>
  <c r="D617" i="52"/>
  <c r="C617" i="52"/>
  <c r="D617" i="51"/>
  <c r="C617" i="51"/>
  <c r="I617" i="51"/>
  <c r="B618" i="51" s="1"/>
  <c r="H617" i="51"/>
  <c r="G617" i="51"/>
  <c r="D616" i="50"/>
  <c r="C616" i="50"/>
  <c r="I616" i="50"/>
  <c r="B617" i="50" s="1"/>
  <c r="H616" i="50"/>
  <c r="G616" i="50"/>
  <c r="H616" i="49"/>
  <c r="G616" i="49"/>
  <c r="C616" i="49"/>
  <c r="I616" i="49"/>
  <c r="B617" i="49" s="1"/>
  <c r="D616" i="49"/>
  <c r="G616" i="48"/>
  <c r="D616" i="48"/>
  <c r="C616" i="48"/>
  <c r="I616" i="48"/>
  <c r="B617" i="48" s="1"/>
  <c r="H616" i="48"/>
  <c r="I616" i="47"/>
  <c r="B617" i="47" s="1"/>
  <c r="H616" i="47"/>
  <c r="G616" i="47"/>
  <c r="C616" i="47"/>
  <c r="D616" i="47"/>
  <c r="H565" i="35"/>
  <c r="G565" i="35"/>
  <c r="C565" i="35"/>
  <c r="I565" i="35"/>
  <c r="B566" i="35" s="1"/>
  <c r="D565" i="35"/>
  <c r="I618" i="55" l="1"/>
  <c r="B619" i="55" s="1"/>
  <c r="H618" i="55"/>
  <c r="G618" i="55"/>
  <c r="D618" i="55"/>
  <c r="C618" i="55"/>
  <c r="I618" i="54"/>
  <c r="B619" i="54" s="1"/>
  <c r="H618" i="54"/>
  <c r="G618" i="54"/>
  <c r="D618" i="54"/>
  <c r="C618" i="54"/>
  <c r="D618" i="53"/>
  <c r="I618" i="53"/>
  <c r="B619" i="53" s="1"/>
  <c r="H618" i="53"/>
  <c r="C618" i="53"/>
  <c r="G618" i="53"/>
  <c r="I618" i="52"/>
  <c r="B619" i="52" s="1"/>
  <c r="H618" i="52"/>
  <c r="G618" i="52"/>
  <c r="D618" i="52"/>
  <c r="C618" i="52"/>
  <c r="H618" i="51"/>
  <c r="G618" i="51"/>
  <c r="D618" i="51"/>
  <c r="C618" i="51"/>
  <c r="I618" i="51"/>
  <c r="B619" i="51" s="1"/>
  <c r="H617" i="50"/>
  <c r="G617" i="50"/>
  <c r="D617" i="50"/>
  <c r="C617" i="50"/>
  <c r="I617" i="50"/>
  <c r="B618" i="50" s="1"/>
  <c r="C617" i="49"/>
  <c r="I617" i="49"/>
  <c r="B618" i="49" s="1"/>
  <c r="G617" i="49"/>
  <c r="H617" i="49"/>
  <c r="D617" i="49"/>
  <c r="I617" i="48"/>
  <c r="B618" i="48" s="1"/>
  <c r="H617" i="48"/>
  <c r="G617" i="48"/>
  <c r="D617" i="48"/>
  <c r="C617" i="48"/>
  <c r="I617" i="47"/>
  <c r="B618" i="47" s="1"/>
  <c r="G617" i="47"/>
  <c r="H617" i="47"/>
  <c r="D617" i="47"/>
  <c r="C617" i="47"/>
  <c r="D566" i="35"/>
  <c r="I566" i="35"/>
  <c r="B567" i="35" s="1"/>
  <c r="G566" i="35"/>
  <c r="C566" i="35"/>
  <c r="H566" i="35"/>
  <c r="D619" i="55" l="1"/>
  <c r="C619" i="55"/>
  <c r="I619" i="55"/>
  <c r="B620" i="55" s="1"/>
  <c r="H619" i="55"/>
  <c r="G619" i="55"/>
  <c r="C619" i="54"/>
  <c r="I619" i="54"/>
  <c r="B620" i="54" s="1"/>
  <c r="H619" i="54"/>
  <c r="G619" i="54"/>
  <c r="D619" i="54"/>
  <c r="H619" i="53"/>
  <c r="D619" i="53"/>
  <c r="C619" i="53"/>
  <c r="I619" i="53"/>
  <c r="B620" i="53" s="1"/>
  <c r="G619" i="53"/>
  <c r="D619" i="52"/>
  <c r="C619" i="52"/>
  <c r="I619" i="52"/>
  <c r="B620" i="52" s="1"/>
  <c r="H619" i="52"/>
  <c r="G619" i="52"/>
  <c r="I619" i="51"/>
  <c r="B620" i="51" s="1"/>
  <c r="H619" i="51"/>
  <c r="G619" i="51"/>
  <c r="D619" i="51"/>
  <c r="C619" i="51"/>
  <c r="I618" i="50"/>
  <c r="B619" i="50" s="1"/>
  <c r="H618" i="50"/>
  <c r="G618" i="50"/>
  <c r="D618" i="50"/>
  <c r="C618" i="50"/>
  <c r="G618" i="49"/>
  <c r="D618" i="49"/>
  <c r="I618" i="49"/>
  <c r="B619" i="49" s="1"/>
  <c r="H618" i="49"/>
  <c r="C618" i="49"/>
  <c r="I618" i="48"/>
  <c r="B619" i="48" s="1"/>
  <c r="H618" i="48"/>
  <c r="G618" i="48"/>
  <c r="C618" i="48"/>
  <c r="D618" i="48"/>
  <c r="C618" i="47"/>
  <c r="I618" i="47"/>
  <c r="B619" i="47" s="1"/>
  <c r="H618" i="47"/>
  <c r="G618" i="47"/>
  <c r="D618" i="47"/>
  <c r="C567" i="35"/>
  <c r="H567" i="35"/>
  <c r="G567" i="35"/>
  <c r="I567" i="35"/>
  <c r="B568" i="35" s="1"/>
  <c r="D567" i="35"/>
  <c r="H620" i="55" l="1"/>
  <c r="G620" i="55"/>
  <c r="D620" i="55"/>
  <c r="C620" i="55"/>
  <c r="I620" i="55"/>
  <c r="B621" i="55" s="1"/>
  <c r="G620" i="54"/>
  <c r="D620" i="54"/>
  <c r="C620" i="54"/>
  <c r="I620" i="54"/>
  <c r="B621" i="54" s="1"/>
  <c r="H620" i="54"/>
  <c r="H620" i="53"/>
  <c r="G620" i="53"/>
  <c r="D620" i="53"/>
  <c r="C620" i="53"/>
  <c r="I620" i="53"/>
  <c r="B621" i="53" s="1"/>
  <c r="H620" i="52"/>
  <c r="G620" i="52"/>
  <c r="D620" i="52"/>
  <c r="C620" i="52"/>
  <c r="I620" i="52"/>
  <c r="B621" i="52" s="1"/>
  <c r="I620" i="51"/>
  <c r="B621" i="51" s="1"/>
  <c r="H620" i="51"/>
  <c r="G620" i="51"/>
  <c r="D620" i="51"/>
  <c r="C620" i="51"/>
  <c r="I619" i="50"/>
  <c r="B620" i="50" s="1"/>
  <c r="H619" i="50"/>
  <c r="G619" i="50"/>
  <c r="D619" i="50"/>
  <c r="C619" i="50"/>
  <c r="I619" i="49"/>
  <c r="B620" i="49" s="1"/>
  <c r="H619" i="49"/>
  <c r="D619" i="49"/>
  <c r="C619" i="49"/>
  <c r="G619" i="49"/>
  <c r="C619" i="48"/>
  <c r="I619" i="48"/>
  <c r="B620" i="48" s="1"/>
  <c r="G619" i="48"/>
  <c r="H619" i="48"/>
  <c r="D619" i="48"/>
  <c r="G619" i="47"/>
  <c r="D619" i="47"/>
  <c r="C619" i="47"/>
  <c r="I619" i="47"/>
  <c r="B620" i="47" s="1"/>
  <c r="H619" i="47"/>
  <c r="D568" i="35"/>
  <c r="C568" i="35"/>
  <c r="H568" i="35"/>
  <c r="G568" i="35"/>
  <c r="I568" i="35"/>
  <c r="B569" i="35" s="1"/>
  <c r="I621" i="55" l="1"/>
  <c r="B622" i="55" s="1"/>
  <c r="H621" i="55"/>
  <c r="G621" i="55"/>
  <c r="D621" i="55"/>
  <c r="C621" i="55"/>
  <c r="I621" i="54"/>
  <c r="B622" i="54" s="1"/>
  <c r="H621" i="54"/>
  <c r="G621" i="54"/>
  <c r="D621" i="54"/>
  <c r="C621" i="54"/>
  <c r="I621" i="53"/>
  <c r="B622" i="53" s="1"/>
  <c r="H621" i="53"/>
  <c r="G621" i="53"/>
  <c r="D621" i="53"/>
  <c r="C621" i="53"/>
  <c r="I621" i="52"/>
  <c r="B622" i="52" s="1"/>
  <c r="H621" i="52"/>
  <c r="G621" i="52"/>
  <c r="D621" i="52"/>
  <c r="C621" i="52"/>
  <c r="D621" i="51"/>
  <c r="C621" i="51"/>
  <c r="I621" i="51"/>
  <c r="B622" i="51" s="1"/>
  <c r="H621" i="51"/>
  <c r="G621" i="51"/>
  <c r="D620" i="50"/>
  <c r="C620" i="50"/>
  <c r="I620" i="50"/>
  <c r="B621" i="50" s="1"/>
  <c r="H620" i="50"/>
  <c r="G620" i="50"/>
  <c r="H620" i="49"/>
  <c r="G620" i="49"/>
  <c r="C620" i="49"/>
  <c r="I620" i="49"/>
  <c r="B621" i="49" s="1"/>
  <c r="D620" i="49"/>
  <c r="G620" i="48"/>
  <c r="D620" i="48"/>
  <c r="C620" i="48"/>
  <c r="I620" i="48"/>
  <c r="B621" i="48" s="1"/>
  <c r="H620" i="48"/>
  <c r="I620" i="47"/>
  <c r="B621" i="47" s="1"/>
  <c r="H620" i="47"/>
  <c r="G620" i="47"/>
  <c r="C620" i="47"/>
  <c r="D620" i="47"/>
  <c r="H569" i="35"/>
  <c r="G569" i="35"/>
  <c r="C569" i="35"/>
  <c r="I569" i="35"/>
  <c r="B570" i="35" s="1"/>
  <c r="D569" i="35"/>
  <c r="I622" i="55" l="1"/>
  <c r="B623" i="55" s="1"/>
  <c r="H622" i="55"/>
  <c r="G622" i="55"/>
  <c r="D622" i="55"/>
  <c r="C622" i="55"/>
  <c r="I622" i="54"/>
  <c r="B623" i="54" s="1"/>
  <c r="H622" i="54"/>
  <c r="G622" i="54"/>
  <c r="D622" i="54"/>
  <c r="C622" i="54"/>
  <c r="D622" i="53"/>
  <c r="I622" i="53"/>
  <c r="B623" i="53" s="1"/>
  <c r="G622" i="53"/>
  <c r="H622" i="53"/>
  <c r="C622" i="53"/>
  <c r="I622" i="52"/>
  <c r="B623" i="52" s="1"/>
  <c r="H622" i="52"/>
  <c r="G622" i="52"/>
  <c r="D622" i="52"/>
  <c r="C622" i="52"/>
  <c r="H622" i="51"/>
  <c r="G622" i="51"/>
  <c r="D622" i="51"/>
  <c r="C622" i="51"/>
  <c r="I622" i="51"/>
  <c r="B623" i="51" s="1"/>
  <c r="H621" i="50"/>
  <c r="G621" i="50"/>
  <c r="D621" i="50"/>
  <c r="C621" i="50"/>
  <c r="I621" i="50"/>
  <c r="B622" i="50" s="1"/>
  <c r="C621" i="49"/>
  <c r="I621" i="49"/>
  <c r="B622" i="49" s="1"/>
  <c r="G621" i="49"/>
  <c r="D621" i="49"/>
  <c r="H621" i="49"/>
  <c r="I621" i="48"/>
  <c r="B622" i="48" s="1"/>
  <c r="H621" i="48"/>
  <c r="G621" i="48"/>
  <c r="D621" i="48"/>
  <c r="C621" i="48"/>
  <c r="I621" i="47"/>
  <c r="B622" i="47" s="1"/>
  <c r="G621" i="47"/>
  <c r="H621" i="47"/>
  <c r="D621" i="47"/>
  <c r="C621" i="47"/>
  <c r="I570" i="35"/>
  <c r="B571" i="35" s="1"/>
  <c r="D570" i="35"/>
  <c r="C570" i="35"/>
  <c r="H570" i="35"/>
  <c r="G570" i="35"/>
  <c r="D623" i="55" l="1"/>
  <c r="C623" i="55"/>
  <c r="I623" i="55"/>
  <c r="B624" i="55" s="1"/>
  <c r="H623" i="55"/>
  <c r="G623" i="55"/>
  <c r="C623" i="54"/>
  <c r="I623" i="54"/>
  <c r="B624" i="54" s="1"/>
  <c r="H623" i="54"/>
  <c r="G623" i="54"/>
  <c r="D623" i="54"/>
  <c r="H623" i="53"/>
  <c r="D623" i="53"/>
  <c r="C623" i="53"/>
  <c r="I623" i="53"/>
  <c r="B624" i="53" s="1"/>
  <c r="G623" i="53"/>
  <c r="D623" i="52"/>
  <c r="C623" i="52"/>
  <c r="I623" i="52"/>
  <c r="B624" i="52" s="1"/>
  <c r="H623" i="52"/>
  <c r="G623" i="52"/>
  <c r="I623" i="51"/>
  <c r="B624" i="51" s="1"/>
  <c r="H623" i="51"/>
  <c r="G623" i="51"/>
  <c r="D623" i="51"/>
  <c r="C623" i="51"/>
  <c r="I622" i="50"/>
  <c r="B623" i="50" s="1"/>
  <c r="H622" i="50"/>
  <c r="G622" i="50"/>
  <c r="D622" i="50"/>
  <c r="C622" i="50"/>
  <c r="G622" i="49"/>
  <c r="D622" i="49"/>
  <c r="I622" i="49"/>
  <c r="B623" i="49" s="1"/>
  <c r="C622" i="49"/>
  <c r="H622" i="49"/>
  <c r="I622" i="48"/>
  <c r="B623" i="48" s="1"/>
  <c r="H622" i="48"/>
  <c r="G622" i="48"/>
  <c r="C622" i="48"/>
  <c r="D622" i="48"/>
  <c r="C622" i="47"/>
  <c r="I622" i="47"/>
  <c r="B623" i="47" s="1"/>
  <c r="H622" i="47"/>
  <c r="G622" i="47"/>
  <c r="D622" i="47"/>
  <c r="C571" i="35"/>
  <c r="H571" i="35"/>
  <c r="D571" i="35"/>
  <c r="G571" i="35"/>
  <c r="I571" i="35"/>
  <c r="B572" i="35" s="1"/>
  <c r="H624" i="55" l="1"/>
  <c r="G624" i="55"/>
  <c r="D624" i="55"/>
  <c r="C624" i="55"/>
  <c r="I624" i="55"/>
  <c r="B625" i="55" s="1"/>
  <c r="G624" i="54"/>
  <c r="D624" i="54"/>
  <c r="C624" i="54"/>
  <c r="I624" i="54"/>
  <c r="B625" i="54" s="1"/>
  <c r="H624" i="54"/>
  <c r="H624" i="53"/>
  <c r="G624" i="53"/>
  <c r="D624" i="53"/>
  <c r="C624" i="53"/>
  <c r="I624" i="53"/>
  <c r="B625" i="53" s="1"/>
  <c r="H624" i="52"/>
  <c r="G624" i="52"/>
  <c r="D624" i="52"/>
  <c r="C624" i="52"/>
  <c r="I624" i="52"/>
  <c r="B625" i="52" s="1"/>
  <c r="I624" i="51"/>
  <c r="B625" i="51" s="1"/>
  <c r="H624" i="51"/>
  <c r="G624" i="51"/>
  <c r="D624" i="51"/>
  <c r="C624" i="51"/>
  <c r="I623" i="50"/>
  <c r="B624" i="50" s="1"/>
  <c r="H623" i="50"/>
  <c r="G623" i="50"/>
  <c r="D623" i="50"/>
  <c r="C623" i="50"/>
  <c r="I623" i="49"/>
  <c r="B624" i="49" s="1"/>
  <c r="H623" i="49"/>
  <c r="D623" i="49"/>
  <c r="C623" i="49"/>
  <c r="G623" i="49"/>
  <c r="C623" i="48"/>
  <c r="I623" i="48"/>
  <c r="B624" i="48" s="1"/>
  <c r="G623" i="48"/>
  <c r="H623" i="48"/>
  <c r="D623" i="48"/>
  <c r="G623" i="47"/>
  <c r="D623" i="47"/>
  <c r="C623" i="47"/>
  <c r="I623" i="47"/>
  <c r="B624" i="47" s="1"/>
  <c r="H623" i="47"/>
  <c r="D572" i="35"/>
  <c r="C572" i="35"/>
  <c r="I572" i="35"/>
  <c r="B573" i="35" s="1"/>
  <c r="H572" i="35"/>
  <c r="G572" i="35"/>
  <c r="I625" i="55" l="1"/>
  <c r="B626" i="55" s="1"/>
  <c r="H625" i="55"/>
  <c r="G625" i="55"/>
  <c r="D625" i="55"/>
  <c r="C625" i="55"/>
  <c r="I625" i="54"/>
  <c r="B626" i="54" s="1"/>
  <c r="H625" i="54"/>
  <c r="G625" i="54"/>
  <c r="D625" i="54"/>
  <c r="C625" i="54"/>
  <c r="I625" i="53"/>
  <c r="B626" i="53" s="1"/>
  <c r="H625" i="53"/>
  <c r="G625" i="53"/>
  <c r="C625" i="53"/>
  <c r="D625" i="53"/>
  <c r="I625" i="52"/>
  <c r="B626" i="52" s="1"/>
  <c r="H625" i="52"/>
  <c r="G625" i="52"/>
  <c r="D625" i="52"/>
  <c r="C625" i="52"/>
  <c r="D625" i="51"/>
  <c r="C625" i="51"/>
  <c r="I625" i="51"/>
  <c r="B626" i="51" s="1"/>
  <c r="H625" i="51"/>
  <c r="G625" i="51"/>
  <c r="D624" i="50"/>
  <c r="C624" i="50"/>
  <c r="I624" i="50"/>
  <c r="B625" i="50" s="1"/>
  <c r="H624" i="50"/>
  <c r="G624" i="50"/>
  <c r="H624" i="49"/>
  <c r="G624" i="49"/>
  <c r="C624" i="49"/>
  <c r="I624" i="49"/>
  <c r="B625" i="49" s="1"/>
  <c r="D624" i="49"/>
  <c r="G624" i="48"/>
  <c r="D624" i="48"/>
  <c r="C624" i="48"/>
  <c r="I624" i="48"/>
  <c r="B625" i="48" s="1"/>
  <c r="H624" i="48"/>
  <c r="I624" i="47"/>
  <c r="B625" i="47" s="1"/>
  <c r="H624" i="47"/>
  <c r="G624" i="47"/>
  <c r="C624" i="47"/>
  <c r="D624" i="47"/>
  <c r="G573" i="35"/>
  <c r="H573" i="35"/>
  <c r="I573" i="35"/>
  <c r="B574" i="35" s="1"/>
  <c r="C573" i="35"/>
  <c r="D573" i="35"/>
  <c r="I626" i="55" l="1"/>
  <c r="B627" i="55" s="1"/>
  <c r="H626" i="55"/>
  <c r="G626" i="55"/>
  <c r="D626" i="55"/>
  <c r="C626" i="55"/>
  <c r="I626" i="54"/>
  <c r="B627" i="54" s="1"/>
  <c r="H626" i="54"/>
  <c r="G626" i="54"/>
  <c r="D626" i="54"/>
  <c r="C626" i="54"/>
  <c r="D626" i="53"/>
  <c r="I626" i="53"/>
  <c r="B627" i="53" s="1"/>
  <c r="C626" i="53"/>
  <c r="H626" i="53"/>
  <c r="G626" i="53"/>
  <c r="I626" i="52"/>
  <c r="B627" i="52" s="1"/>
  <c r="H626" i="52"/>
  <c r="G626" i="52"/>
  <c r="D626" i="52"/>
  <c r="C626" i="52"/>
  <c r="H626" i="51"/>
  <c r="G626" i="51"/>
  <c r="D626" i="51"/>
  <c r="C626" i="51"/>
  <c r="I626" i="51"/>
  <c r="B627" i="51" s="1"/>
  <c r="H625" i="50"/>
  <c r="G625" i="50"/>
  <c r="D625" i="50"/>
  <c r="C625" i="50"/>
  <c r="I625" i="50"/>
  <c r="B626" i="50" s="1"/>
  <c r="C625" i="49"/>
  <c r="I625" i="49"/>
  <c r="B626" i="49" s="1"/>
  <c r="G625" i="49"/>
  <c r="H625" i="49"/>
  <c r="D625" i="49"/>
  <c r="I625" i="48"/>
  <c r="B626" i="48" s="1"/>
  <c r="H625" i="48"/>
  <c r="G625" i="48"/>
  <c r="D625" i="48"/>
  <c r="C625" i="48"/>
  <c r="I625" i="47"/>
  <c r="B626" i="47" s="1"/>
  <c r="G625" i="47"/>
  <c r="H625" i="47"/>
  <c r="D625" i="47"/>
  <c r="C625" i="47"/>
  <c r="I574" i="35"/>
  <c r="B575" i="35" s="1"/>
  <c r="D574" i="35"/>
  <c r="G574" i="35"/>
  <c r="C574" i="35"/>
  <c r="H574" i="35"/>
  <c r="D627" i="55" l="1"/>
  <c r="C627" i="55"/>
  <c r="I627" i="55"/>
  <c r="B628" i="55" s="1"/>
  <c r="H627" i="55"/>
  <c r="G627" i="55"/>
  <c r="C627" i="54"/>
  <c r="I627" i="54"/>
  <c r="B628" i="54" s="1"/>
  <c r="H627" i="54"/>
  <c r="G627" i="54"/>
  <c r="D627" i="54"/>
  <c r="H627" i="53"/>
  <c r="D627" i="53"/>
  <c r="C627" i="53"/>
  <c r="I627" i="53"/>
  <c r="B628" i="53" s="1"/>
  <c r="G627" i="53"/>
  <c r="D627" i="52"/>
  <c r="C627" i="52"/>
  <c r="I627" i="52"/>
  <c r="B628" i="52" s="1"/>
  <c r="H627" i="52"/>
  <c r="G627" i="52"/>
  <c r="I627" i="51"/>
  <c r="B628" i="51" s="1"/>
  <c r="H627" i="51"/>
  <c r="G627" i="51"/>
  <c r="D627" i="51"/>
  <c r="C627" i="51"/>
  <c r="I626" i="50"/>
  <c r="B627" i="50" s="1"/>
  <c r="H626" i="50"/>
  <c r="G626" i="50"/>
  <c r="D626" i="50"/>
  <c r="C626" i="50"/>
  <c r="G626" i="49"/>
  <c r="D626" i="49"/>
  <c r="I626" i="49"/>
  <c r="B627" i="49" s="1"/>
  <c r="H626" i="49"/>
  <c r="C626" i="49"/>
  <c r="I626" i="48"/>
  <c r="B627" i="48" s="1"/>
  <c r="H626" i="48"/>
  <c r="G626" i="48"/>
  <c r="C626" i="48"/>
  <c r="D626" i="48"/>
  <c r="C626" i="47"/>
  <c r="I626" i="47"/>
  <c r="B627" i="47" s="1"/>
  <c r="H626" i="47"/>
  <c r="G626" i="47"/>
  <c r="D626" i="47"/>
  <c r="C575" i="35"/>
  <c r="H575" i="35"/>
  <c r="G575" i="35"/>
  <c r="D575" i="35"/>
  <c r="I575" i="35"/>
  <c r="B576" i="35" s="1"/>
  <c r="H628" i="55" l="1"/>
  <c r="G628" i="55"/>
  <c r="D628" i="55"/>
  <c r="C628" i="55"/>
  <c r="I628" i="55"/>
  <c r="B629" i="55" s="1"/>
  <c r="D628" i="54"/>
  <c r="H628" i="54"/>
  <c r="I628" i="54"/>
  <c r="B629" i="54" s="1"/>
  <c r="G628" i="54"/>
  <c r="C628" i="54"/>
  <c r="H628" i="53"/>
  <c r="G628" i="53"/>
  <c r="D628" i="53"/>
  <c r="C628" i="53"/>
  <c r="I628" i="53"/>
  <c r="B629" i="53" s="1"/>
  <c r="H628" i="52"/>
  <c r="I628" i="52"/>
  <c r="B629" i="52" s="1"/>
  <c r="G628" i="52"/>
  <c r="D628" i="52"/>
  <c r="C628" i="52"/>
  <c r="I628" i="51"/>
  <c r="B629" i="51" s="1"/>
  <c r="H628" i="51"/>
  <c r="G628" i="51"/>
  <c r="D628" i="51"/>
  <c r="C628" i="51"/>
  <c r="I627" i="50"/>
  <c r="B628" i="50" s="1"/>
  <c r="H627" i="50"/>
  <c r="G627" i="50"/>
  <c r="D627" i="50"/>
  <c r="C627" i="50"/>
  <c r="I627" i="49"/>
  <c r="B628" i="49" s="1"/>
  <c r="H627" i="49"/>
  <c r="D627" i="49"/>
  <c r="C627" i="49"/>
  <c r="G627" i="49"/>
  <c r="C627" i="48"/>
  <c r="I627" i="48"/>
  <c r="B628" i="48" s="1"/>
  <c r="G627" i="48"/>
  <c r="H627" i="48"/>
  <c r="D627" i="48"/>
  <c r="G627" i="47"/>
  <c r="D627" i="47"/>
  <c r="C627" i="47"/>
  <c r="I627" i="47"/>
  <c r="B628" i="47" s="1"/>
  <c r="H627" i="47"/>
  <c r="D576" i="35"/>
  <c r="C576" i="35"/>
  <c r="I576" i="35"/>
  <c r="B577" i="35" s="1"/>
  <c r="H576" i="35"/>
  <c r="G576" i="35"/>
  <c r="I629" i="55" l="1"/>
  <c r="B630" i="55" s="1"/>
  <c r="H629" i="55"/>
  <c r="G629" i="55"/>
  <c r="D629" i="55"/>
  <c r="C629" i="55"/>
  <c r="H629" i="54"/>
  <c r="G629" i="54"/>
  <c r="D629" i="54"/>
  <c r="C629" i="54"/>
  <c r="I629" i="54"/>
  <c r="B630" i="54" s="1"/>
  <c r="I629" i="53"/>
  <c r="B630" i="53" s="1"/>
  <c r="H629" i="53"/>
  <c r="G629" i="53"/>
  <c r="D629" i="53"/>
  <c r="C629" i="53"/>
  <c r="H629" i="52"/>
  <c r="G629" i="52"/>
  <c r="D629" i="52"/>
  <c r="C629" i="52"/>
  <c r="I629" i="52"/>
  <c r="B630" i="52" s="1"/>
  <c r="D629" i="51"/>
  <c r="C629" i="51"/>
  <c r="I629" i="51"/>
  <c r="B630" i="51" s="1"/>
  <c r="H629" i="51"/>
  <c r="G629" i="51"/>
  <c r="H628" i="50"/>
  <c r="D628" i="50"/>
  <c r="C628" i="50"/>
  <c r="I628" i="50"/>
  <c r="B629" i="50" s="1"/>
  <c r="G628" i="50"/>
  <c r="H628" i="49"/>
  <c r="G628" i="49"/>
  <c r="C628" i="49"/>
  <c r="D628" i="49"/>
  <c r="I628" i="49"/>
  <c r="B629" i="49" s="1"/>
  <c r="D628" i="48"/>
  <c r="H628" i="48"/>
  <c r="I628" i="48"/>
  <c r="B629" i="48" s="1"/>
  <c r="G628" i="48"/>
  <c r="C628" i="48"/>
  <c r="I628" i="47"/>
  <c r="B629" i="47" s="1"/>
  <c r="H628" i="47"/>
  <c r="G628" i="47"/>
  <c r="C628" i="47"/>
  <c r="D628" i="47"/>
  <c r="H577" i="35"/>
  <c r="G577" i="35"/>
  <c r="I577" i="35"/>
  <c r="B578" i="35" s="1"/>
  <c r="D577" i="35"/>
  <c r="C577" i="35"/>
  <c r="I630" i="55" l="1"/>
  <c r="B631" i="55" s="1"/>
  <c r="H630" i="55"/>
  <c r="G630" i="55"/>
  <c r="D630" i="55"/>
  <c r="C630" i="55"/>
  <c r="I630" i="54"/>
  <c r="B631" i="54" s="1"/>
  <c r="H630" i="54"/>
  <c r="G630" i="54"/>
  <c r="D630" i="54"/>
  <c r="C630" i="54"/>
  <c r="D630" i="53"/>
  <c r="I630" i="53"/>
  <c r="B631" i="53" s="1"/>
  <c r="H630" i="53"/>
  <c r="C630" i="53"/>
  <c r="G630" i="53"/>
  <c r="I630" i="52"/>
  <c r="B631" i="52" s="1"/>
  <c r="H630" i="52"/>
  <c r="G630" i="52"/>
  <c r="D630" i="52"/>
  <c r="C630" i="52"/>
  <c r="H630" i="51"/>
  <c r="G630" i="51"/>
  <c r="D630" i="51"/>
  <c r="C630" i="51"/>
  <c r="I630" i="51"/>
  <c r="B631" i="51" s="1"/>
  <c r="H629" i="50"/>
  <c r="G629" i="50"/>
  <c r="D629" i="50"/>
  <c r="I629" i="50"/>
  <c r="B630" i="50" s="1"/>
  <c r="C629" i="50"/>
  <c r="C629" i="49"/>
  <c r="I629" i="49"/>
  <c r="B630" i="49" s="1"/>
  <c r="G629" i="49"/>
  <c r="D629" i="49"/>
  <c r="H629" i="49"/>
  <c r="H629" i="48"/>
  <c r="G629" i="48"/>
  <c r="D629" i="48"/>
  <c r="C629" i="48"/>
  <c r="I629" i="48"/>
  <c r="B630" i="48" s="1"/>
  <c r="I629" i="47"/>
  <c r="B630" i="47" s="1"/>
  <c r="G629" i="47"/>
  <c r="H629" i="47"/>
  <c r="D629" i="47"/>
  <c r="C629" i="47"/>
  <c r="D578" i="35"/>
  <c r="I578" i="35"/>
  <c r="B579" i="35" s="1"/>
  <c r="C578" i="35"/>
  <c r="H578" i="35"/>
  <c r="G578" i="35"/>
  <c r="D631" i="55" l="1"/>
  <c r="C631" i="55"/>
  <c r="I631" i="55"/>
  <c r="B632" i="55" s="1"/>
  <c r="H631" i="55"/>
  <c r="G631" i="55"/>
  <c r="I631" i="54"/>
  <c r="B632" i="54" s="1"/>
  <c r="H631" i="54"/>
  <c r="D631" i="54"/>
  <c r="G631" i="54"/>
  <c r="C631" i="54"/>
  <c r="H631" i="53"/>
  <c r="D631" i="53"/>
  <c r="C631" i="53"/>
  <c r="I631" i="53"/>
  <c r="B632" i="53" s="1"/>
  <c r="G631" i="53"/>
  <c r="I631" i="52"/>
  <c r="B632" i="52" s="1"/>
  <c r="H631" i="52"/>
  <c r="D631" i="52"/>
  <c r="G631" i="52"/>
  <c r="C631" i="52"/>
  <c r="I631" i="51"/>
  <c r="B632" i="51" s="1"/>
  <c r="H631" i="51"/>
  <c r="G631" i="51"/>
  <c r="D631" i="51"/>
  <c r="C631" i="51"/>
  <c r="I630" i="50"/>
  <c r="B631" i="50" s="1"/>
  <c r="H630" i="50"/>
  <c r="G630" i="50"/>
  <c r="D630" i="50"/>
  <c r="C630" i="50"/>
  <c r="G630" i="49"/>
  <c r="D630" i="49"/>
  <c r="I630" i="49"/>
  <c r="B631" i="49" s="1"/>
  <c r="H630" i="49"/>
  <c r="C630" i="49"/>
  <c r="I630" i="48"/>
  <c r="B631" i="48" s="1"/>
  <c r="H630" i="48"/>
  <c r="G630" i="48"/>
  <c r="D630" i="48"/>
  <c r="C630" i="48"/>
  <c r="C630" i="47"/>
  <c r="I630" i="47"/>
  <c r="B631" i="47" s="1"/>
  <c r="H630" i="47"/>
  <c r="G630" i="47"/>
  <c r="D630" i="47"/>
  <c r="C579" i="35"/>
  <c r="H579" i="35"/>
  <c r="G579" i="35"/>
  <c r="D579" i="35"/>
  <c r="I579" i="35"/>
  <c r="B580" i="35" s="1"/>
  <c r="H632" i="55" l="1"/>
  <c r="G632" i="55"/>
  <c r="D632" i="55"/>
  <c r="C632" i="55"/>
  <c r="I632" i="55"/>
  <c r="B633" i="55" s="1"/>
  <c r="D632" i="54"/>
  <c r="C632" i="54"/>
  <c r="H632" i="54"/>
  <c r="I632" i="54"/>
  <c r="B633" i="54" s="1"/>
  <c r="G632" i="54"/>
  <c r="H632" i="53"/>
  <c r="G632" i="53"/>
  <c r="D632" i="53"/>
  <c r="C632" i="53"/>
  <c r="I632" i="53"/>
  <c r="B633" i="53" s="1"/>
  <c r="D632" i="52"/>
  <c r="C632" i="52"/>
  <c r="H632" i="52"/>
  <c r="I632" i="52"/>
  <c r="B633" i="52" s="1"/>
  <c r="G632" i="52"/>
  <c r="I632" i="51"/>
  <c r="B633" i="51" s="1"/>
  <c r="H632" i="51"/>
  <c r="G632" i="51"/>
  <c r="D632" i="51"/>
  <c r="C632" i="51"/>
  <c r="I631" i="50"/>
  <c r="B632" i="50" s="1"/>
  <c r="H631" i="50"/>
  <c r="G631" i="50"/>
  <c r="D631" i="50"/>
  <c r="C631" i="50"/>
  <c r="I631" i="49"/>
  <c r="B632" i="49" s="1"/>
  <c r="H631" i="49"/>
  <c r="D631" i="49"/>
  <c r="C631" i="49"/>
  <c r="G631" i="49"/>
  <c r="I631" i="48"/>
  <c r="B632" i="48" s="1"/>
  <c r="H631" i="48"/>
  <c r="D631" i="48"/>
  <c r="G631" i="48"/>
  <c r="C631" i="48"/>
  <c r="G631" i="47"/>
  <c r="D631" i="47"/>
  <c r="C631" i="47"/>
  <c r="I631" i="47"/>
  <c r="B632" i="47" s="1"/>
  <c r="H631" i="47"/>
  <c r="D580" i="35"/>
  <c r="C580" i="35"/>
  <c r="H580" i="35"/>
  <c r="G580" i="35"/>
  <c r="I580" i="35"/>
  <c r="B581" i="35" s="1"/>
  <c r="I633" i="55" l="1"/>
  <c r="B634" i="55" s="1"/>
  <c r="H633" i="55"/>
  <c r="G633" i="55"/>
  <c r="D633" i="55"/>
  <c r="C633" i="55"/>
  <c r="H633" i="54"/>
  <c r="G633" i="54"/>
  <c r="D633" i="54"/>
  <c r="C633" i="54"/>
  <c r="I633" i="54"/>
  <c r="B634" i="54" s="1"/>
  <c r="I633" i="53"/>
  <c r="B634" i="53" s="1"/>
  <c r="H633" i="53"/>
  <c r="G633" i="53"/>
  <c r="C633" i="53"/>
  <c r="D633" i="53"/>
  <c r="H633" i="52"/>
  <c r="G633" i="52"/>
  <c r="D633" i="52"/>
  <c r="C633" i="52"/>
  <c r="I633" i="52"/>
  <c r="B634" i="52" s="1"/>
  <c r="D633" i="51"/>
  <c r="C633" i="51"/>
  <c r="I633" i="51"/>
  <c r="B634" i="51" s="1"/>
  <c r="H633" i="51"/>
  <c r="G633" i="51"/>
  <c r="D632" i="50"/>
  <c r="C632" i="50"/>
  <c r="I632" i="50"/>
  <c r="B633" i="50" s="1"/>
  <c r="H632" i="50"/>
  <c r="G632" i="50"/>
  <c r="H632" i="49"/>
  <c r="G632" i="49"/>
  <c r="C632" i="49"/>
  <c r="I632" i="49"/>
  <c r="B633" i="49" s="1"/>
  <c r="D632" i="49"/>
  <c r="D632" i="48"/>
  <c r="C632" i="48"/>
  <c r="H632" i="48"/>
  <c r="I632" i="48"/>
  <c r="B633" i="48" s="1"/>
  <c r="G632" i="48"/>
  <c r="I632" i="47"/>
  <c r="B633" i="47" s="1"/>
  <c r="H632" i="47"/>
  <c r="G632" i="47"/>
  <c r="C632" i="47"/>
  <c r="D632" i="47"/>
  <c r="H581" i="35"/>
  <c r="G581" i="35"/>
  <c r="C581" i="35"/>
  <c r="I581" i="35"/>
  <c r="B582" i="35" s="1"/>
  <c r="D581" i="35"/>
  <c r="I634" i="55" l="1"/>
  <c r="B635" i="55" s="1"/>
  <c r="H634" i="55"/>
  <c r="G634" i="55"/>
  <c r="D634" i="55"/>
  <c r="C634" i="55"/>
  <c r="I634" i="54"/>
  <c r="B635" i="54" s="1"/>
  <c r="H634" i="54"/>
  <c r="G634" i="54"/>
  <c r="D634" i="54"/>
  <c r="C634" i="54"/>
  <c r="D634" i="53"/>
  <c r="I634" i="53"/>
  <c r="B635" i="53" s="1"/>
  <c r="H634" i="53"/>
  <c r="G634" i="53"/>
  <c r="C634" i="53"/>
  <c r="I634" i="52"/>
  <c r="B635" i="52" s="1"/>
  <c r="H634" i="52"/>
  <c r="G634" i="52"/>
  <c r="D634" i="52"/>
  <c r="C634" i="52"/>
  <c r="H634" i="51"/>
  <c r="G634" i="51"/>
  <c r="D634" i="51"/>
  <c r="C634" i="51"/>
  <c r="I634" i="51"/>
  <c r="B635" i="51" s="1"/>
  <c r="H633" i="50"/>
  <c r="G633" i="50"/>
  <c r="D633" i="50"/>
  <c r="C633" i="50"/>
  <c r="I633" i="50"/>
  <c r="B634" i="50" s="1"/>
  <c r="C633" i="49"/>
  <c r="I633" i="49"/>
  <c r="B634" i="49" s="1"/>
  <c r="G633" i="49"/>
  <c r="H633" i="49"/>
  <c r="D633" i="49"/>
  <c r="H633" i="48"/>
  <c r="G633" i="48"/>
  <c r="D633" i="48"/>
  <c r="C633" i="48"/>
  <c r="I633" i="48"/>
  <c r="B634" i="48" s="1"/>
  <c r="I633" i="47"/>
  <c r="B634" i="47" s="1"/>
  <c r="G633" i="47"/>
  <c r="H633" i="47"/>
  <c r="D633" i="47"/>
  <c r="C633" i="47"/>
  <c r="I582" i="35"/>
  <c r="B583" i="35" s="1"/>
  <c r="D582" i="35"/>
  <c r="G582" i="35"/>
  <c r="C582" i="35"/>
  <c r="H582" i="35"/>
  <c r="D635" i="55" l="1"/>
  <c r="C635" i="55"/>
  <c r="I635" i="55"/>
  <c r="B636" i="55" s="1"/>
  <c r="H635" i="55"/>
  <c r="G635" i="55"/>
  <c r="I635" i="54"/>
  <c r="B636" i="54" s="1"/>
  <c r="H635" i="54"/>
  <c r="D635" i="54"/>
  <c r="C635" i="54"/>
  <c r="G635" i="54"/>
  <c r="H635" i="53"/>
  <c r="D635" i="53"/>
  <c r="C635" i="53"/>
  <c r="I635" i="53"/>
  <c r="B636" i="53" s="1"/>
  <c r="G635" i="53"/>
  <c r="I635" i="52"/>
  <c r="B636" i="52" s="1"/>
  <c r="H635" i="52"/>
  <c r="D635" i="52"/>
  <c r="G635" i="52"/>
  <c r="C635" i="52"/>
  <c r="I635" i="51"/>
  <c r="B636" i="51" s="1"/>
  <c r="H635" i="51"/>
  <c r="G635" i="51"/>
  <c r="D635" i="51"/>
  <c r="C635" i="51"/>
  <c r="I634" i="50"/>
  <c r="B635" i="50" s="1"/>
  <c r="H634" i="50"/>
  <c r="G634" i="50"/>
  <c r="D634" i="50"/>
  <c r="C634" i="50"/>
  <c r="G634" i="49"/>
  <c r="D634" i="49"/>
  <c r="I634" i="49"/>
  <c r="B635" i="49" s="1"/>
  <c r="H634" i="49"/>
  <c r="C634" i="49"/>
  <c r="I634" i="48"/>
  <c r="B635" i="48" s="1"/>
  <c r="H634" i="48"/>
  <c r="G634" i="48"/>
  <c r="D634" i="48"/>
  <c r="C634" i="48"/>
  <c r="C634" i="47"/>
  <c r="I634" i="47"/>
  <c r="B635" i="47" s="1"/>
  <c r="H634" i="47"/>
  <c r="G634" i="47"/>
  <c r="D634" i="47"/>
  <c r="C583" i="35"/>
  <c r="H583" i="35"/>
  <c r="G583" i="35"/>
  <c r="D583" i="35"/>
  <c r="I583" i="35"/>
  <c r="B584" i="35" s="1"/>
  <c r="H636" i="55" l="1"/>
  <c r="G636" i="55"/>
  <c r="D636" i="55"/>
  <c r="C636" i="55"/>
  <c r="I636" i="55"/>
  <c r="B637" i="55" s="1"/>
  <c r="D636" i="54"/>
  <c r="C636" i="54"/>
  <c r="H636" i="54"/>
  <c r="I636" i="54"/>
  <c r="B637" i="54" s="1"/>
  <c r="G636" i="54"/>
  <c r="H636" i="53"/>
  <c r="G636" i="53"/>
  <c r="D636" i="53"/>
  <c r="C636" i="53"/>
  <c r="I636" i="53"/>
  <c r="B637" i="53" s="1"/>
  <c r="D636" i="52"/>
  <c r="C636" i="52"/>
  <c r="H636" i="52"/>
  <c r="I636" i="52"/>
  <c r="B637" i="52" s="1"/>
  <c r="G636" i="52"/>
  <c r="I636" i="51"/>
  <c r="B637" i="51" s="1"/>
  <c r="H636" i="51"/>
  <c r="G636" i="51"/>
  <c r="D636" i="51"/>
  <c r="C636" i="51"/>
  <c r="I635" i="50"/>
  <c r="B636" i="50" s="1"/>
  <c r="H635" i="50"/>
  <c r="G635" i="50"/>
  <c r="D635" i="50"/>
  <c r="C635" i="50"/>
  <c r="I635" i="49"/>
  <c r="B636" i="49" s="1"/>
  <c r="H635" i="49"/>
  <c r="D635" i="49"/>
  <c r="C635" i="49"/>
  <c r="G635" i="49"/>
  <c r="I635" i="48"/>
  <c r="B636" i="48" s="1"/>
  <c r="H635" i="48"/>
  <c r="D635" i="48"/>
  <c r="G635" i="48"/>
  <c r="C635" i="48"/>
  <c r="G635" i="47"/>
  <c r="D635" i="47"/>
  <c r="C635" i="47"/>
  <c r="I635" i="47"/>
  <c r="B636" i="47" s="1"/>
  <c r="H635" i="47"/>
  <c r="C584" i="35"/>
  <c r="D584" i="35"/>
  <c r="G584" i="35"/>
  <c r="I584" i="35"/>
  <c r="B585" i="35" s="1"/>
  <c r="H584" i="35"/>
  <c r="I637" i="55" l="1"/>
  <c r="B638" i="55" s="1"/>
  <c r="H637" i="55"/>
  <c r="G637" i="55"/>
  <c r="D637" i="55"/>
  <c r="C637" i="55"/>
  <c r="H637" i="54"/>
  <c r="G637" i="54"/>
  <c r="D637" i="54"/>
  <c r="C637" i="54"/>
  <c r="I637" i="54"/>
  <c r="B638" i="54" s="1"/>
  <c r="I637" i="53"/>
  <c r="B638" i="53" s="1"/>
  <c r="H637" i="53"/>
  <c r="G637" i="53"/>
  <c r="D637" i="53"/>
  <c r="C637" i="53"/>
  <c r="H637" i="52"/>
  <c r="G637" i="52"/>
  <c r="D637" i="52"/>
  <c r="C637" i="52"/>
  <c r="I637" i="52"/>
  <c r="B638" i="52" s="1"/>
  <c r="D637" i="51"/>
  <c r="C637" i="51"/>
  <c r="I637" i="51"/>
  <c r="B638" i="51" s="1"/>
  <c r="H637" i="51"/>
  <c r="G637" i="51"/>
  <c r="D636" i="50"/>
  <c r="C636" i="50"/>
  <c r="I636" i="50"/>
  <c r="B637" i="50" s="1"/>
  <c r="H636" i="50"/>
  <c r="G636" i="50"/>
  <c r="H636" i="49"/>
  <c r="G636" i="49"/>
  <c r="C636" i="49"/>
  <c r="D636" i="49"/>
  <c r="I636" i="49"/>
  <c r="B637" i="49" s="1"/>
  <c r="D636" i="48"/>
  <c r="C636" i="48"/>
  <c r="H636" i="48"/>
  <c r="I636" i="48"/>
  <c r="B637" i="48" s="1"/>
  <c r="G636" i="48"/>
  <c r="I636" i="47"/>
  <c r="B637" i="47" s="1"/>
  <c r="H636" i="47"/>
  <c r="G636" i="47"/>
  <c r="C636" i="47"/>
  <c r="D636" i="47"/>
  <c r="G585" i="35"/>
  <c r="H585" i="35"/>
  <c r="D585" i="35"/>
  <c r="I585" i="35"/>
  <c r="B586" i="35" s="1"/>
  <c r="C585" i="35"/>
  <c r="I638" i="55" l="1"/>
  <c r="B639" i="55" s="1"/>
  <c r="H638" i="55"/>
  <c r="G638" i="55"/>
  <c r="D638" i="55"/>
  <c r="C638" i="55"/>
  <c r="I638" i="54"/>
  <c r="B639" i="54" s="1"/>
  <c r="H638" i="54"/>
  <c r="G638" i="54"/>
  <c r="D638" i="54"/>
  <c r="C638" i="54"/>
  <c r="D638" i="53"/>
  <c r="I638" i="53"/>
  <c r="B639" i="53" s="1"/>
  <c r="H638" i="53"/>
  <c r="G638" i="53"/>
  <c r="C638" i="53"/>
  <c r="I638" i="52"/>
  <c r="B639" i="52" s="1"/>
  <c r="H638" i="52"/>
  <c r="G638" i="52"/>
  <c r="D638" i="52"/>
  <c r="C638" i="52"/>
  <c r="H638" i="51"/>
  <c r="G638" i="51"/>
  <c r="D638" i="51"/>
  <c r="C638" i="51"/>
  <c r="I638" i="51"/>
  <c r="B639" i="51" s="1"/>
  <c r="H637" i="50"/>
  <c r="G637" i="50"/>
  <c r="D637" i="50"/>
  <c r="C637" i="50"/>
  <c r="I637" i="50"/>
  <c r="B638" i="50" s="1"/>
  <c r="C637" i="49"/>
  <c r="I637" i="49"/>
  <c r="B638" i="49" s="1"/>
  <c r="G637" i="49"/>
  <c r="H637" i="49"/>
  <c r="D637" i="49"/>
  <c r="H637" i="48"/>
  <c r="G637" i="48"/>
  <c r="D637" i="48"/>
  <c r="C637" i="48"/>
  <c r="I637" i="48"/>
  <c r="B638" i="48" s="1"/>
  <c r="I637" i="47"/>
  <c r="B638" i="47" s="1"/>
  <c r="G637" i="47"/>
  <c r="H637" i="47"/>
  <c r="D637" i="47"/>
  <c r="C637" i="47"/>
  <c r="I586" i="35"/>
  <c r="B587" i="35" s="1"/>
  <c r="D586" i="35"/>
  <c r="C586" i="35"/>
  <c r="H586" i="35"/>
  <c r="G586" i="35"/>
  <c r="D639" i="55" l="1"/>
  <c r="C639" i="55"/>
  <c r="I639" i="55"/>
  <c r="B640" i="55" s="1"/>
  <c r="H639" i="55"/>
  <c r="G639" i="55"/>
  <c r="I639" i="54"/>
  <c r="B640" i="54" s="1"/>
  <c r="H639" i="54"/>
  <c r="D639" i="54"/>
  <c r="G639" i="54"/>
  <c r="C639" i="54"/>
  <c r="H639" i="53"/>
  <c r="D639" i="53"/>
  <c r="C639" i="53"/>
  <c r="G639" i="53"/>
  <c r="I639" i="53"/>
  <c r="B640" i="53" s="1"/>
  <c r="I639" i="52"/>
  <c r="B640" i="52" s="1"/>
  <c r="H639" i="52"/>
  <c r="D639" i="52"/>
  <c r="G639" i="52"/>
  <c r="C639" i="52"/>
  <c r="I639" i="51"/>
  <c r="B640" i="51" s="1"/>
  <c r="H639" i="51"/>
  <c r="G639" i="51"/>
  <c r="D639" i="51"/>
  <c r="C639" i="51"/>
  <c r="I638" i="50"/>
  <c r="B639" i="50" s="1"/>
  <c r="H638" i="50"/>
  <c r="G638" i="50"/>
  <c r="D638" i="50"/>
  <c r="C638" i="50"/>
  <c r="G638" i="49"/>
  <c r="D638" i="49"/>
  <c r="I638" i="49"/>
  <c r="B639" i="49" s="1"/>
  <c r="H638" i="49"/>
  <c r="C638" i="49"/>
  <c r="I638" i="48"/>
  <c r="B639" i="48" s="1"/>
  <c r="H638" i="48"/>
  <c r="G638" i="48"/>
  <c r="D638" i="48"/>
  <c r="C638" i="48"/>
  <c r="C638" i="47"/>
  <c r="I638" i="47"/>
  <c r="B639" i="47" s="1"/>
  <c r="H638" i="47"/>
  <c r="G638" i="47"/>
  <c r="D638" i="47"/>
  <c r="C587" i="35"/>
  <c r="H587" i="35"/>
  <c r="G587" i="35"/>
  <c r="D587" i="35"/>
  <c r="I587" i="35"/>
  <c r="B588" i="35" s="1"/>
  <c r="H640" i="55" l="1"/>
  <c r="G640" i="55"/>
  <c r="D640" i="55"/>
  <c r="C640" i="55"/>
  <c r="I640" i="55"/>
  <c r="B641" i="55" s="1"/>
  <c r="D640" i="54"/>
  <c r="C640" i="54"/>
  <c r="H640" i="54"/>
  <c r="G640" i="54"/>
  <c r="I640" i="54"/>
  <c r="B641" i="54" s="1"/>
  <c r="H640" i="53"/>
  <c r="G640" i="53"/>
  <c r="D640" i="53"/>
  <c r="C640" i="53"/>
  <c r="I640" i="53"/>
  <c r="B641" i="53" s="1"/>
  <c r="D640" i="52"/>
  <c r="C640" i="52"/>
  <c r="H640" i="52"/>
  <c r="I640" i="52"/>
  <c r="B641" i="52" s="1"/>
  <c r="G640" i="52"/>
  <c r="I640" i="51"/>
  <c r="B641" i="51" s="1"/>
  <c r="H640" i="51"/>
  <c r="G640" i="51"/>
  <c r="D640" i="51"/>
  <c r="C640" i="51"/>
  <c r="I639" i="50"/>
  <c r="B640" i="50" s="1"/>
  <c r="H639" i="50"/>
  <c r="G639" i="50"/>
  <c r="D639" i="50"/>
  <c r="C639" i="50"/>
  <c r="I639" i="49"/>
  <c r="B640" i="49" s="1"/>
  <c r="H639" i="49"/>
  <c r="D639" i="49"/>
  <c r="C639" i="49"/>
  <c r="G639" i="49"/>
  <c r="I639" i="48"/>
  <c r="B640" i="48" s="1"/>
  <c r="H639" i="48"/>
  <c r="D639" i="48"/>
  <c r="G639" i="48"/>
  <c r="C639" i="48"/>
  <c r="G639" i="47"/>
  <c r="D639" i="47"/>
  <c r="C639" i="47"/>
  <c r="I639" i="47"/>
  <c r="B640" i="47" s="1"/>
  <c r="H639" i="47"/>
  <c r="D588" i="35"/>
  <c r="C588" i="35"/>
  <c r="H588" i="35"/>
  <c r="G588" i="35"/>
  <c r="I588" i="35"/>
  <c r="B589" i="35" s="1"/>
  <c r="I641" i="55" l="1"/>
  <c r="B642" i="55" s="1"/>
  <c r="H641" i="55"/>
  <c r="G641" i="55"/>
  <c r="D641" i="55"/>
  <c r="C641" i="55"/>
  <c r="H641" i="54"/>
  <c r="G641" i="54"/>
  <c r="D641" i="54"/>
  <c r="C641" i="54"/>
  <c r="I641" i="54"/>
  <c r="B642" i="54" s="1"/>
  <c r="I641" i="53"/>
  <c r="B642" i="53" s="1"/>
  <c r="H641" i="53"/>
  <c r="G641" i="53"/>
  <c r="D641" i="53"/>
  <c r="C641" i="53"/>
  <c r="H641" i="52"/>
  <c r="G641" i="52"/>
  <c r="D641" i="52"/>
  <c r="C641" i="52"/>
  <c r="I641" i="52"/>
  <c r="B642" i="52" s="1"/>
  <c r="D641" i="51"/>
  <c r="C641" i="51"/>
  <c r="I641" i="51"/>
  <c r="B642" i="51" s="1"/>
  <c r="H641" i="51"/>
  <c r="G641" i="51"/>
  <c r="D640" i="50"/>
  <c r="C640" i="50"/>
  <c r="I640" i="50"/>
  <c r="B641" i="50" s="1"/>
  <c r="H640" i="50"/>
  <c r="G640" i="50"/>
  <c r="H640" i="49"/>
  <c r="G640" i="49"/>
  <c r="C640" i="49"/>
  <c r="I640" i="49"/>
  <c r="B641" i="49" s="1"/>
  <c r="D640" i="49"/>
  <c r="D640" i="48"/>
  <c r="C640" i="48"/>
  <c r="H640" i="48"/>
  <c r="I640" i="48"/>
  <c r="B641" i="48" s="1"/>
  <c r="G640" i="48"/>
  <c r="I640" i="47"/>
  <c r="B641" i="47" s="1"/>
  <c r="H640" i="47"/>
  <c r="G640" i="47"/>
  <c r="C640" i="47"/>
  <c r="D640" i="47"/>
  <c r="G589" i="35"/>
  <c r="H589" i="35"/>
  <c r="C589" i="35"/>
  <c r="I589" i="35"/>
  <c r="B590" i="35" s="1"/>
  <c r="D589" i="35"/>
  <c r="I642" i="55" l="1"/>
  <c r="B643" i="55" s="1"/>
  <c r="H642" i="55"/>
  <c r="G642" i="55"/>
  <c r="D642" i="55"/>
  <c r="C642" i="55"/>
  <c r="I642" i="54"/>
  <c r="B643" i="54" s="1"/>
  <c r="H642" i="54"/>
  <c r="G642" i="54"/>
  <c r="D642" i="54"/>
  <c r="C642" i="54"/>
  <c r="G642" i="53"/>
  <c r="D642" i="53"/>
  <c r="I642" i="53"/>
  <c r="B643" i="53" s="1"/>
  <c r="H642" i="53"/>
  <c r="C642" i="53"/>
  <c r="I642" i="52"/>
  <c r="B643" i="52" s="1"/>
  <c r="H642" i="52"/>
  <c r="G642" i="52"/>
  <c r="D642" i="52"/>
  <c r="C642" i="52"/>
  <c r="H642" i="51"/>
  <c r="G642" i="51"/>
  <c r="D642" i="51"/>
  <c r="C642" i="51"/>
  <c r="I642" i="51"/>
  <c r="B643" i="51" s="1"/>
  <c r="H641" i="50"/>
  <c r="G641" i="50"/>
  <c r="D641" i="50"/>
  <c r="C641" i="50"/>
  <c r="I641" i="50"/>
  <c r="B642" i="50" s="1"/>
  <c r="C641" i="49"/>
  <c r="I641" i="49"/>
  <c r="B642" i="49" s="1"/>
  <c r="G641" i="49"/>
  <c r="H641" i="49"/>
  <c r="D641" i="49"/>
  <c r="H641" i="48"/>
  <c r="G641" i="48"/>
  <c r="D641" i="48"/>
  <c r="C641" i="48"/>
  <c r="I641" i="48"/>
  <c r="B642" i="48" s="1"/>
  <c r="I641" i="47"/>
  <c r="B642" i="47" s="1"/>
  <c r="G641" i="47"/>
  <c r="H641" i="47"/>
  <c r="D641" i="47"/>
  <c r="C641" i="47"/>
  <c r="I590" i="35"/>
  <c r="B591" i="35" s="1"/>
  <c r="D590" i="35"/>
  <c r="C590" i="35"/>
  <c r="H590" i="35"/>
  <c r="G590" i="35"/>
  <c r="D643" i="55" l="1"/>
  <c r="C643" i="55"/>
  <c r="I643" i="55"/>
  <c r="B644" i="55" s="1"/>
  <c r="H643" i="55"/>
  <c r="G643" i="55"/>
  <c r="I643" i="54"/>
  <c r="B644" i="54" s="1"/>
  <c r="H643" i="54"/>
  <c r="D643" i="54"/>
  <c r="G643" i="54"/>
  <c r="C643" i="54"/>
  <c r="I643" i="53"/>
  <c r="B644" i="53" s="1"/>
  <c r="C643" i="53"/>
  <c r="H643" i="53"/>
  <c r="G643" i="53"/>
  <c r="D643" i="53"/>
  <c r="I643" i="52"/>
  <c r="B644" i="52" s="1"/>
  <c r="H643" i="52"/>
  <c r="D643" i="52"/>
  <c r="G643" i="52"/>
  <c r="C643" i="52"/>
  <c r="I643" i="51"/>
  <c r="B644" i="51" s="1"/>
  <c r="H643" i="51"/>
  <c r="G643" i="51"/>
  <c r="D643" i="51"/>
  <c r="C643" i="51"/>
  <c r="I642" i="50"/>
  <c r="B643" i="50" s="1"/>
  <c r="H642" i="50"/>
  <c r="G642" i="50"/>
  <c r="D642" i="50"/>
  <c r="C642" i="50"/>
  <c r="G642" i="49"/>
  <c r="D642" i="49"/>
  <c r="I642" i="49"/>
  <c r="B643" i="49" s="1"/>
  <c r="H642" i="49"/>
  <c r="C642" i="49"/>
  <c r="I642" i="48"/>
  <c r="B643" i="48" s="1"/>
  <c r="H642" i="48"/>
  <c r="G642" i="48"/>
  <c r="D642" i="48"/>
  <c r="C642" i="48"/>
  <c r="C642" i="47"/>
  <c r="I642" i="47"/>
  <c r="B643" i="47" s="1"/>
  <c r="H642" i="47"/>
  <c r="G642" i="47"/>
  <c r="D642" i="47"/>
  <c r="C591" i="35"/>
  <c r="H591" i="35"/>
  <c r="G591" i="35"/>
  <c r="I591" i="35"/>
  <c r="B592" i="35" s="1"/>
  <c r="D591" i="35"/>
  <c r="H644" i="55" l="1"/>
  <c r="G644" i="55"/>
  <c r="D644" i="55"/>
  <c r="C644" i="55"/>
  <c r="I644" i="55"/>
  <c r="B645" i="55" s="1"/>
  <c r="D644" i="54"/>
  <c r="C644" i="54"/>
  <c r="H644" i="54"/>
  <c r="I644" i="54"/>
  <c r="B645" i="54" s="1"/>
  <c r="G644" i="54"/>
  <c r="G644" i="53"/>
  <c r="C644" i="53"/>
  <c r="I644" i="53"/>
  <c r="B645" i="53" s="1"/>
  <c r="D644" i="53"/>
  <c r="H644" i="53"/>
  <c r="D644" i="52"/>
  <c r="C644" i="52"/>
  <c r="H644" i="52"/>
  <c r="I644" i="52"/>
  <c r="B645" i="52" s="1"/>
  <c r="G644" i="52"/>
  <c r="I644" i="51"/>
  <c r="B645" i="51" s="1"/>
  <c r="H644" i="51"/>
  <c r="G644" i="51"/>
  <c r="D644" i="51"/>
  <c r="C644" i="51"/>
  <c r="I643" i="50"/>
  <c r="B644" i="50" s="1"/>
  <c r="H643" i="50"/>
  <c r="G643" i="50"/>
  <c r="D643" i="50"/>
  <c r="C643" i="50"/>
  <c r="I643" i="49"/>
  <c r="B644" i="49" s="1"/>
  <c r="H643" i="49"/>
  <c r="D643" i="49"/>
  <c r="C643" i="49"/>
  <c r="G643" i="49"/>
  <c r="I643" i="48"/>
  <c r="B644" i="48" s="1"/>
  <c r="H643" i="48"/>
  <c r="D643" i="48"/>
  <c r="G643" i="48"/>
  <c r="C643" i="48"/>
  <c r="G643" i="47"/>
  <c r="D643" i="47"/>
  <c r="C643" i="47"/>
  <c r="I643" i="47"/>
  <c r="B644" i="47" s="1"/>
  <c r="H643" i="47"/>
  <c r="D592" i="35"/>
  <c r="H592" i="35"/>
  <c r="G592" i="35"/>
  <c r="C592" i="35"/>
  <c r="I592" i="35"/>
  <c r="B593" i="35" s="1"/>
  <c r="I645" i="55" l="1"/>
  <c r="B646" i="55" s="1"/>
  <c r="H645" i="55"/>
  <c r="G645" i="55"/>
  <c r="D645" i="55"/>
  <c r="C645" i="55"/>
  <c r="H645" i="54"/>
  <c r="G645" i="54"/>
  <c r="D645" i="54"/>
  <c r="C645" i="54"/>
  <c r="I645" i="54"/>
  <c r="B646" i="54" s="1"/>
  <c r="C645" i="53"/>
  <c r="I645" i="53"/>
  <c r="B646" i="53" s="1"/>
  <c r="G645" i="53"/>
  <c r="D645" i="53"/>
  <c r="H645" i="53"/>
  <c r="H645" i="52"/>
  <c r="G645" i="52"/>
  <c r="D645" i="52"/>
  <c r="C645" i="52"/>
  <c r="I645" i="52"/>
  <c r="B646" i="52" s="1"/>
  <c r="D645" i="51"/>
  <c r="C645" i="51"/>
  <c r="I645" i="51"/>
  <c r="B646" i="51" s="1"/>
  <c r="H645" i="51"/>
  <c r="G645" i="51"/>
  <c r="D644" i="50"/>
  <c r="C644" i="50"/>
  <c r="I644" i="50"/>
  <c r="B645" i="50" s="1"/>
  <c r="H644" i="50"/>
  <c r="G644" i="50"/>
  <c r="H644" i="49"/>
  <c r="G644" i="49"/>
  <c r="C644" i="49"/>
  <c r="I644" i="49"/>
  <c r="B645" i="49" s="1"/>
  <c r="D644" i="49"/>
  <c r="D644" i="48"/>
  <c r="C644" i="48"/>
  <c r="H644" i="48"/>
  <c r="I644" i="48"/>
  <c r="B645" i="48" s="1"/>
  <c r="G644" i="48"/>
  <c r="I644" i="47"/>
  <c r="B645" i="47" s="1"/>
  <c r="H644" i="47"/>
  <c r="G644" i="47"/>
  <c r="C644" i="47"/>
  <c r="D644" i="47"/>
  <c r="H593" i="35"/>
  <c r="G593" i="35"/>
  <c r="C593" i="35"/>
  <c r="D593" i="35"/>
  <c r="I593" i="35"/>
  <c r="B594" i="35" s="1"/>
  <c r="I646" i="55" l="1"/>
  <c r="B647" i="55" s="1"/>
  <c r="H646" i="55"/>
  <c r="G646" i="55"/>
  <c r="D646" i="55"/>
  <c r="C646" i="55"/>
  <c r="I646" i="54"/>
  <c r="B647" i="54" s="1"/>
  <c r="H646" i="54"/>
  <c r="G646" i="54"/>
  <c r="D646" i="54"/>
  <c r="C646" i="54"/>
  <c r="G646" i="53"/>
  <c r="I646" i="53"/>
  <c r="B647" i="53" s="1"/>
  <c r="H646" i="53"/>
  <c r="D646" i="53"/>
  <c r="C646" i="53"/>
  <c r="I646" i="52"/>
  <c r="B647" i="52" s="1"/>
  <c r="H646" i="52"/>
  <c r="G646" i="52"/>
  <c r="D646" i="52"/>
  <c r="C646" i="52"/>
  <c r="H646" i="51"/>
  <c r="G646" i="51"/>
  <c r="D646" i="51"/>
  <c r="C646" i="51"/>
  <c r="I646" i="51"/>
  <c r="B647" i="51" s="1"/>
  <c r="H645" i="50"/>
  <c r="G645" i="50"/>
  <c r="D645" i="50"/>
  <c r="C645" i="50"/>
  <c r="I645" i="50"/>
  <c r="B646" i="50" s="1"/>
  <c r="C645" i="49"/>
  <c r="I645" i="49"/>
  <c r="B646" i="49" s="1"/>
  <c r="G645" i="49"/>
  <c r="H645" i="49"/>
  <c r="D645" i="49"/>
  <c r="H645" i="48"/>
  <c r="G645" i="48"/>
  <c r="D645" i="48"/>
  <c r="C645" i="48"/>
  <c r="I645" i="48"/>
  <c r="B646" i="48" s="1"/>
  <c r="I645" i="47"/>
  <c r="B646" i="47" s="1"/>
  <c r="G645" i="47"/>
  <c r="H645" i="47"/>
  <c r="D645" i="47"/>
  <c r="C645" i="47"/>
  <c r="I594" i="35"/>
  <c r="B595" i="35" s="1"/>
  <c r="D594" i="35"/>
  <c r="G594" i="35"/>
  <c r="C594" i="35"/>
  <c r="H594" i="35"/>
  <c r="D647" i="55" l="1"/>
  <c r="C647" i="55"/>
  <c r="I647" i="55"/>
  <c r="B648" i="55" s="1"/>
  <c r="H647" i="55"/>
  <c r="G647" i="55"/>
  <c r="I647" i="54"/>
  <c r="B648" i="54" s="1"/>
  <c r="H647" i="54"/>
  <c r="G647" i="54"/>
  <c r="D647" i="54"/>
  <c r="C647" i="54"/>
  <c r="I647" i="53"/>
  <c r="B648" i="53" s="1"/>
  <c r="C647" i="53"/>
  <c r="H647" i="53"/>
  <c r="D647" i="53"/>
  <c r="G647" i="53"/>
  <c r="I647" i="52"/>
  <c r="B648" i="52" s="1"/>
  <c r="H647" i="52"/>
  <c r="D647" i="52"/>
  <c r="G647" i="52"/>
  <c r="C647" i="52"/>
  <c r="I647" i="51"/>
  <c r="B648" i="51" s="1"/>
  <c r="H647" i="51"/>
  <c r="G647" i="51"/>
  <c r="D647" i="51"/>
  <c r="C647" i="51"/>
  <c r="I646" i="50"/>
  <c r="B647" i="50" s="1"/>
  <c r="H646" i="50"/>
  <c r="G646" i="50"/>
  <c r="D646" i="50"/>
  <c r="C646" i="50"/>
  <c r="G646" i="49"/>
  <c r="D646" i="49"/>
  <c r="I646" i="49"/>
  <c r="B647" i="49" s="1"/>
  <c r="C646" i="49"/>
  <c r="H646" i="49"/>
  <c r="I646" i="48"/>
  <c r="B647" i="48" s="1"/>
  <c r="H646" i="48"/>
  <c r="G646" i="48"/>
  <c r="D646" i="48"/>
  <c r="C646" i="48"/>
  <c r="C646" i="47"/>
  <c r="I646" i="47"/>
  <c r="B647" i="47" s="1"/>
  <c r="H646" i="47"/>
  <c r="G646" i="47"/>
  <c r="D646" i="47"/>
  <c r="C595" i="35"/>
  <c r="H595" i="35"/>
  <c r="I595" i="35"/>
  <c r="B596" i="35" s="1"/>
  <c r="D595" i="35"/>
  <c r="G595" i="35"/>
  <c r="H648" i="55" l="1"/>
  <c r="G648" i="55"/>
  <c r="D648" i="55"/>
  <c r="C648" i="55"/>
  <c r="I648" i="55"/>
  <c r="B649" i="55" s="1"/>
  <c r="D648" i="54"/>
  <c r="C648" i="54"/>
  <c r="I648" i="54"/>
  <c r="B649" i="54" s="1"/>
  <c r="H648" i="54"/>
  <c r="G648" i="54"/>
  <c r="G648" i="53"/>
  <c r="I648" i="53"/>
  <c r="B649" i="53" s="1"/>
  <c r="H648" i="53"/>
  <c r="D648" i="53"/>
  <c r="C648" i="53"/>
  <c r="D648" i="52"/>
  <c r="C648" i="52"/>
  <c r="H648" i="52"/>
  <c r="I648" i="52"/>
  <c r="B649" i="52" s="1"/>
  <c r="G648" i="52"/>
  <c r="I648" i="51"/>
  <c r="B649" i="51" s="1"/>
  <c r="H648" i="51"/>
  <c r="G648" i="51"/>
  <c r="D648" i="51"/>
  <c r="C648" i="51"/>
  <c r="I647" i="50"/>
  <c r="B648" i="50" s="1"/>
  <c r="H647" i="50"/>
  <c r="G647" i="50"/>
  <c r="D647" i="50"/>
  <c r="C647" i="50"/>
  <c r="I647" i="49"/>
  <c r="B648" i="49" s="1"/>
  <c r="H647" i="49"/>
  <c r="D647" i="49"/>
  <c r="C647" i="49"/>
  <c r="G647" i="49"/>
  <c r="I647" i="48"/>
  <c r="B648" i="48" s="1"/>
  <c r="H647" i="48"/>
  <c r="D647" i="48"/>
  <c r="G647" i="48"/>
  <c r="C647" i="48"/>
  <c r="G647" i="47"/>
  <c r="D647" i="47"/>
  <c r="C647" i="47"/>
  <c r="I647" i="47"/>
  <c r="B648" i="47" s="1"/>
  <c r="H647" i="47"/>
  <c r="C596" i="35"/>
  <c r="D596" i="35"/>
  <c r="I596" i="35"/>
  <c r="B597" i="35" s="1"/>
  <c r="H596" i="35"/>
  <c r="G596" i="35"/>
  <c r="I649" i="55" l="1"/>
  <c r="B650" i="55" s="1"/>
  <c r="H649" i="55"/>
  <c r="G649" i="55"/>
  <c r="D649" i="55"/>
  <c r="C649" i="55"/>
  <c r="H649" i="54"/>
  <c r="G649" i="54"/>
  <c r="D649" i="54"/>
  <c r="C649" i="54"/>
  <c r="I649" i="54"/>
  <c r="B650" i="54" s="1"/>
  <c r="C649" i="53"/>
  <c r="I649" i="53"/>
  <c r="B650" i="53" s="1"/>
  <c r="G649" i="53"/>
  <c r="D649" i="53"/>
  <c r="H649" i="53"/>
  <c r="H649" i="52"/>
  <c r="G649" i="52"/>
  <c r="D649" i="52"/>
  <c r="C649" i="52"/>
  <c r="I649" i="52"/>
  <c r="B650" i="52" s="1"/>
  <c r="D649" i="51"/>
  <c r="C649" i="51"/>
  <c r="I649" i="51"/>
  <c r="B650" i="51" s="1"/>
  <c r="H649" i="51"/>
  <c r="G649" i="51"/>
  <c r="D648" i="50"/>
  <c r="C648" i="50"/>
  <c r="I648" i="50"/>
  <c r="B649" i="50" s="1"/>
  <c r="H648" i="50"/>
  <c r="G648" i="50"/>
  <c r="H648" i="49"/>
  <c r="G648" i="49"/>
  <c r="C648" i="49"/>
  <c r="I648" i="49"/>
  <c r="B649" i="49" s="1"/>
  <c r="D648" i="49"/>
  <c r="D648" i="48"/>
  <c r="C648" i="48"/>
  <c r="H648" i="48"/>
  <c r="I648" i="48"/>
  <c r="B649" i="48" s="1"/>
  <c r="G648" i="48"/>
  <c r="I648" i="47"/>
  <c r="B649" i="47" s="1"/>
  <c r="H648" i="47"/>
  <c r="G648" i="47"/>
  <c r="C648" i="47"/>
  <c r="D648" i="47"/>
  <c r="H597" i="35"/>
  <c r="G597" i="35"/>
  <c r="I597" i="35"/>
  <c r="B598" i="35" s="1"/>
  <c r="C597" i="35"/>
  <c r="D597" i="35"/>
  <c r="I650" i="55" l="1"/>
  <c r="B651" i="55" s="1"/>
  <c r="H650" i="55"/>
  <c r="G650" i="55"/>
  <c r="D650" i="55"/>
  <c r="C650" i="55"/>
  <c r="I650" i="54"/>
  <c r="B651" i="54" s="1"/>
  <c r="H650" i="54"/>
  <c r="G650" i="54"/>
  <c r="D650" i="54"/>
  <c r="C650" i="54"/>
  <c r="G650" i="53"/>
  <c r="I650" i="53"/>
  <c r="B651" i="53" s="1"/>
  <c r="H650" i="53"/>
  <c r="D650" i="53"/>
  <c r="C650" i="53"/>
  <c r="I650" i="52"/>
  <c r="B651" i="52" s="1"/>
  <c r="H650" i="52"/>
  <c r="G650" i="52"/>
  <c r="D650" i="52"/>
  <c r="C650" i="52"/>
  <c r="H650" i="51"/>
  <c r="G650" i="51"/>
  <c r="D650" i="51"/>
  <c r="C650" i="51"/>
  <c r="I650" i="51"/>
  <c r="B651" i="51" s="1"/>
  <c r="H649" i="50"/>
  <c r="G649" i="50"/>
  <c r="D649" i="50"/>
  <c r="C649" i="50"/>
  <c r="I649" i="50"/>
  <c r="B650" i="50" s="1"/>
  <c r="C649" i="49"/>
  <c r="I649" i="49"/>
  <c r="B650" i="49" s="1"/>
  <c r="G649" i="49"/>
  <c r="H649" i="49"/>
  <c r="D649" i="49"/>
  <c r="H649" i="48"/>
  <c r="G649" i="48"/>
  <c r="D649" i="48"/>
  <c r="C649" i="48"/>
  <c r="I649" i="48"/>
  <c r="B650" i="48" s="1"/>
  <c r="I649" i="47"/>
  <c r="B650" i="47" s="1"/>
  <c r="G649" i="47"/>
  <c r="H649" i="47"/>
  <c r="D649" i="47"/>
  <c r="C649" i="47"/>
  <c r="D598" i="35"/>
  <c r="I598" i="35"/>
  <c r="B599" i="35" s="1"/>
  <c r="G598" i="35"/>
  <c r="C598" i="35"/>
  <c r="H598" i="35"/>
  <c r="D651" i="55" l="1"/>
  <c r="C651" i="55"/>
  <c r="I651" i="55"/>
  <c r="B652" i="55" s="1"/>
  <c r="H651" i="55"/>
  <c r="G651" i="55"/>
  <c r="I651" i="54"/>
  <c r="B652" i="54" s="1"/>
  <c r="H651" i="54"/>
  <c r="G651" i="54"/>
  <c r="D651" i="54"/>
  <c r="C651" i="54"/>
  <c r="I651" i="53"/>
  <c r="B652" i="53" s="1"/>
  <c r="C651" i="53"/>
  <c r="D651" i="53"/>
  <c r="H651" i="53"/>
  <c r="G651" i="53"/>
  <c r="I651" i="52"/>
  <c r="B652" i="52" s="1"/>
  <c r="H651" i="52"/>
  <c r="D651" i="52"/>
  <c r="G651" i="52"/>
  <c r="C651" i="52"/>
  <c r="I651" i="51"/>
  <c r="B652" i="51" s="1"/>
  <c r="H651" i="51"/>
  <c r="G651" i="51"/>
  <c r="D651" i="51"/>
  <c r="C651" i="51"/>
  <c r="I650" i="50"/>
  <c r="B651" i="50" s="1"/>
  <c r="H650" i="50"/>
  <c r="G650" i="50"/>
  <c r="D650" i="50"/>
  <c r="C650" i="50"/>
  <c r="G650" i="49"/>
  <c r="D650" i="49"/>
  <c r="I650" i="49"/>
  <c r="B651" i="49" s="1"/>
  <c r="H650" i="49"/>
  <c r="C650" i="49"/>
  <c r="I650" i="48"/>
  <c r="B651" i="48" s="1"/>
  <c r="H650" i="48"/>
  <c r="G650" i="48"/>
  <c r="D650" i="48"/>
  <c r="C650" i="48"/>
  <c r="C650" i="47"/>
  <c r="I650" i="47"/>
  <c r="B651" i="47" s="1"/>
  <c r="H650" i="47"/>
  <c r="G650" i="47"/>
  <c r="D650" i="47"/>
  <c r="C599" i="35"/>
  <c r="H599" i="35"/>
  <c r="G599" i="35"/>
  <c r="D599" i="35"/>
  <c r="I599" i="35"/>
  <c r="B600" i="35" s="1"/>
  <c r="H652" i="55" l="1"/>
  <c r="G652" i="55"/>
  <c r="D652" i="55"/>
  <c r="C652" i="55"/>
  <c r="I652" i="55"/>
  <c r="B653" i="55" s="1"/>
  <c r="D652" i="54"/>
  <c r="C652" i="54"/>
  <c r="I652" i="54"/>
  <c r="B653" i="54" s="1"/>
  <c r="H652" i="54"/>
  <c r="G652" i="54"/>
  <c r="G652" i="53"/>
  <c r="H652" i="53"/>
  <c r="D652" i="53"/>
  <c r="C652" i="53"/>
  <c r="I652" i="53"/>
  <c r="B653" i="53" s="1"/>
  <c r="D652" i="52"/>
  <c r="C652" i="52"/>
  <c r="H652" i="52"/>
  <c r="I652" i="52"/>
  <c r="B653" i="52" s="1"/>
  <c r="G652" i="52"/>
  <c r="I652" i="51"/>
  <c r="B653" i="51" s="1"/>
  <c r="H652" i="51"/>
  <c r="G652" i="51"/>
  <c r="D652" i="51"/>
  <c r="C652" i="51"/>
  <c r="I651" i="50"/>
  <c r="B652" i="50" s="1"/>
  <c r="H651" i="50"/>
  <c r="G651" i="50"/>
  <c r="D651" i="50"/>
  <c r="C651" i="50"/>
  <c r="I651" i="49"/>
  <c r="B652" i="49" s="1"/>
  <c r="H651" i="49"/>
  <c r="D651" i="49"/>
  <c r="C651" i="49"/>
  <c r="G651" i="49"/>
  <c r="I651" i="48"/>
  <c r="B652" i="48" s="1"/>
  <c r="H651" i="48"/>
  <c r="D651" i="48"/>
  <c r="G651" i="48"/>
  <c r="C651" i="48"/>
  <c r="G651" i="47"/>
  <c r="D651" i="47"/>
  <c r="C651" i="47"/>
  <c r="I651" i="47"/>
  <c r="B652" i="47" s="1"/>
  <c r="H651" i="47"/>
  <c r="D600" i="35"/>
  <c r="C600" i="35"/>
  <c r="G600" i="35"/>
  <c r="I600" i="35"/>
  <c r="B601" i="35" s="1"/>
  <c r="H600" i="35"/>
  <c r="I653" i="55" l="1"/>
  <c r="B654" i="55" s="1"/>
  <c r="H653" i="55"/>
  <c r="G653" i="55"/>
  <c r="D653" i="55"/>
  <c r="C653" i="55"/>
  <c r="H653" i="54"/>
  <c r="G653" i="54"/>
  <c r="D653" i="54"/>
  <c r="C653" i="54"/>
  <c r="I653" i="54"/>
  <c r="B654" i="54" s="1"/>
  <c r="C653" i="53"/>
  <c r="I653" i="53"/>
  <c r="B654" i="53" s="1"/>
  <c r="H653" i="53"/>
  <c r="G653" i="53"/>
  <c r="D653" i="53"/>
  <c r="H653" i="52"/>
  <c r="G653" i="52"/>
  <c r="D653" i="52"/>
  <c r="C653" i="52"/>
  <c r="I653" i="52"/>
  <c r="B654" i="52" s="1"/>
  <c r="D653" i="51"/>
  <c r="C653" i="51"/>
  <c r="I653" i="51"/>
  <c r="B654" i="51" s="1"/>
  <c r="H653" i="51"/>
  <c r="G653" i="51"/>
  <c r="D652" i="50"/>
  <c r="C652" i="50"/>
  <c r="I652" i="50"/>
  <c r="B653" i="50" s="1"/>
  <c r="H652" i="50"/>
  <c r="G652" i="50"/>
  <c r="H652" i="49"/>
  <c r="G652" i="49"/>
  <c r="C652" i="49"/>
  <c r="I652" i="49"/>
  <c r="B653" i="49" s="1"/>
  <c r="D652" i="49"/>
  <c r="D652" i="48"/>
  <c r="C652" i="48"/>
  <c r="H652" i="48"/>
  <c r="I652" i="48"/>
  <c r="B653" i="48" s="1"/>
  <c r="G652" i="48"/>
  <c r="I652" i="47"/>
  <c r="B653" i="47" s="1"/>
  <c r="H652" i="47"/>
  <c r="G652" i="47"/>
  <c r="C652" i="47"/>
  <c r="D652" i="47"/>
  <c r="H601" i="35"/>
  <c r="G601" i="35"/>
  <c r="D601" i="35"/>
  <c r="C601" i="35"/>
  <c r="I601" i="35"/>
  <c r="B602" i="35" s="1"/>
  <c r="I654" i="55" l="1"/>
  <c r="B655" i="55" s="1"/>
  <c r="H654" i="55"/>
  <c r="G654" i="55"/>
  <c r="D654" i="55"/>
  <c r="C654" i="55"/>
  <c r="I654" i="54"/>
  <c r="B655" i="54" s="1"/>
  <c r="H654" i="54"/>
  <c r="G654" i="54"/>
  <c r="D654" i="54"/>
  <c r="C654" i="54"/>
  <c r="G654" i="53"/>
  <c r="I654" i="53"/>
  <c r="B655" i="53" s="1"/>
  <c r="D654" i="53"/>
  <c r="C654" i="53"/>
  <c r="H654" i="53"/>
  <c r="I654" i="52"/>
  <c r="B655" i="52" s="1"/>
  <c r="H654" i="52"/>
  <c r="G654" i="52"/>
  <c r="D654" i="52"/>
  <c r="C654" i="52"/>
  <c r="H654" i="51"/>
  <c r="G654" i="51"/>
  <c r="D654" i="51"/>
  <c r="C654" i="51"/>
  <c r="I654" i="51"/>
  <c r="B655" i="51" s="1"/>
  <c r="H653" i="50"/>
  <c r="G653" i="50"/>
  <c r="D653" i="50"/>
  <c r="C653" i="50"/>
  <c r="I653" i="50"/>
  <c r="B654" i="50" s="1"/>
  <c r="C653" i="49"/>
  <c r="I653" i="49"/>
  <c r="B654" i="49" s="1"/>
  <c r="G653" i="49"/>
  <c r="D653" i="49"/>
  <c r="H653" i="49"/>
  <c r="H653" i="48"/>
  <c r="G653" i="48"/>
  <c r="D653" i="48"/>
  <c r="C653" i="48"/>
  <c r="I653" i="48"/>
  <c r="B654" i="48" s="1"/>
  <c r="I653" i="47"/>
  <c r="B654" i="47" s="1"/>
  <c r="G653" i="47"/>
  <c r="H653" i="47"/>
  <c r="D653" i="47"/>
  <c r="C653" i="47"/>
  <c r="C602" i="35"/>
  <c r="G602" i="35"/>
  <c r="H602" i="35"/>
  <c r="I602" i="35"/>
  <c r="B603" i="35" s="1"/>
  <c r="D602" i="35"/>
  <c r="D655" i="55" l="1"/>
  <c r="C655" i="55"/>
  <c r="I655" i="55"/>
  <c r="B656" i="55" s="1"/>
  <c r="H655" i="55"/>
  <c r="G655" i="55"/>
  <c r="I655" i="54"/>
  <c r="B656" i="54" s="1"/>
  <c r="H655" i="54"/>
  <c r="G655" i="54"/>
  <c r="D655" i="54"/>
  <c r="C655" i="54"/>
  <c r="I655" i="53"/>
  <c r="B656" i="53" s="1"/>
  <c r="C655" i="53"/>
  <c r="H655" i="53"/>
  <c r="G655" i="53"/>
  <c r="D655" i="53"/>
  <c r="I655" i="52"/>
  <c r="B656" i="52" s="1"/>
  <c r="H655" i="52"/>
  <c r="D655" i="52"/>
  <c r="G655" i="52"/>
  <c r="C655" i="52"/>
  <c r="I655" i="51"/>
  <c r="B656" i="51" s="1"/>
  <c r="H655" i="51"/>
  <c r="G655" i="51"/>
  <c r="D655" i="51"/>
  <c r="C655" i="51"/>
  <c r="I654" i="50"/>
  <c r="B655" i="50" s="1"/>
  <c r="H654" i="50"/>
  <c r="G654" i="50"/>
  <c r="D654" i="50"/>
  <c r="C654" i="50"/>
  <c r="G654" i="49"/>
  <c r="D654" i="49"/>
  <c r="I654" i="49"/>
  <c r="B655" i="49" s="1"/>
  <c r="H654" i="49"/>
  <c r="C654" i="49"/>
  <c r="I654" i="48"/>
  <c r="B655" i="48" s="1"/>
  <c r="H654" i="48"/>
  <c r="G654" i="48"/>
  <c r="D654" i="48"/>
  <c r="C654" i="48"/>
  <c r="C654" i="47"/>
  <c r="I654" i="47"/>
  <c r="B655" i="47" s="1"/>
  <c r="H654" i="47"/>
  <c r="G654" i="47"/>
  <c r="D654" i="47"/>
  <c r="D603" i="35"/>
  <c r="C603" i="35"/>
  <c r="G603" i="35"/>
  <c r="I603" i="35"/>
  <c r="B604" i="35" s="1"/>
  <c r="H603" i="35"/>
  <c r="H656" i="55" l="1"/>
  <c r="G656" i="55"/>
  <c r="D656" i="55"/>
  <c r="C656" i="55"/>
  <c r="I656" i="55"/>
  <c r="B657" i="55" s="1"/>
  <c r="D656" i="54"/>
  <c r="C656" i="54"/>
  <c r="I656" i="54"/>
  <c r="B657" i="54" s="1"/>
  <c r="H656" i="54"/>
  <c r="G656" i="54"/>
  <c r="G656" i="53"/>
  <c r="H656" i="53"/>
  <c r="C656" i="53"/>
  <c r="I656" i="53"/>
  <c r="B657" i="53" s="1"/>
  <c r="D656" i="53"/>
  <c r="D656" i="52"/>
  <c r="C656" i="52"/>
  <c r="H656" i="52"/>
  <c r="I656" i="52"/>
  <c r="B657" i="52" s="1"/>
  <c r="G656" i="52"/>
  <c r="G656" i="51"/>
  <c r="I656" i="51"/>
  <c r="B657" i="51" s="1"/>
  <c r="H656" i="51"/>
  <c r="D656" i="51"/>
  <c r="C656" i="51"/>
  <c r="I655" i="50"/>
  <c r="B656" i="50" s="1"/>
  <c r="H655" i="50"/>
  <c r="G655" i="50"/>
  <c r="D655" i="50"/>
  <c r="C655" i="50"/>
  <c r="I655" i="49"/>
  <c r="B656" i="49" s="1"/>
  <c r="H655" i="49"/>
  <c r="D655" i="49"/>
  <c r="C655" i="49"/>
  <c r="G655" i="49"/>
  <c r="I655" i="48"/>
  <c r="B656" i="48" s="1"/>
  <c r="H655" i="48"/>
  <c r="D655" i="48"/>
  <c r="G655" i="48"/>
  <c r="C655" i="48"/>
  <c r="G655" i="47"/>
  <c r="D655" i="47"/>
  <c r="C655" i="47"/>
  <c r="I655" i="47"/>
  <c r="B656" i="47" s="1"/>
  <c r="H655" i="47"/>
  <c r="H604" i="35"/>
  <c r="G604" i="35"/>
  <c r="C604" i="35"/>
  <c r="I604" i="35"/>
  <c r="B605" i="35" s="1"/>
  <c r="D604" i="35"/>
  <c r="I657" i="55" l="1"/>
  <c r="B658" i="55" s="1"/>
  <c r="H657" i="55"/>
  <c r="G657" i="55"/>
  <c r="D657" i="55"/>
  <c r="C657" i="55"/>
  <c r="H657" i="54"/>
  <c r="G657" i="54"/>
  <c r="D657" i="54"/>
  <c r="C657" i="54"/>
  <c r="I657" i="54"/>
  <c r="B658" i="54" s="1"/>
  <c r="C657" i="53"/>
  <c r="I657" i="53"/>
  <c r="B658" i="53" s="1"/>
  <c r="D657" i="53"/>
  <c r="H657" i="53"/>
  <c r="G657" i="53"/>
  <c r="H657" i="52"/>
  <c r="G657" i="52"/>
  <c r="D657" i="52"/>
  <c r="C657" i="52"/>
  <c r="I657" i="52"/>
  <c r="B658" i="52" s="1"/>
  <c r="I657" i="51"/>
  <c r="B658" i="51" s="1"/>
  <c r="H657" i="51"/>
  <c r="G657" i="51"/>
  <c r="C657" i="51"/>
  <c r="D657" i="51"/>
  <c r="D656" i="50"/>
  <c r="C656" i="50"/>
  <c r="I656" i="50"/>
  <c r="B657" i="50" s="1"/>
  <c r="H656" i="50"/>
  <c r="G656" i="50"/>
  <c r="H656" i="49"/>
  <c r="G656" i="49"/>
  <c r="C656" i="49"/>
  <c r="I656" i="49"/>
  <c r="B657" i="49" s="1"/>
  <c r="D656" i="49"/>
  <c r="D656" i="48"/>
  <c r="C656" i="48"/>
  <c r="H656" i="48"/>
  <c r="I656" i="48"/>
  <c r="B657" i="48" s="1"/>
  <c r="G656" i="48"/>
  <c r="I656" i="47"/>
  <c r="B657" i="47" s="1"/>
  <c r="H656" i="47"/>
  <c r="G656" i="47"/>
  <c r="C656" i="47"/>
  <c r="D656" i="47"/>
  <c r="I605" i="35"/>
  <c r="B606" i="35" s="1"/>
  <c r="C605" i="35"/>
  <c r="G605" i="35"/>
  <c r="H605" i="35"/>
  <c r="D605" i="35"/>
  <c r="I658" i="55" l="1"/>
  <c r="B659" i="55" s="1"/>
  <c r="H658" i="55"/>
  <c r="G658" i="55"/>
  <c r="D658" i="55"/>
  <c r="C658" i="55"/>
  <c r="I658" i="54"/>
  <c r="B659" i="54" s="1"/>
  <c r="H658" i="54"/>
  <c r="G658" i="54"/>
  <c r="D658" i="54"/>
  <c r="C658" i="54"/>
  <c r="G658" i="53"/>
  <c r="H658" i="53"/>
  <c r="D658" i="53"/>
  <c r="C658" i="53"/>
  <c r="I658" i="53"/>
  <c r="B659" i="53" s="1"/>
  <c r="I658" i="52"/>
  <c r="B659" i="52" s="1"/>
  <c r="H658" i="52"/>
  <c r="G658" i="52"/>
  <c r="D658" i="52"/>
  <c r="C658" i="52"/>
  <c r="I658" i="51"/>
  <c r="B659" i="51" s="1"/>
  <c r="G658" i="51"/>
  <c r="D658" i="51"/>
  <c r="C658" i="51"/>
  <c r="H658" i="51"/>
  <c r="H657" i="50"/>
  <c r="G657" i="50"/>
  <c r="D657" i="50"/>
  <c r="C657" i="50"/>
  <c r="I657" i="50"/>
  <c r="B658" i="50" s="1"/>
  <c r="I657" i="49"/>
  <c r="B658" i="49" s="1"/>
  <c r="C657" i="49"/>
  <c r="G657" i="49"/>
  <c r="H657" i="49"/>
  <c r="D657" i="49"/>
  <c r="H657" i="48"/>
  <c r="G657" i="48"/>
  <c r="D657" i="48"/>
  <c r="C657" i="48"/>
  <c r="I657" i="48"/>
  <c r="B658" i="48" s="1"/>
  <c r="I657" i="47"/>
  <c r="B658" i="47" s="1"/>
  <c r="G657" i="47"/>
  <c r="H657" i="47"/>
  <c r="D657" i="47"/>
  <c r="C657" i="47"/>
  <c r="C606" i="35"/>
  <c r="G606" i="35"/>
  <c r="D606" i="35"/>
  <c r="H606" i="35"/>
  <c r="I606" i="35"/>
  <c r="B607" i="35" s="1"/>
  <c r="D659" i="55" l="1"/>
  <c r="C659" i="55"/>
  <c r="I659" i="55"/>
  <c r="B660" i="55" s="1"/>
  <c r="H659" i="55"/>
  <c r="G659" i="55"/>
  <c r="I659" i="54"/>
  <c r="B660" i="54" s="1"/>
  <c r="H659" i="54"/>
  <c r="G659" i="54"/>
  <c r="D659" i="54"/>
  <c r="C659" i="54"/>
  <c r="I659" i="53"/>
  <c r="B660" i="53" s="1"/>
  <c r="H659" i="53"/>
  <c r="D659" i="53"/>
  <c r="C659" i="53"/>
  <c r="G659" i="53"/>
  <c r="I659" i="52"/>
  <c r="B660" i="52" s="1"/>
  <c r="H659" i="52"/>
  <c r="D659" i="52"/>
  <c r="G659" i="52"/>
  <c r="C659" i="52"/>
  <c r="D659" i="51"/>
  <c r="C659" i="51"/>
  <c r="I659" i="51"/>
  <c r="B660" i="51" s="1"/>
  <c r="H659" i="51"/>
  <c r="G659" i="51"/>
  <c r="I658" i="50"/>
  <c r="B659" i="50" s="1"/>
  <c r="H658" i="50"/>
  <c r="G658" i="50"/>
  <c r="D658" i="50"/>
  <c r="C658" i="50"/>
  <c r="I658" i="49"/>
  <c r="B659" i="49" s="1"/>
  <c r="H658" i="49"/>
  <c r="G658" i="49"/>
  <c r="D658" i="49"/>
  <c r="C658" i="49"/>
  <c r="I658" i="48"/>
  <c r="B659" i="48" s="1"/>
  <c r="H658" i="48"/>
  <c r="G658" i="48"/>
  <c r="D658" i="48"/>
  <c r="C658" i="48"/>
  <c r="H658" i="47"/>
  <c r="C658" i="47"/>
  <c r="I658" i="47"/>
  <c r="B659" i="47" s="1"/>
  <c r="G658" i="47"/>
  <c r="D658" i="47"/>
  <c r="C607" i="35"/>
  <c r="I607" i="35"/>
  <c r="B608" i="35" s="1"/>
  <c r="H607" i="35"/>
  <c r="G607" i="35"/>
  <c r="D607" i="35"/>
  <c r="H660" i="55" l="1"/>
  <c r="G660" i="55"/>
  <c r="D660" i="55"/>
  <c r="C660" i="55"/>
  <c r="I660" i="55"/>
  <c r="B661" i="55" s="1"/>
  <c r="D660" i="54"/>
  <c r="C660" i="54"/>
  <c r="I660" i="54"/>
  <c r="B661" i="54" s="1"/>
  <c r="H660" i="54"/>
  <c r="G660" i="54"/>
  <c r="H660" i="53"/>
  <c r="G660" i="53"/>
  <c r="I660" i="53"/>
  <c r="B661" i="53" s="1"/>
  <c r="D660" i="53"/>
  <c r="C660" i="53"/>
  <c r="D660" i="52"/>
  <c r="C660" i="52"/>
  <c r="H660" i="52"/>
  <c r="I660" i="52"/>
  <c r="B661" i="52" s="1"/>
  <c r="G660" i="52"/>
  <c r="H660" i="51"/>
  <c r="G660" i="51"/>
  <c r="D660" i="51"/>
  <c r="C660" i="51"/>
  <c r="I660" i="51"/>
  <c r="B661" i="51" s="1"/>
  <c r="I659" i="50"/>
  <c r="B660" i="50" s="1"/>
  <c r="H659" i="50"/>
  <c r="G659" i="50"/>
  <c r="D659" i="50"/>
  <c r="C659" i="50"/>
  <c r="C659" i="49"/>
  <c r="I659" i="49"/>
  <c r="B660" i="49" s="1"/>
  <c r="H659" i="49"/>
  <c r="G659" i="49"/>
  <c r="D659" i="49"/>
  <c r="I659" i="48"/>
  <c r="B660" i="48" s="1"/>
  <c r="H659" i="48"/>
  <c r="D659" i="48"/>
  <c r="G659" i="48"/>
  <c r="C659" i="48"/>
  <c r="D659" i="47"/>
  <c r="I659" i="47"/>
  <c r="B660" i="47" s="1"/>
  <c r="H659" i="47"/>
  <c r="G659" i="47"/>
  <c r="C659" i="47"/>
  <c r="H608" i="35"/>
  <c r="G608" i="35"/>
  <c r="D608" i="35"/>
  <c r="I608" i="35"/>
  <c r="B609" i="35" s="1"/>
  <c r="C608" i="35"/>
  <c r="I661" i="55" l="1"/>
  <c r="B662" i="55" s="1"/>
  <c r="H661" i="55"/>
  <c r="G661" i="55"/>
  <c r="D661" i="55"/>
  <c r="C661" i="55"/>
  <c r="H661" i="54"/>
  <c r="G661" i="54"/>
  <c r="D661" i="54"/>
  <c r="C661" i="54"/>
  <c r="I661" i="54"/>
  <c r="B662" i="54" s="1"/>
  <c r="C661" i="53"/>
  <c r="I661" i="53"/>
  <c r="B662" i="53" s="1"/>
  <c r="D661" i="53"/>
  <c r="H661" i="53"/>
  <c r="G661" i="53"/>
  <c r="H661" i="52"/>
  <c r="G661" i="52"/>
  <c r="D661" i="52"/>
  <c r="C661" i="52"/>
  <c r="I661" i="52"/>
  <c r="B662" i="52" s="1"/>
  <c r="I661" i="51"/>
  <c r="B662" i="51" s="1"/>
  <c r="H661" i="51"/>
  <c r="G661" i="51"/>
  <c r="D661" i="51"/>
  <c r="C661" i="51"/>
  <c r="D660" i="50"/>
  <c r="C660" i="50"/>
  <c r="I660" i="50"/>
  <c r="B661" i="50" s="1"/>
  <c r="H660" i="50"/>
  <c r="G660" i="50"/>
  <c r="G660" i="49"/>
  <c r="C660" i="49"/>
  <c r="H660" i="49"/>
  <c r="I660" i="49"/>
  <c r="B661" i="49" s="1"/>
  <c r="D660" i="49"/>
  <c r="D660" i="48"/>
  <c r="C660" i="48"/>
  <c r="H660" i="48"/>
  <c r="I660" i="48"/>
  <c r="B661" i="48" s="1"/>
  <c r="G660" i="48"/>
  <c r="H660" i="47"/>
  <c r="I660" i="47"/>
  <c r="B661" i="47" s="1"/>
  <c r="G660" i="47"/>
  <c r="D660" i="47"/>
  <c r="C660" i="47"/>
  <c r="I609" i="35"/>
  <c r="B610" i="35" s="1"/>
  <c r="C609" i="35"/>
  <c r="H609" i="35"/>
  <c r="G609" i="35"/>
  <c r="D609" i="35"/>
  <c r="I662" i="55" l="1"/>
  <c r="B663" i="55" s="1"/>
  <c r="H662" i="55"/>
  <c r="G662" i="55"/>
  <c r="D662" i="55"/>
  <c r="C662" i="55"/>
  <c r="I662" i="54"/>
  <c r="B663" i="54" s="1"/>
  <c r="H662" i="54"/>
  <c r="G662" i="54"/>
  <c r="D662" i="54"/>
  <c r="C662" i="54"/>
  <c r="G662" i="53"/>
  <c r="D662" i="53"/>
  <c r="H662" i="53"/>
  <c r="I662" i="53"/>
  <c r="B663" i="53" s="1"/>
  <c r="C662" i="53"/>
  <c r="I662" i="52"/>
  <c r="B663" i="52" s="1"/>
  <c r="H662" i="52"/>
  <c r="G662" i="52"/>
  <c r="D662" i="52"/>
  <c r="C662" i="52"/>
  <c r="I662" i="51"/>
  <c r="B663" i="51" s="1"/>
  <c r="H662" i="51"/>
  <c r="G662" i="51"/>
  <c r="D662" i="51"/>
  <c r="C662" i="51"/>
  <c r="H661" i="50"/>
  <c r="G661" i="50"/>
  <c r="D661" i="50"/>
  <c r="C661" i="50"/>
  <c r="I661" i="50"/>
  <c r="B662" i="50" s="1"/>
  <c r="I661" i="49"/>
  <c r="B662" i="49" s="1"/>
  <c r="G661" i="49"/>
  <c r="D661" i="49"/>
  <c r="C661" i="49"/>
  <c r="H661" i="49"/>
  <c r="H661" i="48"/>
  <c r="G661" i="48"/>
  <c r="D661" i="48"/>
  <c r="C661" i="48"/>
  <c r="I661" i="48"/>
  <c r="B662" i="48" s="1"/>
  <c r="D661" i="47"/>
  <c r="H661" i="47"/>
  <c r="G661" i="47"/>
  <c r="C661" i="47"/>
  <c r="I661" i="47"/>
  <c r="B662" i="47" s="1"/>
  <c r="C610" i="35"/>
  <c r="G610" i="35"/>
  <c r="H610" i="35"/>
  <c r="I610" i="35"/>
  <c r="B611" i="35" s="1"/>
  <c r="D610" i="35"/>
  <c r="I663" i="55" l="1"/>
  <c r="B664" i="55" s="1"/>
  <c r="H663" i="55"/>
  <c r="D663" i="55"/>
  <c r="C663" i="55"/>
  <c r="G663" i="55"/>
  <c r="I663" i="54"/>
  <c r="B664" i="54" s="1"/>
  <c r="H663" i="54"/>
  <c r="G663" i="54"/>
  <c r="D663" i="54"/>
  <c r="C663" i="54"/>
  <c r="I663" i="53"/>
  <c r="B664" i="53" s="1"/>
  <c r="H663" i="53"/>
  <c r="D663" i="53"/>
  <c r="C663" i="53"/>
  <c r="G663" i="53"/>
  <c r="I663" i="52"/>
  <c r="B664" i="52" s="1"/>
  <c r="H663" i="52"/>
  <c r="D663" i="52"/>
  <c r="G663" i="52"/>
  <c r="C663" i="52"/>
  <c r="D663" i="51"/>
  <c r="C663" i="51"/>
  <c r="I663" i="51"/>
  <c r="B664" i="51" s="1"/>
  <c r="H663" i="51"/>
  <c r="G663" i="51"/>
  <c r="I662" i="50"/>
  <c r="B663" i="50" s="1"/>
  <c r="H662" i="50"/>
  <c r="G662" i="50"/>
  <c r="D662" i="50"/>
  <c r="C662" i="50"/>
  <c r="I662" i="49"/>
  <c r="B663" i="49" s="1"/>
  <c r="H662" i="49"/>
  <c r="G662" i="49"/>
  <c r="D662" i="49"/>
  <c r="C662" i="49"/>
  <c r="I662" i="48"/>
  <c r="B663" i="48" s="1"/>
  <c r="H662" i="48"/>
  <c r="G662" i="48"/>
  <c r="D662" i="48"/>
  <c r="C662" i="48"/>
  <c r="H662" i="47"/>
  <c r="G662" i="47"/>
  <c r="I662" i="47"/>
  <c r="B663" i="47" s="1"/>
  <c r="D662" i="47"/>
  <c r="C662" i="47"/>
  <c r="D611" i="35"/>
  <c r="I611" i="35"/>
  <c r="B612" i="35" s="1"/>
  <c r="H611" i="35"/>
  <c r="G611" i="35"/>
  <c r="C611" i="35"/>
  <c r="I664" i="55" l="1"/>
  <c r="B665" i="55" s="1"/>
  <c r="H664" i="55"/>
  <c r="G664" i="55"/>
  <c r="D664" i="55"/>
  <c r="C664" i="55"/>
  <c r="D664" i="54"/>
  <c r="C664" i="54"/>
  <c r="I664" i="54"/>
  <c r="B665" i="54" s="1"/>
  <c r="H664" i="54"/>
  <c r="G664" i="54"/>
  <c r="H664" i="53"/>
  <c r="G664" i="53"/>
  <c r="I664" i="53"/>
  <c r="B665" i="53" s="1"/>
  <c r="D664" i="53"/>
  <c r="C664" i="53"/>
  <c r="D664" i="52"/>
  <c r="C664" i="52"/>
  <c r="H664" i="52"/>
  <c r="I664" i="52"/>
  <c r="B665" i="52" s="1"/>
  <c r="G664" i="52"/>
  <c r="H664" i="51"/>
  <c r="G664" i="51"/>
  <c r="D664" i="51"/>
  <c r="C664" i="51"/>
  <c r="I664" i="51"/>
  <c r="B665" i="51" s="1"/>
  <c r="I663" i="50"/>
  <c r="B664" i="50" s="1"/>
  <c r="H663" i="50"/>
  <c r="G663" i="50"/>
  <c r="D663" i="50"/>
  <c r="C663" i="50"/>
  <c r="C663" i="49"/>
  <c r="I663" i="49"/>
  <c r="B664" i="49" s="1"/>
  <c r="H663" i="49"/>
  <c r="D663" i="49"/>
  <c r="G663" i="49"/>
  <c r="I663" i="48"/>
  <c r="B664" i="48" s="1"/>
  <c r="H663" i="48"/>
  <c r="D663" i="48"/>
  <c r="G663" i="48"/>
  <c r="C663" i="48"/>
  <c r="D663" i="47"/>
  <c r="G663" i="47"/>
  <c r="C663" i="47"/>
  <c r="I663" i="47"/>
  <c r="B664" i="47" s="1"/>
  <c r="H663" i="47"/>
  <c r="H612" i="35"/>
  <c r="G612" i="35"/>
  <c r="C612" i="35"/>
  <c r="I612" i="35"/>
  <c r="B613" i="35" s="1"/>
  <c r="D612" i="35"/>
  <c r="D665" i="55" l="1"/>
  <c r="C665" i="55"/>
  <c r="H665" i="55"/>
  <c r="I665" i="55"/>
  <c r="B666" i="55" s="1"/>
  <c r="G665" i="55"/>
  <c r="H665" i="54"/>
  <c r="G665" i="54"/>
  <c r="D665" i="54"/>
  <c r="C665" i="54"/>
  <c r="I665" i="54"/>
  <c r="B666" i="54" s="1"/>
  <c r="C665" i="53"/>
  <c r="I665" i="53"/>
  <c r="B666" i="53" s="1"/>
  <c r="D665" i="53"/>
  <c r="G665" i="53"/>
  <c r="H665" i="53"/>
  <c r="H665" i="52"/>
  <c r="G665" i="52"/>
  <c r="D665" i="52"/>
  <c r="C665" i="52"/>
  <c r="I665" i="52"/>
  <c r="B666" i="52" s="1"/>
  <c r="I665" i="51"/>
  <c r="B666" i="51" s="1"/>
  <c r="H665" i="51"/>
  <c r="G665" i="51"/>
  <c r="D665" i="51"/>
  <c r="C665" i="51"/>
  <c r="D664" i="50"/>
  <c r="C664" i="50"/>
  <c r="I664" i="50"/>
  <c r="B665" i="50" s="1"/>
  <c r="H664" i="50"/>
  <c r="G664" i="50"/>
  <c r="G664" i="49"/>
  <c r="C664" i="49"/>
  <c r="I664" i="49"/>
  <c r="B665" i="49" s="1"/>
  <c r="D664" i="49"/>
  <c r="H664" i="49"/>
  <c r="D664" i="48"/>
  <c r="C664" i="48"/>
  <c r="H664" i="48"/>
  <c r="I664" i="48"/>
  <c r="B665" i="48" s="1"/>
  <c r="G664" i="48"/>
  <c r="H664" i="47"/>
  <c r="I664" i="47"/>
  <c r="B665" i="47" s="1"/>
  <c r="D664" i="47"/>
  <c r="G664" i="47"/>
  <c r="C664" i="47"/>
  <c r="C613" i="35"/>
  <c r="I613" i="35"/>
  <c r="B614" i="35" s="1"/>
  <c r="H613" i="35"/>
  <c r="G613" i="35"/>
  <c r="D613" i="35"/>
  <c r="H666" i="55" l="1"/>
  <c r="G666" i="55"/>
  <c r="D666" i="55"/>
  <c r="I666" i="55"/>
  <c r="B667" i="55" s="1"/>
  <c r="C666" i="55"/>
  <c r="I666" i="54"/>
  <c r="B667" i="54" s="1"/>
  <c r="H666" i="54"/>
  <c r="G666" i="54"/>
  <c r="D666" i="54"/>
  <c r="C666" i="54"/>
  <c r="G666" i="53"/>
  <c r="D666" i="53"/>
  <c r="H666" i="53"/>
  <c r="C666" i="53"/>
  <c r="I666" i="53"/>
  <c r="B667" i="53" s="1"/>
  <c r="I666" i="52"/>
  <c r="B667" i="52" s="1"/>
  <c r="H666" i="52"/>
  <c r="G666" i="52"/>
  <c r="D666" i="52"/>
  <c r="C666" i="52"/>
  <c r="I666" i="51"/>
  <c r="B667" i="51" s="1"/>
  <c r="H666" i="51"/>
  <c r="G666" i="51"/>
  <c r="D666" i="51"/>
  <c r="C666" i="51"/>
  <c r="H665" i="50"/>
  <c r="G665" i="50"/>
  <c r="D665" i="50"/>
  <c r="C665" i="50"/>
  <c r="I665" i="50"/>
  <c r="B666" i="50" s="1"/>
  <c r="I665" i="49"/>
  <c r="B666" i="49" s="1"/>
  <c r="G665" i="49"/>
  <c r="D665" i="49"/>
  <c r="C665" i="49"/>
  <c r="H665" i="49"/>
  <c r="H665" i="48"/>
  <c r="G665" i="48"/>
  <c r="D665" i="48"/>
  <c r="C665" i="48"/>
  <c r="I665" i="48"/>
  <c r="B666" i="48" s="1"/>
  <c r="D665" i="47"/>
  <c r="C665" i="47"/>
  <c r="I665" i="47"/>
  <c r="B666" i="47" s="1"/>
  <c r="H665" i="47"/>
  <c r="G665" i="47"/>
  <c r="C614" i="35"/>
  <c r="G614" i="35"/>
  <c r="H614" i="35"/>
  <c r="D614" i="35"/>
  <c r="I614" i="35"/>
  <c r="B615" i="35" s="1"/>
  <c r="I667" i="55" l="1"/>
  <c r="B668" i="55" s="1"/>
  <c r="H667" i="55"/>
  <c r="D667" i="55"/>
  <c r="G667" i="55"/>
  <c r="C667" i="55"/>
  <c r="I667" i="54"/>
  <c r="B668" i="54" s="1"/>
  <c r="H667" i="54"/>
  <c r="G667" i="54"/>
  <c r="D667" i="54"/>
  <c r="C667" i="54"/>
  <c r="I667" i="53"/>
  <c r="B668" i="53" s="1"/>
  <c r="H667" i="53"/>
  <c r="D667" i="53"/>
  <c r="C667" i="53"/>
  <c r="G667" i="53"/>
  <c r="I667" i="52"/>
  <c r="B668" i="52" s="1"/>
  <c r="H667" i="52"/>
  <c r="D667" i="52"/>
  <c r="G667" i="52"/>
  <c r="C667" i="52"/>
  <c r="D667" i="51"/>
  <c r="C667" i="51"/>
  <c r="I667" i="51"/>
  <c r="B668" i="51" s="1"/>
  <c r="H667" i="51"/>
  <c r="G667" i="51"/>
  <c r="I666" i="50"/>
  <c r="B667" i="50" s="1"/>
  <c r="H666" i="50"/>
  <c r="G666" i="50"/>
  <c r="D666" i="50"/>
  <c r="C666" i="50"/>
  <c r="I666" i="49"/>
  <c r="B667" i="49" s="1"/>
  <c r="H666" i="49"/>
  <c r="G666" i="49"/>
  <c r="D666" i="49"/>
  <c r="C666" i="49"/>
  <c r="I666" i="48"/>
  <c r="B667" i="48" s="1"/>
  <c r="H666" i="48"/>
  <c r="G666" i="48"/>
  <c r="D666" i="48"/>
  <c r="C666" i="48"/>
  <c r="H666" i="47"/>
  <c r="I666" i="47"/>
  <c r="B667" i="47" s="1"/>
  <c r="G666" i="47"/>
  <c r="C666" i="47"/>
  <c r="D666" i="47"/>
  <c r="C615" i="35"/>
  <c r="D615" i="35"/>
  <c r="G615" i="35"/>
  <c r="I615" i="35"/>
  <c r="B616" i="35" s="1"/>
  <c r="H615" i="35"/>
  <c r="H668" i="55" l="1"/>
  <c r="D668" i="55"/>
  <c r="I668" i="55"/>
  <c r="B669" i="55" s="1"/>
  <c r="G668" i="55"/>
  <c r="C668" i="55"/>
  <c r="D668" i="54"/>
  <c r="C668" i="54"/>
  <c r="I668" i="54"/>
  <c r="B669" i="54" s="1"/>
  <c r="H668" i="54"/>
  <c r="G668" i="54"/>
  <c r="H668" i="53"/>
  <c r="G668" i="53"/>
  <c r="I668" i="53"/>
  <c r="B669" i="53" s="1"/>
  <c r="D668" i="53"/>
  <c r="C668" i="53"/>
  <c r="D668" i="52"/>
  <c r="C668" i="52"/>
  <c r="H668" i="52"/>
  <c r="I668" i="52"/>
  <c r="B669" i="52" s="1"/>
  <c r="G668" i="52"/>
  <c r="H668" i="51"/>
  <c r="G668" i="51"/>
  <c r="D668" i="51"/>
  <c r="C668" i="51"/>
  <c r="I668" i="51"/>
  <c r="B669" i="51" s="1"/>
  <c r="I667" i="50"/>
  <c r="B668" i="50" s="1"/>
  <c r="H667" i="50"/>
  <c r="G667" i="50"/>
  <c r="D667" i="50"/>
  <c r="C667" i="50"/>
  <c r="C667" i="49"/>
  <c r="I667" i="49"/>
  <c r="B668" i="49" s="1"/>
  <c r="H667" i="49"/>
  <c r="G667" i="49"/>
  <c r="D667" i="49"/>
  <c r="I667" i="48"/>
  <c r="B668" i="48" s="1"/>
  <c r="H667" i="48"/>
  <c r="D667" i="48"/>
  <c r="G667" i="48"/>
  <c r="C667" i="48"/>
  <c r="D667" i="47"/>
  <c r="I667" i="47"/>
  <c r="B668" i="47" s="1"/>
  <c r="H667" i="47"/>
  <c r="G667" i="47"/>
  <c r="C667" i="47"/>
  <c r="H616" i="35"/>
  <c r="G616" i="35"/>
  <c r="C616" i="35"/>
  <c r="I616" i="35"/>
  <c r="B617" i="35" s="1"/>
  <c r="D616" i="35"/>
  <c r="D669" i="55" l="1"/>
  <c r="C669" i="55"/>
  <c r="I669" i="55"/>
  <c r="B670" i="55" s="1"/>
  <c r="H669" i="55"/>
  <c r="G669" i="55"/>
  <c r="H669" i="54"/>
  <c r="G669" i="54"/>
  <c r="D669" i="54"/>
  <c r="C669" i="54"/>
  <c r="I669" i="54"/>
  <c r="B670" i="54" s="1"/>
  <c r="C669" i="53"/>
  <c r="I669" i="53"/>
  <c r="B670" i="53" s="1"/>
  <c r="D669" i="53"/>
  <c r="H669" i="53"/>
  <c r="G669" i="53"/>
  <c r="H669" i="52"/>
  <c r="G669" i="52"/>
  <c r="D669" i="52"/>
  <c r="C669" i="52"/>
  <c r="I669" i="52"/>
  <c r="B670" i="52" s="1"/>
  <c r="I669" i="51"/>
  <c r="B670" i="51" s="1"/>
  <c r="H669" i="51"/>
  <c r="G669" i="51"/>
  <c r="D669" i="51"/>
  <c r="C669" i="51"/>
  <c r="D668" i="50"/>
  <c r="C668" i="50"/>
  <c r="I668" i="50"/>
  <c r="B669" i="50" s="1"/>
  <c r="H668" i="50"/>
  <c r="G668" i="50"/>
  <c r="G668" i="49"/>
  <c r="C668" i="49"/>
  <c r="I668" i="49"/>
  <c r="B669" i="49" s="1"/>
  <c r="H668" i="49"/>
  <c r="D668" i="49"/>
  <c r="D668" i="48"/>
  <c r="C668" i="48"/>
  <c r="H668" i="48"/>
  <c r="I668" i="48"/>
  <c r="B669" i="48" s="1"/>
  <c r="G668" i="48"/>
  <c r="H668" i="47"/>
  <c r="I668" i="47"/>
  <c r="B669" i="47" s="1"/>
  <c r="G668" i="47"/>
  <c r="D668" i="47"/>
  <c r="C668" i="47"/>
  <c r="I617" i="35"/>
  <c r="B618" i="35" s="1"/>
  <c r="C617" i="35"/>
  <c r="G617" i="35"/>
  <c r="D617" i="35"/>
  <c r="H617" i="35"/>
  <c r="H670" i="55" l="1"/>
  <c r="G670" i="55"/>
  <c r="D670" i="55"/>
  <c r="I670" i="55"/>
  <c r="B671" i="55" s="1"/>
  <c r="C670" i="55"/>
  <c r="I670" i="54"/>
  <c r="B671" i="54" s="1"/>
  <c r="H670" i="54"/>
  <c r="G670" i="54"/>
  <c r="D670" i="54"/>
  <c r="C670" i="54"/>
  <c r="G670" i="53"/>
  <c r="D670" i="53"/>
  <c r="H670" i="53"/>
  <c r="C670" i="53"/>
  <c r="I670" i="53"/>
  <c r="B671" i="53" s="1"/>
  <c r="I670" i="52"/>
  <c r="B671" i="52" s="1"/>
  <c r="H670" i="52"/>
  <c r="G670" i="52"/>
  <c r="D670" i="52"/>
  <c r="C670" i="52"/>
  <c r="I670" i="51"/>
  <c r="B671" i="51" s="1"/>
  <c r="H670" i="51"/>
  <c r="G670" i="51"/>
  <c r="D670" i="51"/>
  <c r="C670" i="51"/>
  <c r="H669" i="50"/>
  <c r="G669" i="50"/>
  <c r="D669" i="50"/>
  <c r="C669" i="50"/>
  <c r="I669" i="50"/>
  <c r="B670" i="50" s="1"/>
  <c r="I669" i="49"/>
  <c r="B670" i="49" s="1"/>
  <c r="G669" i="49"/>
  <c r="D669" i="49"/>
  <c r="C669" i="49"/>
  <c r="H669" i="49"/>
  <c r="H669" i="48"/>
  <c r="G669" i="48"/>
  <c r="D669" i="48"/>
  <c r="C669" i="48"/>
  <c r="I669" i="48"/>
  <c r="B670" i="48" s="1"/>
  <c r="D669" i="47"/>
  <c r="C669" i="47"/>
  <c r="I669" i="47"/>
  <c r="B670" i="47" s="1"/>
  <c r="H669" i="47"/>
  <c r="G669" i="47"/>
  <c r="C618" i="35"/>
  <c r="G618" i="35"/>
  <c r="H618" i="35"/>
  <c r="D618" i="35"/>
  <c r="I618" i="35"/>
  <c r="B619" i="35" s="1"/>
  <c r="I671" i="55" l="1"/>
  <c r="B672" i="55" s="1"/>
  <c r="H671" i="55"/>
  <c r="G671" i="55"/>
  <c r="D671" i="55"/>
  <c r="C671" i="55"/>
  <c r="I671" i="54"/>
  <c r="B672" i="54" s="1"/>
  <c r="H671" i="54"/>
  <c r="G671" i="54"/>
  <c r="D671" i="54"/>
  <c r="C671" i="54"/>
  <c r="I671" i="53"/>
  <c r="B672" i="53" s="1"/>
  <c r="H671" i="53"/>
  <c r="D671" i="53"/>
  <c r="C671" i="53"/>
  <c r="G671" i="53"/>
  <c r="I671" i="52"/>
  <c r="B672" i="52" s="1"/>
  <c r="H671" i="52"/>
  <c r="D671" i="52"/>
  <c r="G671" i="52"/>
  <c r="C671" i="52"/>
  <c r="D671" i="51"/>
  <c r="C671" i="51"/>
  <c r="I671" i="51"/>
  <c r="B672" i="51" s="1"/>
  <c r="H671" i="51"/>
  <c r="G671" i="51"/>
  <c r="I670" i="50"/>
  <c r="B671" i="50" s="1"/>
  <c r="H670" i="50"/>
  <c r="G670" i="50"/>
  <c r="D670" i="50"/>
  <c r="C670" i="50"/>
  <c r="I670" i="49"/>
  <c r="B671" i="49" s="1"/>
  <c r="H670" i="49"/>
  <c r="G670" i="49"/>
  <c r="D670" i="49"/>
  <c r="C670" i="49"/>
  <c r="I670" i="48"/>
  <c r="B671" i="48" s="1"/>
  <c r="H670" i="48"/>
  <c r="G670" i="48"/>
  <c r="D670" i="48"/>
  <c r="C670" i="48"/>
  <c r="H670" i="47"/>
  <c r="G670" i="47"/>
  <c r="D670" i="47"/>
  <c r="C670" i="47"/>
  <c r="I670" i="47"/>
  <c r="B671" i="47" s="1"/>
  <c r="I619" i="35"/>
  <c r="B620" i="35" s="1"/>
  <c r="C619" i="35"/>
  <c r="D619" i="35"/>
  <c r="H619" i="35"/>
  <c r="G619" i="35"/>
  <c r="I672" i="55" l="1"/>
  <c r="B673" i="55" s="1"/>
  <c r="H672" i="55"/>
  <c r="G672" i="55"/>
  <c r="D672" i="55"/>
  <c r="C672" i="55"/>
  <c r="D672" i="54"/>
  <c r="C672" i="54"/>
  <c r="I672" i="54"/>
  <c r="B673" i="54" s="1"/>
  <c r="H672" i="54"/>
  <c r="G672" i="54"/>
  <c r="H672" i="53"/>
  <c r="G672" i="53"/>
  <c r="D672" i="53"/>
  <c r="C672" i="53"/>
  <c r="I672" i="53"/>
  <c r="B673" i="53" s="1"/>
  <c r="D672" i="52"/>
  <c r="C672" i="52"/>
  <c r="H672" i="52"/>
  <c r="I672" i="52"/>
  <c r="B673" i="52" s="1"/>
  <c r="G672" i="52"/>
  <c r="H672" i="51"/>
  <c r="G672" i="51"/>
  <c r="D672" i="51"/>
  <c r="C672" i="51"/>
  <c r="I672" i="51"/>
  <c r="B673" i="51" s="1"/>
  <c r="I671" i="50"/>
  <c r="B672" i="50" s="1"/>
  <c r="H671" i="50"/>
  <c r="G671" i="50"/>
  <c r="D671" i="50"/>
  <c r="C671" i="50"/>
  <c r="C671" i="49"/>
  <c r="I671" i="49"/>
  <c r="B672" i="49" s="1"/>
  <c r="H671" i="49"/>
  <c r="D671" i="49"/>
  <c r="G671" i="49"/>
  <c r="I671" i="48"/>
  <c r="B672" i="48" s="1"/>
  <c r="H671" i="48"/>
  <c r="D671" i="48"/>
  <c r="G671" i="48"/>
  <c r="C671" i="48"/>
  <c r="I671" i="47"/>
  <c r="B672" i="47" s="1"/>
  <c r="H671" i="47"/>
  <c r="D671" i="47"/>
  <c r="G671" i="47"/>
  <c r="C671" i="47"/>
  <c r="H620" i="35"/>
  <c r="G620" i="35"/>
  <c r="I620" i="35"/>
  <c r="B621" i="35" s="1"/>
  <c r="D620" i="35"/>
  <c r="C620" i="35"/>
  <c r="D673" i="55" l="1"/>
  <c r="C673" i="55"/>
  <c r="I673" i="55"/>
  <c r="B674" i="55" s="1"/>
  <c r="H673" i="55"/>
  <c r="G673" i="55"/>
  <c r="H673" i="54"/>
  <c r="G673" i="54"/>
  <c r="D673" i="54"/>
  <c r="C673" i="54"/>
  <c r="I673" i="54"/>
  <c r="B674" i="54" s="1"/>
  <c r="C673" i="53"/>
  <c r="I673" i="53"/>
  <c r="B674" i="53" s="1"/>
  <c r="D673" i="53"/>
  <c r="G673" i="53"/>
  <c r="H673" i="53"/>
  <c r="H673" i="52"/>
  <c r="G673" i="52"/>
  <c r="D673" i="52"/>
  <c r="C673" i="52"/>
  <c r="I673" i="52"/>
  <c r="B674" i="52" s="1"/>
  <c r="I673" i="51"/>
  <c r="B674" i="51" s="1"/>
  <c r="H673" i="51"/>
  <c r="G673" i="51"/>
  <c r="D673" i="51"/>
  <c r="C673" i="51"/>
  <c r="D672" i="50"/>
  <c r="C672" i="50"/>
  <c r="I672" i="50"/>
  <c r="B673" i="50" s="1"/>
  <c r="H672" i="50"/>
  <c r="G672" i="50"/>
  <c r="G672" i="49"/>
  <c r="C672" i="49"/>
  <c r="H672" i="49"/>
  <c r="D672" i="49"/>
  <c r="I672" i="49"/>
  <c r="B673" i="49" s="1"/>
  <c r="D672" i="48"/>
  <c r="C672" i="48"/>
  <c r="H672" i="48"/>
  <c r="I672" i="48"/>
  <c r="B673" i="48" s="1"/>
  <c r="G672" i="48"/>
  <c r="H672" i="47"/>
  <c r="I672" i="47"/>
  <c r="B673" i="47" s="1"/>
  <c r="G672" i="47"/>
  <c r="D672" i="47"/>
  <c r="C672" i="47"/>
  <c r="I621" i="35"/>
  <c r="B622" i="35" s="1"/>
  <c r="C621" i="35"/>
  <c r="H621" i="35"/>
  <c r="G621" i="35"/>
  <c r="D621" i="35"/>
  <c r="H674" i="55" l="1"/>
  <c r="G674" i="55"/>
  <c r="D674" i="55"/>
  <c r="C674" i="55"/>
  <c r="I674" i="55"/>
  <c r="B675" i="55" s="1"/>
  <c r="I674" i="54"/>
  <c r="B675" i="54" s="1"/>
  <c r="H674" i="54"/>
  <c r="G674" i="54"/>
  <c r="D674" i="54"/>
  <c r="C674" i="54"/>
  <c r="G674" i="53"/>
  <c r="D674" i="53"/>
  <c r="H674" i="53"/>
  <c r="I674" i="53"/>
  <c r="B675" i="53" s="1"/>
  <c r="C674" i="53"/>
  <c r="I674" i="52"/>
  <c r="B675" i="52" s="1"/>
  <c r="H674" i="52"/>
  <c r="G674" i="52"/>
  <c r="D674" i="52"/>
  <c r="C674" i="52"/>
  <c r="I674" i="51"/>
  <c r="B675" i="51" s="1"/>
  <c r="H674" i="51"/>
  <c r="G674" i="51"/>
  <c r="D674" i="51"/>
  <c r="C674" i="51"/>
  <c r="H673" i="50"/>
  <c r="G673" i="50"/>
  <c r="D673" i="50"/>
  <c r="C673" i="50"/>
  <c r="I673" i="50"/>
  <c r="B674" i="50" s="1"/>
  <c r="I673" i="49"/>
  <c r="B674" i="49" s="1"/>
  <c r="G673" i="49"/>
  <c r="D673" i="49"/>
  <c r="C673" i="49"/>
  <c r="H673" i="49"/>
  <c r="H673" i="48"/>
  <c r="G673" i="48"/>
  <c r="D673" i="48"/>
  <c r="C673" i="48"/>
  <c r="I673" i="48"/>
  <c r="B674" i="48" s="1"/>
  <c r="D673" i="47"/>
  <c r="C673" i="47"/>
  <c r="I673" i="47"/>
  <c r="B674" i="47" s="1"/>
  <c r="H673" i="47"/>
  <c r="G673" i="47"/>
  <c r="C622" i="35"/>
  <c r="D622" i="35"/>
  <c r="G622" i="35"/>
  <c r="I622" i="35"/>
  <c r="B623" i="35" s="1"/>
  <c r="H622" i="35"/>
  <c r="I675" i="55" l="1"/>
  <c r="B676" i="55" s="1"/>
  <c r="H675" i="55"/>
  <c r="G675" i="55"/>
  <c r="D675" i="55"/>
  <c r="C675" i="55"/>
  <c r="I675" i="54"/>
  <c r="B676" i="54" s="1"/>
  <c r="H675" i="54"/>
  <c r="G675" i="54"/>
  <c r="D675" i="54"/>
  <c r="C675" i="54"/>
  <c r="I675" i="53"/>
  <c r="B676" i="53" s="1"/>
  <c r="H675" i="53"/>
  <c r="D675" i="53"/>
  <c r="C675" i="53"/>
  <c r="G675" i="53"/>
  <c r="I675" i="52"/>
  <c r="B676" i="52" s="1"/>
  <c r="H675" i="52"/>
  <c r="D675" i="52"/>
  <c r="G675" i="52"/>
  <c r="C675" i="52"/>
  <c r="D675" i="51"/>
  <c r="C675" i="51"/>
  <c r="I675" i="51"/>
  <c r="B676" i="51" s="1"/>
  <c r="H675" i="51"/>
  <c r="G675" i="51"/>
  <c r="I674" i="50"/>
  <c r="B675" i="50" s="1"/>
  <c r="H674" i="50"/>
  <c r="G674" i="50"/>
  <c r="D674" i="50"/>
  <c r="C674" i="50"/>
  <c r="I674" i="49"/>
  <c r="B675" i="49" s="1"/>
  <c r="H674" i="49"/>
  <c r="G674" i="49"/>
  <c r="D674" i="49"/>
  <c r="C674" i="49"/>
  <c r="I674" i="48"/>
  <c r="B675" i="48" s="1"/>
  <c r="H674" i="48"/>
  <c r="G674" i="48"/>
  <c r="D674" i="48"/>
  <c r="C674" i="48"/>
  <c r="H674" i="47"/>
  <c r="G674" i="47"/>
  <c r="D674" i="47"/>
  <c r="C674" i="47"/>
  <c r="I674" i="47"/>
  <c r="B675" i="47" s="1"/>
  <c r="I623" i="35"/>
  <c r="B624" i="35" s="1"/>
  <c r="C623" i="35"/>
  <c r="H623" i="35"/>
  <c r="G623" i="35"/>
  <c r="D623" i="35"/>
  <c r="I676" i="55" l="1"/>
  <c r="B677" i="55" s="1"/>
  <c r="H676" i="55"/>
  <c r="G676" i="55"/>
  <c r="D676" i="55"/>
  <c r="C676" i="55"/>
  <c r="D676" i="54"/>
  <c r="C676" i="54"/>
  <c r="I676" i="54"/>
  <c r="B677" i="54" s="1"/>
  <c r="H676" i="54"/>
  <c r="G676" i="54"/>
  <c r="H676" i="53"/>
  <c r="G676" i="53"/>
  <c r="I676" i="53"/>
  <c r="B677" i="53" s="1"/>
  <c r="C676" i="53"/>
  <c r="D676" i="53"/>
  <c r="D676" i="52"/>
  <c r="C676" i="52"/>
  <c r="H676" i="52"/>
  <c r="I676" i="52"/>
  <c r="B677" i="52" s="1"/>
  <c r="G676" i="52"/>
  <c r="H676" i="51"/>
  <c r="G676" i="51"/>
  <c r="D676" i="51"/>
  <c r="C676" i="51"/>
  <c r="I676" i="51"/>
  <c r="B677" i="51" s="1"/>
  <c r="I675" i="50"/>
  <c r="B676" i="50" s="1"/>
  <c r="H675" i="50"/>
  <c r="G675" i="50"/>
  <c r="D675" i="50"/>
  <c r="C675" i="50"/>
  <c r="C675" i="49"/>
  <c r="I675" i="49"/>
  <c r="B676" i="49" s="1"/>
  <c r="H675" i="49"/>
  <c r="G675" i="49"/>
  <c r="D675" i="49"/>
  <c r="I675" i="48"/>
  <c r="B676" i="48" s="1"/>
  <c r="H675" i="48"/>
  <c r="D675" i="48"/>
  <c r="G675" i="48"/>
  <c r="C675" i="48"/>
  <c r="I675" i="47"/>
  <c r="B676" i="47" s="1"/>
  <c r="H675" i="47"/>
  <c r="D675" i="47"/>
  <c r="G675" i="47"/>
  <c r="C675" i="47"/>
  <c r="H624" i="35"/>
  <c r="G624" i="35"/>
  <c r="C624" i="35"/>
  <c r="I624" i="35"/>
  <c r="B625" i="35" s="1"/>
  <c r="D624" i="35"/>
  <c r="D677" i="55" l="1"/>
  <c r="C677" i="55"/>
  <c r="I677" i="55"/>
  <c r="B678" i="55" s="1"/>
  <c r="H677" i="55"/>
  <c r="G677" i="55"/>
  <c r="H677" i="54"/>
  <c r="G677" i="54"/>
  <c r="D677" i="54"/>
  <c r="C677" i="54"/>
  <c r="I677" i="54"/>
  <c r="B678" i="54" s="1"/>
  <c r="C677" i="53"/>
  <c r="I677" i="53"/>
  <c r="B678" i="53" s="1"/>
  <c r="D677" i="53"/>
  <c r="H677" i="53"/>
  <c r="G677" i="53"/>
  <c r="H677" i="52"/>
  <c r="G677" i="52"/>
  <c r="D677" i="52"/>
  <c r="C677" i="52"/>
  <c r="I677" i="52"/>
  <c r="B678" i="52" s="1"/>
  <c r="I677" i="51"/>
  <c r="B678" i="51" s="1"/>
  <c r="H677" i="51"/>
  <c r="G677" i="51"/>
  <c r="D677" i="51"/>
  <c r="C677" i="51"/>
  <c r="D676" i="50"/>
  <c r="C676" i="50"/>
  <c r="I676" i="50"/>
  <c r="B677" i="50" s="1"/>
  <c r="H676" i="50"/>
  <c r="G676" i="50"/>
  <c r="G676" i="49"/>
  <c r="C676" i="49"/>
  <c r="I676" i="49"/>
  <c r="B677" i="49" s="1"/>
  <c r="D676" i="49"/>
  <c r="H676" i="49"/>
  <c r="D676" i="48"/>
  <c r="C676" i="48"/>
  <c r="H676" i="48"/>
  <c r="I676" i="48"/>
  <c r="B677" i="48" s="1"/>
  <c r="G676" i="48"/>
  <c r="H676" i="47"/>
  <c r="I676" i="47"/>
  <c r="B677" i="47" s="1"/>
  <c r="G676" i="47"/>
  <c r="D676" i="47"/>
  <c r="C676" i="47"/>
  <c r="I625" i="35"/>
  <c r="B626" i="35" s="1"/>
  <c r="D625" i="35"/>
  <c r="C625" i="35"/>
  <c r="H625" i="35"/>
  <c r="G625" i="35"/>
  <c r="H678" i="55" l="1"/>
  <c r="G678" i="55"/>
  <c r="D678" i="55"/>
  <c r="C678" i="55"/>
  <c r="I678" i="55"/>
  <c r="B679" i="55" s="1"/>
  <c r="I678" i="54"/>
  <c r="B679" i="54" s="1"/>
  <c r="H678" i="54"/>
  <c r="G678" i="54"/>
  <c r="D678" i="54"/>
  <c r="C678" i="54"/>
  <c r="G678" i="53"/>
  <c r="D678" i="53"/>
  <c r="H678" i="53"/>
  <c r="I678" i="53"/>
  <c r="B679" i="53" s="1"/>
  <c r="C678" i="53"/>
  <c r="I678" i="52"/>
  <c r="B679" i="52" s="1"/>
  <c r="H678" i="52"/>
  <c r="G678" i="52"/>
  <c r="D678" i="52"/>
  <c r="C678" i="52"/>
  <c r="I678" i="51"/>
  <c r="B679" i="51" s="1"/>
  <c r="H678" i="51"/>
  <c r="G678" i="51"/>
  <c r="D678" i="51"/>
  <c r="C678" i="51"/>
  <c r="H677" i="50"/>
  <c r="G677" i="50"/>
  <c r="D677" i="50"/>
  <c r="C677" i="50"/>
  <c r="I677" i="50"/>
  <c r="B678" i="50" s="1"/>
  <c r="I677" i="49"/>
  <c r="B678" i="49" s="1"/>
  <c r="G677" i="49"/>
  <c r="D677" i="49"/>
  <c r="C677" i="49"/>
  <c r="H677" i="49"/>
  <c r="H677" i="48"/>
  <c r="G677" i="48"/>
  <c r="D677" i="48"/>
  <c r="C677" i="48"/>
  <c r="I677" i="48"/>
  <c r="B678" i="48" s="1"/>
  <c r="D677" i="47"/>
  <c r="C677" i="47"/>
  <c r="I677" i="47"/>
  <c r="B678" i="47" s="1"/>
  <c r="H677" i="47"/>
  <c r="G677" i="47"/>
  <c r="C626" i="35"/>
  <c r="G626" i="35"/>
  <c r="H626" i="35"/>
  <c r="D626" i="35"/>
  <c r="I626" i="35"/>
  <c r="B627" i="35" s="1"/>
  <c r="I679" i="55" l="1"/>
  <c r="B680" i="55" s="1"/>
  <c r="H679" i="55"/>
  <c r="G679" i="55"/>
  <c r="D679" i="55"/>
  <c r="C679" i="55"/>
  <c r="I679" i="54"/>
  <c r="B680" i="54" s="1"/>
  <c r="H679" i="54"/>
  <c r="G679" i="54"/>
  <c r="D679" i="54"/>
  <c r="C679" i="54"/>
  <c r="I679" i="53"/>
  <c r="B680" i="53" s="1"/>
  <c r="H679" i="53"/>
  <c r="D679" i="53"/>
  <c r="C679" i="53"/>
  <c r="G679" i="53"/>
  <c r="I679" i="52"/>
  <c r="B680" i="52" s="1"/>
  <c r="H679" i="52"/>
  <c r="D679" i="52"/>
  <c r="G679" i="52"/>
  <c r="C679" i="52"/>
  <c r="D679" i="51"/>
  <c r="C679" i="51"/>
  <c r="I679" i="51"/>
  <c r="B680" i="51" s="1"/>
  <c r="H679" i="51"/>
  <c r="G679" i="51"/>
  <c r="I678" i="50"/>
  <c r="B679" i="50" s="1"/>
  <c r="H678" i="50"/>
  <c r="G678" i="50"/>
  <c r="D678" i="50"/>
  <c r="C678" i="50"/>
  <c r="I678" i="49"/>
  <c r="B679" i="49" s="1"/>
  <c r="H678" i="49"/>
  <c r="G678" i="49"/>
  <c r="D678" i="49"/>
  <c r="C678" i="49"/>
  <c r="I678" i="48"/>
  <c r="B679" i="48" s="1"/>
  <c r="H678" i="48"/>
  <c r="G678" i="48"/>
  <c r="D678" i="48"/>
  <c r="C678" i="48"/>
  <c r="H678" i="47"/>
  <c r="G678" i="47"/>
  <c r="D678" i="47"/>
  <c r="C678" i="47"/>
  <c r="I678" i="47"/>
  <c r="B679" i="47" s="1"/>
  <c r="C627" i="35"/>
  <c r="H627" i="35"/>
  <c r="I627" i="35"/>
  <c r="B628" i="35" s="1"/>
  <c r="D627" i="35"/>
  <c r="G627" i="35"/>
  <c r="I680" i="55" l="1"/>
  <c r="B681" i="55" s="1"/>
  <c r="H680" i="55"/>
  <c r="G680" i="55"/>
  <c r="D680" i="55"/>
  <c r="C680" i="55"/>
  <c r="D680" i="54"/>
  <c r="C680" i="54"/>
  <c r="I680" i="54"/>
  <c r="B681" i="54" s="1"/>
  <c r="H680" i="54"/>
  <c r="G680" i="54"/>
  <c r="H680" i="53"/>
  <c r="G680" i="53"/>
  <c r="D680" i="53"/>
  <c r="C680" i="53"/>
  <c r="I680" i="53"/>
  <c r="B681" i="53" s="1"/>
  <c r="D680" i="52"/>
  <c r="C680" i="52"/>
  <c r="H680" i="52"/>
  <c r="I680" i="52"/>
  <c r="B681" i="52" s="1"/>
  <c r="G680" i="52"/>
  <c r="H680" i="51"/>
  <c r="G680" i="51"/>
  <c r="D680" i="51"/>
  <c r="C680" i="51"/>
  <c r="I680" i="51"/>
  <c r="B681" i="51" s="1"/>
  <c r="I679" i="50"/>
  <c r="B680" i="50" s="1"/>
  <c r="H679" i="50"/>
  <c r="G679" i="50"/>
  <c r="D679" i="50"/>
  <c r="C679" i="50"/>
  <c r="C679" i="49"/>
  <c r="I679" i="49"/>
  <c r="B680" i="49" s="1"/>
  <c r="H679" i="49"/>
  <c r="G679" i="49"/>
  <c r="D679" i="49"/>
  <c r="I679" i="48"/>
  <c r="B680" i="48" s="1"/>
  <c r="H679" i="48"/>
  <c r="D679" i="48"/>
  <c r="G679" i="48"/>
  <c r="C679" i="48"/>
  <c r="I679" i="47"/>
  <c r="B680" i="47" s="1"/>
  <c r="H679" i="47"/>
  <c r="D679" i="47"/>
  <c r="G679" i="47"/>
  <c r="C679" i="47"/>
  <c r="H628" i="35"/>
  <c r="G628" i="35"/>
  <c r="C628" i="35"/>
  <c r="I628" i="35"/>
  <c r="B629" i="35" s="1"/>
  <c r="D628" i="35"/>
  <c r="D681" i="55" l="1"/>
  <c r="C681" i="55"/>
  <c r="I681" i="55"/>
  <c r="B682" i="55" s="1"/>
  <c r="H681" i="55"/>
  <c r="G681" i="55"/>
  <c r="H681" i="54"/>
  <c r="G681" i="54"/>
  <c r="D681" i="54"/>
  <c r="C681" i="54"/>
  <c r="I681" i="54"/>
  <c r="B682" i="54" s="1"/>
  <c r="C681" i="53"/>
  <c r="I681" i="53"/>
  <c r="B682" i="53" s="1"/>
  <c r="D681" i="53"/>
  <c r="H681" i="53"/>
  <c r="G681" i="53"/>
  <c r="H681" i="52"/>
  <c r="G681" i="52"/>
  <c r="D681" i="52"/>
  <c r="C681" i="52"/>
  <c r="I681" i="52"/>
  <c r="B682" i="52" s="1"/>
  <c r="I681" i="51"/>
  <c r="B682" i="51" s="1"/>
  <c r="H681" i="51"/>
  <c r="G681" i="51"/>
  <c r="D681" i="51"/>
  <c r="C681" i="51"/>
  <c r="D680" i="50"/>
  <c r="C680" i="50"/>
  <c r="I680" i="50"/>
  <c r="B681" i="50" s="1"/>
  <c r="H680" i="50"/>
  <c r="G680" i="50"/>
  <c r="G680" i="49"/>
  <c r="C680" i="49"/>
  <c r="I680" i="49"/>
  <c r="B681" i="49" s="1"/>
  <c r="H680" i="49"/>
  <c r="D680" i="49"/>
  <c r="D680" i="48"/>
  <c r="C680" i="48"/>
  <c r="H680" i="48"/>
  <c r="I680" i="48"/>
  <c r="B681" i="48" s="1"/>
  <c r="G680" i="48"/>
  <c r="H680" i="47"/>
  <c r="I680" i="47"/>
  <c r="B681" i="47" s="1"/>
  <c r="G680" i="47"/>
  <c r="D680" i="47"/>
  <c r="C680" i="47"/>
  <c r="C629" i="35"/>
  <c r="I629" i="35"/>
  <c r="B630" i="35" s="1"/>
  <c r="H629" i="35"/>
  <c r="D629" i="35"/>
  <c r="G629" i="35"/>
  <c r="H682" i="55" l="1"/>
  <c r="G682" i="55"/>
  <c r="D682" i="55"/>
  <c r="C682" i="55"/>
  <c r="I682" i="55"/>
  <c r="B683" i="55" s="1"/>
  <c r="I682" i="54"/>
  <c r="B683" i="54" s="1"/>
  <c r="H682" i="54"/>
  <c r="G682" i="54"/>
  <c r="D682" i="54"/>
  <c r="C682" i="54"/>
  <c r="G682" i="53"/>
  <c r="D682" i="53"/>
  <c r="H682" i="53"/>
  <c r="I682" i="53"/>
  <c r="B683" i="53" s="1"/>
  <c r="C682" i="53"/>
  <c r="I682" i="52"/>
  <c r="B683" i="52" s="1"/>
  <c r="H682" i="52"/>
  <c r="G682" i="52"/>
  <c r="D682" i="52"/>
  <c r="C682" i="52"/>
  <c r="I682" i="51"/>
  <c r="B683" i="51" s="1"/>
  <c r="H682" i="51"/>
  <c r="G682" i="51"/>
  <c r="D682" i="51"/>
  <c r="C682" i="51"/>
  <c r="H681" i="50"/>
  <c r="G681" i="50"/>
  <c r="D681" i="50"/>
  <c r="C681" i="50"/>
  <c r="I681" i="50"/>
  <c r="B682" i="50" s="1"/>
  <c r="I681" i="49"/>
  <c r="B682" i="49" s="1"/>
  <c r="G681" i="49"/>
  <c r="D681" i="49"/>
  <c r="C681" i="49"/>
  <c r="H681" i="49"/>
  <c r="H681" i="48"/>
  <c r="G681" i="48"/>
  <c r="D681" i="48"/>
  <c r="C681" i="48"/>
  <c r="I681" i="48"/>
  <c r="B682" i="48" s="1"/>
  <c r="D681" i="47"/>
  <c r="C681" i="47"/>
  <c r="I681" i="47"/>
  <c r="B682" i="47" s="1"/>
  <c r="H681" i="47"/>
  <c r="G681" i="47"/>
  <c r="C630" i="35"/>
  <c r="G630" i="35"/>
  <c r="H630" i="35"/>
  <c r="D630" i="35"/>
  <c r="I630" i="35"/>
  <c r="B631" i="35" s="1"/>
  <c r="I683" i="55" l="1"/>
  <c r="B684" i="55" s="1"/>
  <c r="H683" i="55"/>
  <c r="G683" i="55"/>
  <c r="D683" i="55"/>
  <c r="C683" i="55"/>
  <c r="I683" i="54"/>
  <c r="B684" i="54" s="1"/>
  <c r="H683" i="54"/>
  <c r="G683" i="54"/>
  <c r="D683" i="54"/>
  <c r="C683" i="54"/>
  <c r="I683" i="53"/>
  <c r="B684" i="53" s="1"/>
  <c r="H683" i="53"/>
  <c r="D683" i="53"/>
  <c r="C683" i="53"/>
  <c r="G683" i="53"/>
  <c r="I683" i="52"/>
  <c r="B684" i="52" s="1"/>
  <c r="H683" i="52"/>
  <c r="D683" i="52"/>
  <c r="G683" i="52"/>
  <c r="C683" i="52"/>
  <c r="D683" i="51"/>
  <c r="C683" i="51"/>
  <c r="I683" i="51"/>
  <c r="B684" i="51" s="1"/>
  <c r="H683" i="51"/>
  <c r="G683" i="51"/>
  <c r="I682" i="50"/>
  <c r="B683" i="50" s="1"/>
  <c r="H682" i="50"/>
  <c r="G682" i="50"/>
  <c r="D682" i="50"/>
  <c r="C682" i="50"/>
  <c r="I682" i="49"/>
  <c r="B683" i="49" s="1"/>
  <c r="H682" i="49"/>
  <c r="G682" i="49"/>
  <c r="D682" i="49"/>
  <c r="C682" i="49"/>
  <c r="I682" i="48"/>
  <c r="B683" i="48" s="1"/>
  <c r="H682" i="48"/>
  <c r="G682" i="48"/>
  <c r="D682" i="48"/>
  <c r="C682" i="48"/>
  <c r="H682" i="47"/>
  <c r="G682" i="47"/>
  <c r="D682" i="47"/>
  <c r="C682" i="47"/>
  <c r="I682" i="47"/>
  <c r="B683" i="47" s="1"/>
  <c r="I631" i="35"/>
  <c r="B632" i="35" s="1"/>
  <c r="C631" i="35"/>
  <c r="D631" i="35"/>
  <c r="G631" i="35"/>
  <c r="H631" i="35"/>
  <c r="I684" i="55" l="1"/>
  <c r="B685" i="55" s="1"/>
  <c r="H684" i="55"/>
  <c r="G684" i="55"/>
  <c r="D684" i="55"/>
  <c r="C684" i="55"/>
  <c r="D684" i="54"/>
  <c r="C684" i="54"/>
  <c r="I684" i="54"/>
  <c r="B685" i="54" s="1"/>
  <c r="H684" i="54"/>
  <c r="G684" i="54"/>
  <c r="H684" i="53"/>
  <c r="G684" i="53"/>
  <c r="C684" i="53"/>
  <c r="I684" i="53"/>
  <c r="B685" i="53" s="1"/>
  <c r="D684" i="53"/>
  <c r="D684" i="52"/>
  <c r="C684" i="52"/>
  <c r="H684" i="52"/>
  <c r="I684" i="52"/>
  <c r="B685" i="52" s="1"/>
  <c r="G684" i="52"/>
  <c r="H684" i="51"/>
  <c r="G684" i="51"/>
  <c r="D684" i="51"/>
  <c r="C684" i="51"/>
  <c r="I684" i="51"/>
  <c r="B685" i="51" s="1"/>
  <c r="I683" i="50"/>
  <c r="B684" i="50" s="1"/>
  <c r="H683" i="50"/>
  <c r="G683" i="50"/>
  <c r="D683" i="50"/>
  <c r="C683" i="50"/>
  <c r="C683" i="49"/>
  <c r="I683" i="49"/>
  <c r="B684" i="49" s="1"/>
  <c r="H683" i="49"/>
  <c r="D683" i="49"/>
  <c r="G683" i="49"/>
  <c r="I683" i="48"/>
  <c r="B684" i="48" s="1"/>
  <c r="H683" i="48"/>
  <c r="D683" i="48"/>
  <c r="G683" i="48"/>
  <c r="C683" i="48"/>
  <c r="I683" i="47"/>
  <c r="B684" i="47" s="1"/>
  <c r="H683" i="47"/>
  <c r="D683" i="47"/>
  <c r="G683" i="47"/>
  <c r="C683" i="47"/>
  <c r="H632" i="35"/>
  <c r="G632" i="35"/>
  <c r="I632" i="35"/>
  <c r="B633" i="35" s="1"/>
  <c r="D632" i="35"/>
  <c r="C632" i="35"/>
  <c r="D685" i="55" l="1"/>
  <c r="C685" i="55"/>
  <c r="I685" i="55"/>
  <c r="B686" i="55" s="1"/>
  <c r="H685" i="55"/>
  <c r="G685" i="55"/>
  <c r="H685" i="54"/>
  <c r="G685" i="54"/>
  <c r="D685" i="54"/>
  <c r="C685" i="54"/>
  <c r="I685" i="54"/>
  <c r="B686" i="54" s="1"/>
  <c r="C685" i="53"/>
  <c r="I685" i="53"/>
  <c r="B686" i="53" s="1"/>
  <c r="D685" i="53"/>
  <c r="H685" i="53"/>
  <c r="G685" i="53"/>
  <c r="H685" i="52"/>
  <c r="G685" i="52"/>
  <c r="D685" i="52"/>
  <c r="C685" i="52"/>
  <c r="I685" i="52"/>
  <c r="B686" i="52" s="1"/>
  <c r="I685" i="51"/>
  <c r="B686" i="51" s="1"/>
  <c r="H685" i="51"/>
  <c r="G685" i="51"/>
  <c r="D685" i="51"/>
  <c r="C685" i="51"/>
  <c r="D684" i="50"/>
  <c r="C684" i="50"/>
  <c r="I684" i="50"/>
  <c r="B685" i="50" s="1"/>
  <c r="H684" i="50"/>
  <c r="G684" i="50"/>
  <c r="G684" i="49"/>
  <c r="C684" i="49"/>
  <c r="H684" i="49"/>
  <c r="D684" i="49"/>
  <c r="I684" i="49"/>
  <c r="B685" i="49" s="1"/>
  <c r="D684" i="48"/>
  <c r="C684" i="48"/>
  <c r="H684" i="48"/>
  <c r="I684" i="48"/>
  <c r="B685" i="48" s="1"/>
  <c r="G684" i="48"/>
  <c r="H684" i="47"/>
  <c r="I684" i="47"/>
  <c r="B685" i="47" s="1"/>
  <c r="G684" i="47"/>
  <c r="D684" i="47"/>
  <c r="C684" i="47"/>
  <c r="I633" i="35"/>
  <c r="B634" i="35" s="1"/>
  <c r="H633" i="35"/>
  <c r="D633" i="35"/>
  <c r="C633" i="35"/>
  <c r="G633" i="35"/>
  <c r="H686" i="55" l="1"/>
  <c r="G686" i="55"/>
  <c r="D686" i="55"/>
  <c r="C686" i="55"/>
  <c r="I686" i="55"/>
  <c r="B687" i="55" s="1"/>
  <c r="I686" i="54"/>
  <c r="B687" i="54" s="1"/>
  <c r="H686" i="54"/>
  <c r="G686" i="54"/>
  <c r="D686" i="54"/>
  <c r="C686" i="54"/>
  <c r="G686" i="53"/>
  <c r="D686" i="53"/>
  <c r="H686" i="53"/>
  <c r="I686" i="53"/>
  <c r="B687" i="53" s="1"/>
  <c r="C686" i="53"/>
  <c r="I686" i="52"/>
  <c r="B687" i="52" s="1"/>
  <c r="H686" i="52"/>
  <c r="G686" i="52"/>
  <c r="D686" i="52"/>
  <c r="C686" i="52"/>
  <c r="I686" i="51"/>
  <c r="B687" i="51" s="1"/>
  <c r="H686" i="51"/>
  <c r="G686" i="51"/>
  <c r="D686" i="51"/>
  <c r="C686" i="51"/>
  <c r="H685" i="50"/>
  <c r="G685" i="50"/>
  <c r="D685" i="50"/>
  <c r="C685" i="50"/>
  <c r="I685" i="50"/>
  <c r="B686" i="50" s="1"/>
  <c r="I685" i="49"/>
  <c r="B686" i="49" s="1"/>
  <c r="G685" i="49"/>
  <c r="D685" i="49"/>
  <c r="C685" i="49"/>
  <c r="H685" i="49"/>
  <c r="H685" i="48"/>
  <c r="G685" i="48"/>
  <c r="D685" i="48"/>
  <c r="C685" i="48"/>
  <c r="I685" i="48"/>
  <c r="B686" i="48" s="1"/>
  <c r="D685" i="47"/>
  <c r="C685" i="47"/>
  <c r="I685" i="47"/>
  <c r="B686" i="47" s="1"/>
  <c r="H685" i="47"/>
  <c r="G685" i="47"/>
  <c r="C634" i="35"/>
  <c r="G634" i="35"/>
  <c r="I634" i="35"/>
  <c r="B635" i="35" s="1"/>
  <c r="H634" i="35"/>
  <c r="D634" i="35"/>
  <c r="I687" i="55" l="1"/>
  <c r="B688" i="55" s="1"/>
  <c r="H687" i="55"/>
  <c r="G687" i="55"/>
  <c r="D687" i="55"/>
  <c r="C687" i="55"/>
  <c r="I687" i="54"/>
  <c r="B688" i="54" s="1"/>
  <c r="H687" i="54"/>
  <c r="G687" i="54"/>
  <c r="D687" i="54"/>
  <c r="C687" i="54"/>
  <c r="I687" i="53"/>
  <c r="B688" i="53" s="1"/>
  <c r="H687" i="53"/>
  <c r="D687" i="53"/>
  <c r="C687" i="53"/>
  <c r="G687" i="53"/>
  <c r="I687" i="52"/>
  <c r="B688" i="52" s="1"/>
  <c r="H687" i="52"/>
  <c r="D687" i="52"/>
  <c r="G687" i="52"/>
  <c r="C687" i="52"/>
  <c r="D687" i="51"/>
  <c r="C687" i="51"/>
  <c r="I687" i="51"/>
  <c r="B688" i="51" s="1"/>
  <c r="H687" i="51"/>
  <c r="G687" i="51"/>
  <c r="I686" i="50"/>
  <c r="B687" i="50" s="1"/>
  <c r="H686" i="50"/>
  <c r="G686" i="50"/>
  <c r="D686" i="50"/>
  <c r="C686" i="50"/>
  <c r="I686" i="49"/>
  <c r="B687" i="49" s="1"/>
  <c r="H686" i="49"/>
  <c r="G686" i="49"/>
  <c r="D686" i="49"/>
  <c r="C686" i="49"/>
  <c r="I686" i="48"/>
  <c r="B687" i="48" s="1"/>
  <c r="H686" i="48"/>
  <c r="G686" i="48"/>
  <c r="D686" i="48"/>
  <c r="C686" i="48"/>
  <c r="H686" i="47"/>
  <c r="G686" i="47"/>
  <c r="D686" i="47"/>
  <c r="C686" i="47"/>
  <c r="I686" i="47"/>
  <c r="B687" i="47" s="1"/>
  <c r="I635" i="35"/>
  <c r="B636" i="35" s="1"/>
  <c r="C635" i="35"/>
  <c r="H635" i="35"/>
  <c r="G635" i="35"/>
  <c r="D635" i="35"/>
  <c r="I688" i="55" l="1"/>
  <c r="B689" i="55" s="1"/>
  <c r="H688" i="55"/>
  <c r="G688" i="55"/>
  <c r="D688" i="55"/>
  <c r="C688" i="55"/>
  <c r="D688" i="54"/>
  <c r="C688" i="54"/>
  <c r="I688" i="54"/>
  <c r="B689" i="54" s="1"/>
  <c r="H688" i="54"/>
  <c r="G688" i="54"/>
  <c r="H688" i="53"/>
  <c r="G688" i="53"/>
  <c r="I688" i="53"/>
  <c r="B689" i="53" s="1"/>
  <c r="C688" i="53"/>
  <c r="D688" i="53"/>
  <c r="D688" i="52"/>
  <c r="C688" i="52"/>
  <c r="H688" i="52"/>
  <c r="I688" i="52"/>
  <c r="B689" i="52" s="1"/>
  <c r="G688" i="52"/>
  <c r="H688" i="51"/>
  <c r="G688" i="51"/>
  <c r="D688" i="51"/>
  <c r="C688" i="51"/>
  <c r="I688" i="51"/>
  <c r="B689" i="51" s="1"/>
  <c r="I687" i="50"/>
  <c r="B688" i="50" s="1"/>
  <c r="H687" i="50"/>
  <c r="G687" i="50"/>
  <c r="D687" i="50"/>
  <c r="C687" i="50"/>
  <c r="C687" i="49"/>
  <c r="I687" i="49"/>
  <c r="B688" i="49" s="1"/>
  <c r="H687" i="49"/>
  <c r="G687" i="49"/>
  <c r="D687" i="49"/>
  <c r="I687" i="48"/>
  <c r="B688" i="48" s="1"/>
  <c r="H687" i="48"/>
  <c r="D687" i="48"/>
  <c r="G687" i="48"/>
  <c r="C687" i="48"/>
  <c r="I687" i="47"/>
  <c r="B688" i="47" s="1"/>
  <c r="H687" i="47"/>
  <c r="D687" i="47"/>
  <c r="G687" i="47"/>
  <c r="C687" i="47"/>
  <c r="H636" i="35"/>
  <c r="D636" i="35"/>
  <c r="I636" i="35"/>
  <c r="B637" i="35" s="1"/>
  <c r="G636" i="35"/>
  <c r="C636" i="35"/>
  <c r="D689" i="55" l="1"/>
  <c r="C689" i="55"/>
  <c r="I689" i="55"/>
  <c r="B690" i="55" s="1"/>
  <c r="H689" i="55"/>
  <c r="G689" i="55"/>
  <c r="H689" i="54"/>
  <c r="G689" i="54"/>
  <c r="D689" i="54"/>
  <c r="C689" i="54"/>
  <c r="I689" i="54"/>
  <c r="B690" i="54" s="1"/>
  <c r="C689" i="53"/>
  <c r="I689" i="53"/>
  <c r="B690" i="53" s="1"/>
  <c r="D689" i="53"/>
  <c r="H689" i="53"/>
  <c r="G689" i="53"/>
  <c r="H689" i="52"/>
  <c r="G689" i="52"/>
  <c r="D689" i="52"/>
  <c r="C689" i="52"/>
  <c r="I689" i="52"/>
  <c r="B690" i="52" s="1"/>
  <c r="I689" i="51"/>
  <c r="B690" i="51" s="1"/>
  <c r="H689" i="51"/>
  <c r="G689" i="51"/>
  <c r="D689" i="51"/>
  <c r="C689" i="51"/>
  <c r="D688" i="50"/>
  <c r="C688" i="50"/>
  <c r="I688" i="50"/>
  <c r="B689" i="50" s="1"/>
  <c r="H688" i="50"/>
  <c r="G688" i="50"/>
  <c r="G688" i="49"/>
  <c r="C688" i="49"/>
  <c r="D688" i="49"/>
  <c r="I688" i="49"/>
  <c r="B689" i="49" s="1"/>
  <c r="H688" i="49"/>
  <c r="D688" i="48"/>
  <c r="C688" i="48"/>
  <c r="H688" i="48"/>
  <c r="I688" i="48"/>
  <c r="B689" i="48" s="1"/>
  <c r="G688" i="48"/>
  <c r="H688" i="47"/>
  <c r="I688" i="47"/>
  <c r="B689" i="47" s="1"/>
  <c r="G688" i="47"/>
  <c r="D688" i="47"/>
  <c r="C688" i="47"/>
  <c r="I637" i="35"/>
  <c r="B638" i="35" s="1"/>
  <c r="G637" i="35"/>
  <c r="C637" i="35"/>
  <c r="H637" i="35"/>
  <c r="D637" i="35"/>
  <c r="H690" i="55" l="1"/>
  <c r="G690" i="55"/>
  <c r="D690" i="55"/>
  <c r="C690" i="55"/>
  <c r="I690" i="55"/>
  <c r="B691" i="55" s="1"/>
  <c r="I690" i="54"/>
  <c r="B691" i="54" s="1"/>
  <c r="H690" i="54"/>
  <c r="G690" i="54"/>
  <c r="D690" i="54"/>
  <c r="C690" i="54"/>
  <c r="G690" i="53"/>
  <c r="D690" i="53"/>
  <c r="H690" i="53"/>
  <c r="C690" i="53"/>
  <c r="I690" i="53"/>
  <c r="B691" i="53" s="1"/>
  <c r="I690" i="52"/>
  <c r="B691" i="52" s="1"/>
  <c r="H690" i="52"/>
  <c r="G690" i="52"/>
  <c r="D690" i="52"/>
  <c r="C690" i="52"/>
  <c r="I690" i="51"/>
  <c r="B691" i="51" s="1"/>
  <c r="H690" i="51"/>
  <c r="G690" i="51"/>
  <c r="D690" i="51"/>
  <c r="C690" i="51"/>
  <c r="H689" i="50"/>
  <c r="G689" i="50"/>
  <c r="D689" i="50"/>
  <c r="C689" i="50"/>
  <c r="I689" i="50"/>
  <c r="B690" i="50" s="1"/>
  <c r="I689" i="49"/>
  <c r="B690" i="49" s="1"/>
  <c r="G689" i="49"/>
  <c r="D689" i="49"/>
  <c r="C689" i="49"/>
  <c r="H689" i="49"/>
  <c r="H689" i="48"/>
  <c r="G689" i="48"/>
  <c r="D689" i="48"/>
  <c r="C689" i="48"/>
  <c r="I689" i="48"/>
  <c r="B690" i="48" s="1"/>
  <c r="D689" i="47"/>
  <c r="C689" i="47"/>
  <c r="I689" i="47"/>
  <c r="B690" i="47" s="1"/>
  <c r="H689" i="47"/>
  <c r="G689" i="47"/>
  <c r="C638" i="35"/>
  <c r="G638" i="35"/>
  <c r="D638" i="35"/>
  <c r="I638" i="35"/>
  <c r="B639" i="35" s="1"/>
  <c r="H638" i="35"/>
  <c r="I691" i="55" l="1"/>
  <c r="B692" i="55" s="1"/>
  <c r="H691" i="55"/>
  <c r="G691" i="55"/>
  <c r="D691" i="55"/>
  <c r="C691" i="55"/>
  <c r="I691" i="54"/>
  <c r="B692" i="54" s="1"/>
  <c r="H691" i="54"/>
  <c r="G691" i="54"/>
  <c r="D691" i="54"/>
  <c r="C691" i="54"/>
  <c r="I691" i="53"/>
  <c r="B692" i="53" s="1"/>
  <c r="H691" i="53"/>
  <c r="D691" i="53"/>
  <c r="C691" i="53"/>
  <c r="G691" i="53"/>
  <c r="I691" i="52"/>
  <c r="B692" i="52" s="1"/>
  <c r="H691" i="52"/>
  <c r="D691" i="52"/>
  <c r="G691" i="52"/>
  <c r="C691" i="52"/>
  <c r="D691" i="51"/>
  <c r="C691" i="51"/>
  <c r="I691" i="51"/>
  <c r="B692" i="51" s="1"/>
  <c r="H691" i="51"/>
  <c r="G691" i="51"/>
  <c r="I690" i="50"/>
  <c r="B691" i="50" s="1"/>
  <c r="H690" i="50"/>
  <c r="G690" i="50"/>
  <c r="D690" i="50"/>
  <c r="C690" i="50"/>
  <c r="I690" i="49"/>
  <c r="B691" i="49" s="1"/>
  <c r="H690" i="49"/>
  <c r="G690" i="49"/>
  <c r="D690" i="49"/>
  <c r="C690" i="49"/>
  <c r="I690" i="48"/>
  <c r="B691" i="48" s="1"/>
  <c r="H690" i="48"/>
  <c r="G690" i="48"/>
  <c r="D690" i="48"/>
  <c r="C690" i="48"/>
  <c r="H690" i="47"/>
  <c r="G690" i="47"/>
  <c r="D690" i="47"/>
  <c r="C690" i="47"/>
  <c r="I690" i="47"/>
  <c r="B691" i="47" s="1"/>
  <c r="I639" i="35"/>
  <c r="B640" i="35" s="1"/>
  <c r="C639" i="35"/>
  <c r="D639" i="35"/>
  <c r="H639" i="35"/>
  <c r="G639" i="35"/>
  <c r="I692" i="55" l="1"/>
  <c r="B693" i="55" s="1"/>
  <c r="H692" i="55"/>
  <c r="G692" i="55"/>
  <c r="D692" i="55"/>
  <c r="C692" i="55"/>
  <c r="D692" i="54"/>
  <c r="C692" i="54"/>
  <c r="I692" i="54"/>
  <c r="B693" i="54" s="1"/>
  <c r="H692" i="54"/>
  <c r="G692" i="54"/>
  <c r="H692" i="53"/>
  <c r="G692" i="53"/>
  <c r="I692" i="53"/>
  <c r="B693" i="53" s="1"/>
  <c r="D692" i="53"/>
  <c r="C692" i="53"/>
  <c r="D692" i="52"/>
  <c r="C692" i="52"/>
  <c r="H692" i="52"/>
  <c r="I692" i="52"/>
  <c r="B693" i="52" s="1"/>
  <c r="G692" i="52"/>
  <c r="H692" i="51"/>
  <c r="G692" i="51"/>
  <c r="D692" i="51"/>
  <c r="C692" i="51"/>
  <c r="I692" i="51"/>
  <c r="B693" i="51" s="1"/>
  <c r="I691" i="50"/>
  <c r="B692" i="50" s="1"/>
  <c r="H691" i="50"/>
  <c r="G691" i="50"/>
  <c r="D691" i="50"/>
  <c r="C691" i="50"/>
  <c r="C691" i="49"/>
  <c r="I691" i="49"/>
  <c r="B692" i="49" s="1"/>
  <c r="H691" i="49"/>
  <c r="G691" i="49"/>
  <c r="D691" i="49"/>
  <c r="I691" i="48"/>
  <c r="B692" i="48" s="1"/>
  <c r="H691" i="48"/>
  <c r="D691" i="48"/>
  <c r="G691" i="48"/>
  <c r="C691" i="48"/>
  <c r="I691" i="47"/>
  <c r="B692" i="47" s="1"/>
  <c r="H691" i="47"/>
  <c r="D691" i="47"/>
  <c r="G691" i="47"/>
  <c r="C691" i="47"/>
  <c r="H640" i="35"/>
  <c r="G640" i="35"/>
  <c r="C640" i="35"/>
  <c r="D640" i="35"/>
  <c r="I640" i="35"/>
  <c r="B641" i="35" s="1"/>
  <c r="D693" i="55" l="1"/>
  <c r="C693" i="55"/>
  <c r="I693" i="55"/>
  <c r="B694" i="55" s="1"/>
  <c r="H693" i="55"/>
  <c r="G693" i="55"/>
  <c r="H693" i="54"/>
  <c r="G693" i="54"/>
  <c r="D693" i="54"/>
  <c r="C693" i="54"/>
  <c r="I693" i="54"/>
  <c r="B694" i="54" s="1"/>
  <c r="C693" i="53"/>
  <c r="I693" i="53"/>
  <c r="B694" i="53" s="1"/>
  <c r="D693" i="53"/>
  <c r="H693" i="53"/>
  <c r="G693" i="53"/>
  <c r="H693" i="52"/>
  <c r="G693" i="52"/>
  <c r="D693" i="52"/>
  <c r="C693" i="52"/>
  <c r="I693" i="52"/>
  <c r="B694" i="52" s="1"/>
  <c r="I693" i="51"/>
  <c r="B694" i="51" s="1"/>
  <c r="H693" i="51"/>
  <c r="G693" i="51"/>
  <c r="D693" i="51"/>
  <c r="C693" i="51"/>
  <c r="D692" i="50"/>
  <c r="C692" i="50"/>
  <c r="I692" i="50"/>
  <c r="B693" i="50" s="1"/>
  <c r="H692" i="50"/>
  <c r="G692" i="50"/>
  <c r="G692" i="49"/>
  <c r="C692" i="49"/>
  <c r="H692" i="49"/>
  <c r="I692" i="49"/>
  <c r="B693" i="49" s="1"/>
  <c r="D692" i="49"/>
  <c r="D692" i="48"/>
  <c r="C692" i="48"/>
  <c r="H692" i="48"/>
  <c r="I692" i="48"/>
  <c r="B693" i="48" s="1"/>
  <c r="G692" i="48"/>
  <c r="H692" i="47"/>
  <c r="I692" i="47"/>
  <c r="B693" i="47" s="1"/>
  <c r="G692" i="47"/>
  <c r="D692" i="47"/>
  <c r="C692" i="47"/>
  <c r="I641" i="35"/>
  <c r="B642" i="35" s="1"/>
  <c r="D641" i="35"/>
  <c r="C641" i="35"/>
  <c r="G641" i="35"/>
  <c r="H641" i="35"/>
  <c r="H694" i="55" l="1"/>
  <c r="G694" i="55"/>
  <c r="D694" i="55"/>
  <c r="C694" i="55"/>
  <c r="I694" i="55"/>
  <c r="B695" i="55" s="1"/>
  <c r="I694" i="54"/>
  <c r="B695" i="54" s="1"/>
  <c r="H694" i="54"/>
  <c r="G694" i="54"/>
  <c r="D694" i="54"/>
  <c r="C694" i="54"/>
  <c r="G694" i="53"/>
  <c r="D694" i="53"/>
  <c r="H694" i="53"/>
  <c r="I694" i="53"/>
  <c r="B695" i="53" s="1"/>
  <c r="C694" i="53"/>
  <c r="I694" i="52"/>
  <c r="B695" i="52" s="1"/>
  <c r="H694" i="52"/>
  <c r="G694" i="52"/>
  <c r="D694" i="52"/>
  <c r="C694" i="52"/>
  <c r="I694" i="51"/>
  <c r="B695" i="51" s="1"/>
  <c r="H694" i="51"/>
  <c r="G694" i="51"/>
  <c r="D694" i="51"/>
  <c r="C694" i="51"/>
  <c r="H693" i="50"/>
  <c r="G693" i="50"/>
  <c r="D693" i="50"/>
  <c r="C693" i="50"/>
  <c r="I693" i="50"/>
  <c r="B694" i="50" s="1"/>
  <c r="I693" i="49"/>
  <c r="B694" i="49" s="1"/>
  <c r="G693" i="49"/>
  <c r="D693" i="49"/>
  <c r="C693" i="49"/>
  <c r="H693" i="49"/>
  <c r="H693" i="48"/>
  <c r="G693" i="48"/>
  <c r="D693" i="48"/>
  <c r="C693" i="48"/>
  <c r="I693" i="48"/>
  <c r="B694" i="48" s="1"/>
  <c r="D693" i="47"/>
  <c r="C693" i="47"/>
  <c r="I693" i="47"/>
  <c r="B694" i="47" s="1"/>
  <c r="H693" i="47"/>
  <c r="G693" i="47"/>
  <c r="C642" i="35"/>
  <c r="G642" i="35"/>
  <c r="I642" i="35"/>
  <c r="B643" i="35" s="1"/>
  <c r="D642" i="35"/>
  <c r="H642" i="35"/>
  <c r="I695" i="55" l="1"/>
  <c r="B696" i="55" s="1"/>
  <c r="H695" i="55"/>
  <c r="G695" i="55"/>
  <c r="D695" i="55"/>
  <c r="C695" i="55"/>
  <c r="I695" i="54"/>
  <c r="B696" i="54" s="1"/>
  <c r="H695" i="54"/>
  <c r="G695" i="54"/>
  <c r="D695" i="54"/>
  <c r="C695" i="54"/>
  <c r="I695" i="53"/>
  <c r="B696" i="53" s="1"/>
  <c r="H695" i="53"/>
  <c r="D695" i="53"/>
  <c r="C695" i="53"/>
  <c r="G695" i="53"/>
  <c r="I695" i="52"/>
  <c r="B696" i="52" s="1"/>
  <c r="H695" i="52"/>
  <c r="D695" i="52"/>
  <c r="G695" i="52"/>
  <c r="C695" i="52"/>
  <c r="D695" i="51"/>
  <c r="C695" i="51"/>
  <c r="I695" i="51"/>
  <c r="B696" i="51" s="1"/>
  <c r="H695" i="51"/>
  <c r="G695" i="51"/>
  <c r="I694" i="50"/>
  <c r="B695" i="50" s="1"/>
  <c r="H694" i="50"/>
  <c r="G694" i="50"/>
  <c r="D694" i="50"/>
  <c r="C694" i="50"/>
  <c r="I694" i="49"/>
  <c r="B695" i="49" s="1"/>
  <c r="H694" i="49"/>
  <c r="G694" i="49"/>
  <c r="D694" i="49"/>
  <c r="C694" i="49"/>
  <c r="I694" i="48"/>
  <c r="B695" i="48" s="1"/>
  <c r="H694" i="48"/>
  <c r="G694" i="48"/>
  <c r="D694" i="48"/>
  <c r="C694" i="48"/>
  <c r="H694" i="47"/>
  <c r="G694" i="47"/>
  <c r="D694" i="47"/>
  <c r="C694" i="47"/>
  <c r="I694" i="47"/>
  <c r="B695" i="47" s="1"/>
  <c r="C643" i="35"/>
  <c r="I643" i="35"/>
  <c r="B644" i="35" s="1"/>
  <c r="G643" i="35"/>
  <c r="H643" i="35"/>
  <c r="D643" i="35"/>
  <c r="I696" i="55" l="1"/>
  <c r="B697" i="55" s="1"/>
  <c r="H696" i="55"/>
  <c r="G696" i="55"/>
  <c r="D696" i="55"/>
  <c r="C696" i="55"/>
  <c r="D696" i="54"/>
  <c r="C696" i="54"/>
  <c r="I696" i="54"/>
  <c r="B697" i="54" s="1"/>
  <c r="H696" i="54"/>
  <c r="G696" i="54"/>
  <c r="H696" i="53"/>
  <c r="G696" i="53"/>
  <c r="I696" i="53"/>
  <c r="B697" i="53" s="1"/>
  <c r="D696" i="53"/>
  <c r="C696" i="53"/>
  <c r="D696" i="52"/>
  <c r="C696" i="52"/>
  <c r="H696" i="52"/>
  <c r="I696" i="52"/>
  <c r="B697" i="52" s="1"/>
  <c r="G696" i="52"/>
  <c r="H696" i="51"/>
  <c r="G696" i="51"/>
  <c r="D696" i="51"/>
  <c r="C696" i="51"/>
  <c r="I696" i="51"/>
  <c r="B697" i="51" s="1"/>
  <c r="I695" i="50"/>
  <c r="B696" i="50" s="1"/>
  <c r="H695" i="50"/>
  <c r="G695" i="50"/>
  <c r="D695" i="50"/>
  <c r="C695" i="50"/>
  <c r="C695" i="49"/>
  <c r="I695" i="49"/>
  <c r="B696" i="49" s="1"/>
  <c r="H695" i="49"/>
  <c r="D695" i="49"/>
  <c r="G695" i="49"/>
  <c r="I695" i="48"/>
  <c r="B696" i="48" s="1"/>
  <c r="H695" i="48"/>
  <c r="D695" i="48"/>
  <c r="G695" i="48"/>
  <c r="C695" i="48"/>
  <c r="I695" i="47"/>
  <c r="B696" i="47" s="1"/>
  <c r="H695" i="47"/>
  <c r="D695" i="47"/>
  <c r="G695" i="47"/>
  <c r="C695" i="47"/>
  <c r="H644" i="35"/>
  <c r="G644" i="35"/>
  <c r="D644" i="35"/>
  <c r="C644" i="35"/>
  <c r="I644" i="35"/>
  <c r="B645" i="35" s="1"/>
  <c r="D697" i="55" l="1"/>
  <c r="C697" i="55"/>
  <c r="I697" i="55"/>
  <c r="B698" i="55" s="1"/>
  <c r="H697" i="55"/>
  <c r="G697" i="55"/>
  <c r="H697" i="54"/>
  <c r="G697" i="54"/>
  <c r="D697" i="54"/>
  <c r="C697" i="54"/>
  <c r="I697" i="54"/>
  <c r="B698" i="54" s="1"/>
  <c r="C697" i="53"/>
  <c r="I697" i="53"/>
  <c r="B698" i="53" s="1"/>
  <c r="D697" i="53"/>
  <c r="G697" i="53"/>
  <c r="H697" i="53"/>
  <c r="H697" i="52"/>
  <c r="G697" i="52"/>
  <c r="D697" i="52"/>
  <c r="C697" i="52"/>
  <c r="I697" i="52"/>
  <c r="B698" i="52" s="1"/>
  <c r="I697" i="51"/>
  <c r="B698" i="51" s="1"/>
  <c r="H697" i="51"/>
  <c r="G697" i="51"/>
  <c r="D697" i="51"/>
  <c r="C697" i="51"/>
  <c r="D696" i="50"/>
  <c r="C696" i="50"/>
  <c r="I696" i="50"/>
  <c r="B697" i="50" s="1"/>
  <c r="H696" i="50"/>
  <c r="G696" i="50"/>
  <c r="G696" i="49"/>
  <c r="C696" i="49"/>
  <c r="I696" i="49"/>
  <c r="B697" i="49" s="1"/>
  <c r="D696" i="49"/>
  <c r="H696" i="49"/>
  <c r="D696" i="48"/>
  <c r="C696" i="48"/>
  <c r="H696" i="48"/>
  <c r="I696" i="48"/>
  <c r="B697" i="48" s="1"/>
  <c r="G696" i="48"/>
  <c r="H696" i="47"/>
  <c r="I696" i="47"/>
  <c r="B697" i="47" s="1"/>
  <c r="G696" i="47"/>
  <c r="D696" i="47"/>
  <c r="C696" i="47"/>
  <c r="C645" i="35"/>
  <c r="I645" i="35"/>
  <c r="B646" i="35" s="1"/>
  <c r="H645" i="35"/>
  <c r="G645" i="35"/>
  <c r="D645" i="35"/>
  <c r="H698" i="55" l="1"/>
  <c r="G698" i="55"/>
  <c r="D698" i="55"/>
  <c r="C698" i="55"/>
  <c r="I698" i="55"/>
  <c r="B699" i="55" s="1"/>
  <c r="I698" i="54"/>
  <c r="B699" i="54" s="1"/>
  <c r="H698" i="54"/>
  <c r="G698" i="54"/>
  <c r="D698" i="54"/>
  <c r="C698" i="54"/>
  <c r="G698" i="53"/>
  <c r="D698" i="53"/>
  <c r="H698" i="53"/>
  <c r="C698" i="53"/>
  <c r="I698" i="53"/>
  <c r="B699" i="53" s="1"/>
  <c r="I698" i="52"/>
  <c r="B699" i="52" s="1"/>
  <c r="H698" i="52"/>
  <c r="G698" i="52"/>
  <c r="D698" i="52"/>
  <c r="C698" i="52"/>
  <c r="I698" i="51"/>
  <c r="B699" i="51" s="1"/>
  <c r="H698" i="51"/>
  <c r="G698" i="51"/>
  <c r="D698" i="51"/>
  <c r="C698" i="51"/>
  <c r="H697" i="50"/>
  <c r="G697" i="50"/>
  <c r="D697" i="50"/>
  <c r="C697" i="50"/>
  <c r="I697" i="50"/>
  <c r="B698" i="50" s="1"/>
  <c r="I697" i="49"/>
  <c r="B698" i="49" s="1"/>
  <c r="G697" i="49"/>
  <c r="D697" i="49"/>
  <c r="C697" i="49"/>
  <c r="H697" i="49"/>
  <c r="H697" i="48"/>
  <c r="G697" i="48"/>
  <c r="D697" i="48"/>
  <c r="C697" i="48"/>
  <c r="I697" i="48"/>
  <c r="B698" i="48" s="1"/>
  <c r="D697" i="47"/>
  <c r="C697" i="47"/>
  <c r="I697" i="47"/>
  <c r="B698" i="47" s="1"/>
  <c r="H697" i="47"/>
  <c r="G697" i="47"/>
  <c r="C646" i="35"/>
  <c r="G646" i="35"/>
  <c r="H646" i="35"/>
  <c r="I646" i="35"/>
  <c r="B647" i="35" s="1"/>
  <c r="D646" i="35"/>
  <c r="I699" i="55" l="1"/>
  <c r="B700" i="55" s="1"/>
  <c r="H699" i="55"/>
  <c r="G699" i="55"/>
  <c r="D699" i="55"/>
  <c r="C699" i="55"/>
  <c r="I699" i="54"/>
  <c r="B700" i="54" s="1"/>
  <c r="H699" i="54"/>
  <c r="G699" i="54"/>
  <c r="D699" i="54"/>
  <c r="C699" i="54"/>
  <c r="I699" i="53"/>
  <c r="B700" i="53" s="1"/>
  <c r="H699" i="53"/>
  <c r="D699" i="53"/>
  <c r="C699" i="53"/>
  <c r="G699" i="53"/>
  <c r="I699" i="52"/>
  <c r="B700" i="52" s="1"/>
  <c r="H699" i="52"/>
  <c r="D699" i="52"/>
  <c r="G699" i="52"/>
  <c r="C699" i="52"/>
  <c r="D699" i="51"/>
  <c r="C699" i="51"/>
  <c r="I699" i="51"/>
  <c r="B700" i="51" s="1"/>
  <c r="H699" i="51"/>
  <c r="G699" i="51"/>
  <c r="I698" i="50"/>
  <c r="B699" i="50" s="1"/>
  <c r="H698" i="50"/>
  <c r="G698" i="50"/>
  <c r="D698" i="50"/>
  <c r="C698" i="50"/>
  <c r="I698" i="49"/>
  <c r="B699" i="49" s="1"/>
  <c r="H698" i="49"/>
  <c r="G698" i="49"/>
  <c r="D698" i="49"/>
  <c r="C698" i="49"/>
  <c r="I698" i="48"/>
  <c r="B699" i="48" s="1"/>
  <c r="H698" i="48"/>
  <c r="G698" i="48"/>
  <c r="D698" i="48"/>
  <c r="C698" i="48"/>
  <c r="H698" i="47"/>
  <c r="G698" i="47"/>
  <c r="D698" i="47"/>
  <c r="C698" i="47"/>
  <c r="I698" i="47"/>
  <c r="B699" i="47" s="1"/>
  <c r="I647" i="35"/>
  <c r="B648" i="35" s="1"/>
  <c r="C647" i="35"/>
  <c r="G647" i="35"/>
  <c r="H647" i="35"/>
  <c r="D647" i="35"/>
  <c r="I700" i="55" l="1"/>
  <c r="B701" i="55" s="1"/>
  <c r="H700" i="55"/>
  <c r="G700" i="55"/>
  <c r="D700" i="55"/>
  <c r="C700" i="55"/>
  <c r="D700" i="54"/>
  <c r="C700" i="54"/>
  <c r="I700" i="54"/>
  <c r="B701" i="54" s="1"/>
  <c r="H700" i="54"/>
  <c r="G700" i="54"/>
  <c r="H700" i="53"/>
  <c r="G700" i="53"/>
  <c r="I700" i="53"/>
  <c r="B701" i="53" s="1"/>
  <c r="D700" i="53"/>
  <c r="C700" i="53"/>
  <c r="D700" i="52"/>
  <c r="C700" i="52"/>
  <c r="H700" i="52"/>
  <c r="I700" i="52"/>
  <c r="B701" i="52" s="1"/>
  <c r="G700" i="52"/>
  <c r="H700" i="51"/>
  <c r="G700" i="51"/>
  <c r="D700" i="51"/>
  <c r="C700" i="51"/>
  <c r="I700" i="51"/>
  <c r="B701" i="51" s="1"/>
  <c r="I699" i="50"/>
  <c r="B700" i="50" s="1"/>
  <c r="H699" i="50"/>
  <c r="G699" i="50"/>
  <c r="D699" i="50"/>
  <c r="C699" i="50"/>
  <c r="C699" i="49"/>
  <c r="I699" i="49"/>
  <c r="B700" i="49" s="1"/>
  <c r="H699" i="49"/>
  <c r="G699" i="49"/>
  <c r="D699" i="49"/>
  <c r="I699" i="48"/>
  <c r="B700" i="48" s="1"/>
  <c r="H699" i="48"/>
  <c r="D699" i="48"/>
  <c r="G699" i="48"/>
  <c r="C699" i="48"/>
  <c r="I699" i="47"/>
  <c r="B700" i="47" s="1"/>
  <c r="H699" i="47"/>
  <c r="D699" i="47"/>
  <c r="G699" i="47"/>
  <c r="C699" i="47"/>
  <c r="H648" i="35"/>
  <c r="G648" i="35"/>
  <c r="C648" i="35"/>
  <c r="D648" i="35"/>
  <c r="I648" i="35"/>
  <c r="B649" i="35" s="1"/>
  <c r="D701" i="55" l="1"/>
  <c r="C701" i="55"/>
  <c r="I701" i="55"/>
  <c r="B702" i="55" s="1"/>
  <c r="H701" i="55"/>
  <c r="G701" i="55"/>
  <c r="H701" i="54"/>
  <c r="G701" i="54"/>
  <c r="D701" i="54"/>
  <c r="C701" i="54"/>
  <c r="I701" i="54"/>
  <c r="B702" i="54" s="1"/>
  <c r="C701" i="53"/>
  <c r="I701" i="53"/>
  <c r="B702" i="53" s="1"/>
  <c r="D701" i="53"/>
  <c r="H701" i="53"/>
  <c r="G701" i="53"/>
  <c r="H701" i="52"/>
  <c r="G701" i="52"/>
  <c r="D701" i="52"/>
  <c r="C701" i="52"/>
  <c r="I701" i="52"/>
  <c r="B702" i="52" s="1"/>
  <c r="I701" i="51"/>
  <c r="B702" i="51" s="1"/>
  <c r="H701" i="51"/>
  <c r="G701" i="51"/>
  <c r="D701" i="51"/>
  <c r="C701" i="51"/>
  <c r="D700" i="50"/>
  <c r="C700" i="50"/>
  <c r="I700" i="50"/>
  <c r="B701" i="50" s="1"/>
  <c r="H700" i="50"/>
  <c r="G700" i="50"/>
  <c r="G700" i="49"/>
  <c r="C700" i="49"/>
  <c r="I700" i="49"/>
  <c r="B701" i="49" s="1"/>
  <c r="H700" i="49"/>
  <c r="D700" i="49"/>
  <c r="D700" i="48"/>
  <c r="C700" i="48"/>
  <c r="H700" i="48"/>
  <c r="I700" i="48"/>
  <c r="B701" i="48" s="1"/>
  <c r="G700" i="48"/>
  <c r="H700" i="47"/>
  <c r="I700" i="47"/>
  <c r="B701" i="47" s="1"/>
  <c r="G700" i="47"/>
  <c r="D700" i="47"/>
  <c r="C700" i="47"/>
  <c r="I649" i="35"/>
  <c r="B650" i="35" s="1"/>
  <c r="C649" i="35"/>
  <c r="H649" i="35"/>
  <c r="G649" i="35"/>
  <c r="D649" i="35"/>
  <c r="H702" i="55" l="1"/>
  <c r="G702" i="55"/>
  <c r="D702" i="55"/>
  <c r="C702" i="55"/>
  <c r="I702" i="55"/>
  <c r="B703" i="55" s="1"/>
  <c r="I702" i="54"/>
  <c r="B703" i="54" s="1"/>
  <c r="H702" i="54"/>
  <c r="G702" i="54"/>
  <c r="D702" i="54"/>
  <c r="C702" i="54"/>
  <c r="G702" i="53"/>
  <c r="D702" i="53"/>
  <c r="H702" i="53"/>
  <c r="I702" i="53"/>
  <c r="B703" i="53" s="1"/>
  <c r="C702" i="53"/>
  <c r="I702" i="52"/>
  <c r="B703" i="52" s="1"/>
  <c r="H702" i="52"/>
  <c r="G702" i="52"/>
  <c r="D702" i="52"/>
  <c r="C702" i="52"/>
  <c r="I702" i="51"/>
  <c r="B703" i="51" s="1"/>
  <c r="H702" i="51"/>
  <c r="G702" i="51"/>
  <c r="D702" i="51"/>
  <c r="C702" i="51"/>
  <c r="H701" i="50"/>
  <c r="G701" i="50"/>
  <c r="D701" i="50"/>
  <c r="C701" i="50"/>
  <c r="I701" i="50"/>
  <c r="B702" i="50" s="1"/>
  <c r="I701" i="49"/>
  <c r="B702" i="49" s="1"/>
  <c r="G701" i="49"/>
  <c r="D701" i="49"/>
  <c r="C701" i="49"/>
  <c r="H701" i="49"/>
  <c r="H701" i="48"/>
  <c r="G701" i="48"/>
  <c r="D701" i="48"/>
  <c r="C701" i="48"/>
  <c r="I701" i="48"/>
  <c r="B702" i="48" s="1"/>
  <c r="D701" i="47"/>
  <c r="C701" i="47"/>
  <c r="I701" i="47"/>
  <c r="B702" i="47" s="1"/>
  <c r="H701" i="47"/>
  <c r="G701" i="47"/>
  <c r="C650" i="35"/>
  <c r="G650" i="35"/>
  <c r="I650" i="35"/>
  <c r="B651" i="35" s="1"/>
  <c r="D650" i="35"/>
  <c r="H650" i="35"/>
  <c r="I703" i="55" l="1"/>
  <c r="B704" i="55" s="1"/>
  <c r="H703" i="55"/>
  <c r="G703" i="55"/>
  <c r="D703" i="55"/>
  <c r="C703" i="55"/>
  <c r="I703" i="54"/>
  <c r="B704" i="54" s="1"/>
  <c r="H703" i="54"/>
  <c r="G703" i="54"/>
  <c r="D703" i="54"/>
  <c r="C703" i="54"/>
  <c r="I703" i="53"/>
  <c r="B704" i="53" s="1"/>
  <c r="H703" i="53"/>
  <c r="D703" i="53"/>
  <c r="C703" i="53"/>
  <c r="G703" i="53"/>
  <c r="I703" i="52"/>
  <c r="B704" i="52" s="1"/>
  <c r="H703" i="52"/>
  <c r="D703" i="52"/>
  <c r="G703" i="52"/>
  <c r="C703" i="52"/>
  <c r="D703" i="51"/>
  <c r="C703" i="51"/>
  <c r="I703" i="51"/>
  <c r="B704" i="51" s="1"/>
  <c r="H703" i="51"/>
  <c r="G703" i="51"/>
  <c r="I702" i="50"/>
  <c r="B703" i="50" s="1"/>
  <c r="H702" i="50"/>
  <c r="G702" i="50"/>
  <c r="D702" i="50"/>
  <c r="C702" i="50"/>
  <c r="I702" i="49"/>
  <c r="B703" i="49" s="1"/>
  <c r="H702" i="49"/>
  <c r="G702" i="49"/>
  <c r="D702" i="49"/>
  <c r="C702" i="49"/>
  <c r="I702" i="48"/>
  <c r="B703" i="48" s="1"/>
  <c r="H702" i="48"/>
  <c r="G702" i="48"/>
  <c r="D702" i="48"/>
  <c r="C702" i="48"/>
  <c r="H702" i="47"/>
  <c r="G702" i="47"/>
  <c r="D702" i="47"/>
  <c r="C702" i="47"/>
  <c r="I702" i="47"/>
  <c r="B703" i="47" s="1"/>
  <c r="C651" i="35"/>
  <c r="I651" i="35"/>
  <c r="B652" i="35" s="1"/>
  <c r="H651" i="35"/>
  <c r="G651" i="35"/>
  <c r="D651" i="35"/>
  <c r="I704" i="55" l="1"/>
  <c r="B705" i="55" s="1"/>
  <c r="H704" i="55"/>
  <c r="G704" i="55"/>
  <c r="D704" i="55"/>
  <c r="C704" i="55"/>
  <c r="D704" i="54"/>
  <c r="C704" i="54"/>
  <c r="I704" i="54"/>
  <c r="B705" i="54" s="1"/>
  <c r="H704" i="54"/>
  <c r="G704" i="54"/>
  <c r="H704" i="53"/>
  <c r="G704" i="53"/>
  <c r="D704" i="53"/>
  <c r="C704" i="53"/>
  <c r="I704" i="53"/>
  <c r="B705" i="53" s="1"/>
  <c r="D704" i="52"/>
  <c r="C704" i="52"/>
  <c r="H704" i="52"/>
  <c r="I704" i="52"/>
  <c r="B705" i="52" s="1"/>
  <c r="G704" i="52"/>
  <c r="H704" i="51"/>
  <c r="G704" i="51"/>
  <c r="D704" i="51"/>
  <c r="C704" i="51"/>
  <c r="I704" i="51"/>
  <c r="B705" i="51" s="1"/>
  <c r="I703" i="50"/>
  <c r="B704" i="50" s="1"/>
  <c r="H703" i="50"/>
  <c r="G703" i="50"/>
  <c r="D703" i="50"/>
  <c r="C703" i="50"/>
  <c r="C703" i="49"/>
  <c r="I703" i="49"/>
  <c r="B704" i="49" s="1"/>
  <c r="H703" i="49"/>
  <c r="D703" i="49"/>
  <c r="G703" i="49"/>
  <c r="I703" i="48"/>
  <c r="B704" i="48" s="1"/>
  <c r="H703" i="48"/>
  <c r="D703" i="48"/>
  <c r="G703" i="48"/>
  <c r="C703" i="48"/>
  <c r="I703" i="47"/>
  <c r="B704" i="47" s="1"/>
  <c r="H703" i="47"/>
  <c r="D703" i="47"/>
  <c r="G703" i="47"/>
  <c r="C703" i="47"/>
  <c r="H652" i="35"/>
  <c r="G652" i="35"/>
  <c r="D652" i="35"/>
  <c r="I652" i="35"/>
  <c r="B653" i="35" s="1"/>
  <c r="C652" i="35"/>
  <c r="D705" i="55" l="1"/>
  <c r="C705" i="55"/>
  <c r="I705" i="55"/>
  <c r="B706" i="55" s="1"/>
  <c r="H705" i="55"/>
  <c r="G705" i="55"/>
  <c r="H705" i="54"/>
  <c r="G705" i="54"/>
  <c r="D705" i="54"/>
  <c r="C705" i="54"/>
  <c r="I705" i="54"/>
  <c r="B706" i="54" s="1"/>
  <c r="C705" i="53"/>
  <c r="I705" i="53"/>
  <c r="B706" i="53" s="1"/>
  <c r="D705" i="53"/>
  <c r="G705" i="53"/>
  <c r="H705" i="53"/>
  <c r="H705" i="52"/>
  <c r="G705" i="52"/>
  <c r="D705" i="52"/>
  <c r="C705" i="52"/>
  <c r="I705" i="52"/>
  <c r="B706" i="52" s="1"/>
  <c r="I705" i="51"/>
  <c r="B706" i="51" s="1"/>
  <c r="H705" i="51"/>
  <c r="G705" i="51"/>
  <c r="D705" i="51"/>
  <c r="C705" i="51"/>
  <c r="D704" i="50"/>
  <c r="C704" i="50"/>
  <c r="I704" i="50"/>
  <c r="B705" i="50" s="1"/>
  <c r="H704" i="50"/>
  <c r="G704" i="50"/>
  <c r="G704" i="49"/>
  <c r="C704" i="49"/>
  <c r="H704" i="49"/>
  <c r="D704" i="49"/>
  <c r="I704" i="49"/>
  <c r="B705" i="49" s="1"/>
  <c r="D704" i="48"/>
  <c r="C704" i="48"/>
  <c r="H704" i="48"/>
  <c r="I704" i="48"/>
  <c r="B705" i="48" s="1"/>
  <c r="G704" i="48"/>
  <c r="H704" i="47"/>
  <c r="I704" i="47"/>
  <c r="B705" i="47" s="1"/>
  <c r="G704" i="47"/>
  <c r="D704" i="47"/>
  <c r="C704" i="47"/>
  <c r="I653" i="35"/>
  <c r="B654" i="35" s="1"/>
  <c r="C653" i="35"/>
  <c r="G653" i="35"/>
  <c r="H653" i="35"/>
  <c r="D653" i="35"/>
  <c r="H706" i="55" l="1"/>
  <c r="G706" i="55"/>
  <c r="D706" i="55"/>
  <c r="C706" i="55"/>
  <c r="I706" i="55"/>
  <c r="B707" i="55" s="1"/>
  <c r="I706" i="54"/>
  <c r="B707" i="54" s="1"/>
  <c r="H706" i="54"/>
  <c r="G706" i="54"/>
  <c r="D706" i="54"/>
  <c r="C706" i="54"/>
  <c r="G706" i="53"/>
  <c r="D706" i="53"/>
  <c r="H706" i="53"/>
  <c r="I706" i="53"/>
  <c r="B707" i="53" s="1"/>
  <c r="C706" i="53"/>
  <c r="I706" i="52"/>
  <c r="B707" i="52" s="1"/>
  <c r="H706" i="52"/>
  <c r="G706" i="52"/>
  <c r="D706" i="52"/>
  <c r="C706" i="52"/>
  <c r="I706" i="51"/>
  <c r="B707" i="51" s="1"/>
  <c r="H706" i="51"/>
  <c r="G706" i="51"/>
  <c r="D706" i="51"/>
  <c r="C706" i="51"/>
  <c r="H705" i="50"/>
  <c r="G705" i="50"/>
  <c r="D705" i="50"/>
  <c r="C705" i="50"/>
  <c r="I705" i="50"/>
  <c r="B706" i="50" s="1"/>
  <c r="I705" i="49"/>
  <c r="B706" i="49" s="1"/>
  <c r="G705" i="49"/>
  <c r="D705" i="49"/>
  <c r="C705" i="49"/>
  <c r="H705" i="49"/>
  <c r="H705" i="48"/>
  <c r="G705" i="48"/>
  <c r="D705" i="48"/>
  <c r="C705" i="48"/>
  <c r="I705" i="48"/>
  <c r="B706" i="48" s="1"/>
  <c r="D705" i="47"/>
  <c r="C705" i="47"/>
  <c r="I705" i="47"/>
  <c r="B706" i="47" s="1"/>
  <c r="H705" i="47"/>
  <c r="G705" i="47"/>
  <c r="C654" i="35"/>
  <c r="G654" i="35"/>
  <c r="H654" i="35"/>
  <c r="D654" i="35"/>
  <c r="I654" i="35"/>
  <c r="B655" i="35" s="1"/>
  <c r="I707" i="55" l="1"/>
  <c r="B708" i="55" s="1"/>
  <c r="H707" i="55"/>
  <c r="G707" i="55"/>
  <c r="D707" i="55"/>
  <c r="C707" i="55"/>
  <c r="I707" i="54"/>
  <c r="B708" i="54" s="1"/>
  <c r="H707" i="54"/>
  <c r="G707" i="54"/>
  <c r="D707" i="54"/>
  <c r="C707" i="54"/>
  <c r="I707" i="53"/>
  <c r="B708" i="53" s="1"/>
  <c r="H707" i="53"/>
  <c r="D707" i="53"/>
  <c r="C707" i="53"/>
  <c r="G707" i="53"/>
  <c r="I707" i="52"/>
  <c r="B708" i="52" s="1"/>
  <c r="H707" i="52"/>
  <c r="D707" i="52"/>
  <c r="G707" i="52"/>
  <c r="C707" i="52"/>
  <c r="D707" i="51"/>
  <c r="C707" i="51"/>
  <c r="I707" i="51"/>
  <c r="B708" i="51" s="1"/>
  <c r="H707" i="51"/>
  <c r="G707" i="51"/>
  <c r="I706" i="50"/>
  <c r="B707" i="50" s="1"/>
  <c r="H706" i="50"/>
  <c r="G706" i="50"/>
  <c r="D706" i="50"/>
  <c r="C706" i="50"/>
  <c r="I706" i="49"/>
  <c r="B707" i="49" s="1"/>
  <c r="H706" i="49"/>
  <c r="G706" i="49"/>
  <c r="D706" i="49"/>
  <c r="C706" i="49"/>
  <c r="I706" i="48"/>
  <c r="B707" i="48" s="1"/>
  <c r="H706" i="48"/>
  <c r="G706" i="48"/>
  <c r="D706" i="48"/>
  <c r="C706" i="48"/>
  <c r="H706" i="47"/>
  <c r="G706" i="47"/>
  <c r="D706" i="47"/>
  <c r="C706" i="47"/>
  <c r="I706" i="47"/>
  <c r="B707" i="47" s="1"/>
  <c r="I655" i="35"/>
  <c r="B656" i="35" s="1"/>
  <c r="C655" i="35"/>
  <c r="D655" i="35"/>
  <c r="H655" i="35"/>
  <c r="G655" i="35"/>
  <c r="I708" i="55" l="1"/>
  <c r="B709" i="55" s="1"/>
  <c r="H708" i="55"/>
  <c r="G708" i="55"/>
  <c r="D708" i="55"/>
  <c r="C708" i="55"/>
  <c r="D708" i="54"/>
  <c r="C708" i="54"/>
  <c r="I708" i="54"/>
  <c r="B709" i="54" s="1"/>
  <c r="H708" i="54"/>
  <c r="G708" i="54"/>
  <c r="H708" i="53"/>
  <c r="G708" i="53"/>
  <c r="I708" i="53"/>
  <c r="B709" i="53" s="1"/>
  <c r="C708" i="53"/>
  <c r="D708" i="53"/>
  <c r="D708" i="52"/>
  <c r="C708" i="52"/>
  <c r="H708" i="52"/>
  <c r="I708" i="52"/>
  <c r="B709" i="52" s="1"/>
  <c r="G708" i="52"/>
  <c r="H708" i="51"/>
  <c r="G708" i="51"/>
  <c r="D708" i="51"/>
  <c r="C708" i="51"/>
  <c r="I708" i="51"/>
  <c r="B709" i="51" s="1"/>
  <c r="I707" i="50"/>
  <c r="B708" i="50" s="1"/>
  <c r="H707" i="50"/>
  <c r="G707" i="50"/>
  <c r="D707" i="50"/>
  <c r="C707" i="50"/>
  <c r="C707" i="49"/>
  <c r="I707" i="49"/>
  <c r="B708" i="49" s="1"/>
  <c r="H707" i="49"/>
  <c r="G707" i="49"/>
  <c r="D707" i="49"/>
  <c r="I707" i="48"/>
  <c r="B708" i="48" s="1"/>
  <c r="H707" i="48"/>
  <c r="D707" i="48"/>
  <c r="G707" i="48"/>
  <c r="C707" i="48"/>
  <c r="I707" i="47"/>
  <c r="B708" i="47" s="1"/>
  <c r="H707" i="47"/>
  <c r="D707" i="47"/>
  <c r="G707" i="47"/>
  <c r="C707" i="47"/>
  <c r="I656" i="35"/>
  <c r="B657" i="35" s="1"/>
  <c r="G656" i="35"/>
  <c r="D656" i="35"/>
  <c r="H656" i="35"/>
  <c r="C656" i="35"/>
  <c r="D709" i="55" l="1"/>
  <c r="C709" i="55"/>
  <c r="I709" i="55"/>
  <c r="B710" i="55" s="1"/>
  <c r="H709" i="55"/>
  <c r="G709" i="55"/>
  <c r="H709" i="54"/>
  <c r="G709" i="54"/>
  <c r="D709" i="54"/>
  <c r="C709" i="54"/>
  <c r="I709" i="54"/>
  <c r="B710" i="54" s="1"/>
  <c r="C709" i="53"/>
  <c r="I709" i="53"/>
  <c r="B710" i="53" s="1"/>
  <c r="D709" i="53"/>
  <c r="H709" i="53"/>
  <c r="G709" i="53"/>
  <c r="H709" i="52"/>
  <c r="G709" i="52"/>
  <c r="D709" i="52"/>
  <c r="C709" i="52"/>
  <c r="I709" i="52"/>
  <c r="B710" i="52" s="1"/>
  <c r="I709" i="51"/>
  <c r="B710" i="51" s="1"/>
  <c r="H709" i="51"/>
  <c r="G709" i="51"/>
  <c r="D709" i="51"/>
  <c r="C709" i="51"/>
  <c r="D708" i="50"/>
  <c r="C708" i="50"/>
  <c r="I708" i="50"/>
  <c r="B709" i="50" s="1"/>
  <c r="H708" i="50"/>
  <c r="G708" i="50"/>
  <c r="G708" i="49"/>
  <c r="C708" i="49"/>
  <c r="I708" i="49"/>
  <c r="B709" i="49" s="1"/>
  <c r="D708" i="49"/>
  <c r="H708" i="49"/>
  <c r="D708" i="48"/>
  <c r="C708" i="48"/>
  <c r="H708" i="48"/>
  <c r="I708" i="48"/>
  <c r="B709" i="48" s="1"/>
  <c r="G708" i="48"/>
  <c r="H708" i="47"/>
  <c r="I708" i="47"/>
  <c r="B709" i="47" s="1"/>
  <c r="G708" i="47"/>
  <c r="D708" i="47"/>
  <c r="C708" i="47"/>
  <c r="D657" i="35"/>
  <c r="G657" i="35"/>
  <c r="H657" i="35"/>
  <c r="C657" i="35"/>
  <c r="I657" i="35"/>
  <c r="B658" i="35" s="1"/>
  <c r="H710" i="55" l="1"/>
  <c r="G710" i="55"/>
  <c r="D710" i="55"/>
  <c r="C710" i="55"/>
  <c r="I710" i="55"/>
  <c r="B711" i="55" s="1"/>
  <c r="I710" i="54"/>
  <c r="B711" i="54" s="1"/>
  <c r="H710" i="54"/>
  <c r="G710" i="54"/>
  <c r="D710" i="54"/>
  <c r="C710" i="54"/>
  <c r="G710" i="53"/>
  <c r="D710" i="53"/>
  <c r="H710" i="53"/>
  <c r="I710" i="53"/>
  <c r="B711" i="53" s="1"/>
  <c r="C710" i="53"/>
  <c r="I710" i="52"/>
  <c r="B711" i="52" s="1"/>
  <c r="H710" i="52"/>
  <c r="G710" i="52"/>
  <c r="D710" i="52"/>
  <c r="C710" i="52"/>
  <c r="I710" i="51"/>
  <c r="B711" i="51" s="1"/>
  <c r="H710" i="51"/>
  <c r="G710" i="51"/>
  <c r="D710" i="51"/>
  <c r="C710" i="51"/>
  <c r="H709" i="50"/>
  <c r="G709" i="50"/>
  <c r="D709" i="50"/>
  <c r="C709" i="50"/>
  <c r="I709" i="50"/>
  <c r="B710" i="50" s="1"/>
  <c r="I709" i="49"/>
  <c r="B710" i="49" s="1"/>
  <c r="G709" i="49"/>
  <c r="D709" i="49"/>
  <c r="C709" i="49"/>
  <c r="H709" i="49"/>
  <c r="H709" i="48"/>
  <c r="G709" i="48"/>
  <c r="D709" i="48"/>
  <c r="C709" i="48"/>
  <c r="I709" i="48"/>
  <c r="B710" i="48" s="1"/>
  <c r="D709" i="47"/>
  <c r="C709" i="47"/>
  <c r="I709" i="47"/>
  <c r="B710" i="47" s="1"/>
  <c r="H709" i="47"/>
  <c r="G709" i="47"/>
  <c r="H658" i="35"/>
  <c r="D658" i="35"/>
  <c r="G658" i="35"/>
  <c r="C658" i="35"/>
  <c r="I658" i="35"/>
  <c r="B659" i="35" s="1"/>
  <c r="I711" i="55" l="1"/>
  <c r="B712" i="55" s="1"/>
  <c r="H711" i="55"/>
  <c r="G711" i="55"/>
  <c r="D711" i="55"/>
  <c r="C711" i="55"/>
  <c r="I711" i="54"/>
  <c r="B712" i="54" s="1"/>
  <c r="H711" i="54"/>
  <c r="G711" i="54"/>
  <c r="D711" i="54"/>
  <c r="C711" i="54"/>
  <c r="I711" i="53"/>
  <c r="B712" i="53" s="1"/>
  <c r="H711" i="53"/>
  <c r="D711" i="53"/>
  <c r="C711" i="53"/>
  <c r="G711" i="53"/>
  <c r="I711" i="52"/>
  <c r="B712" i="52" s="1"/>
  <c r="H711" i="52"/>
  <c r="D711" i="52"/>
  <c r="G711" i="52"/>
  <c r="C711" i="52"/>
  <c r="D711" i="51"/>
  <c r="C711" i="51"/>
  <c r="I711" i="51"/>
  <c r="B712" i="51" s="1"/>
  <c r="H711" i="51"/>
  <c r="G711" i="51"/>
  <c r="I710" i="50"/>
  <c r="B711" i="50" s="1"/>
  <c r="H710" i="50"/>
  <c r="G710" i="50"/>
  <c r="D710" i="50"/>
  <c r="C710" i="50"/>
  <c r="I710" i="49"/>
  <c r="B711" i="49" s="1"/>
  <c r="H710" i="49"/>
  <c r="G710" i="49"/>
  <c r="D710" i="49"/>
  <c r="C710" i="49"/>
  <c r="I710" i="48"/>
  <c r="B711" i="48" s="1"/>
  <c r="H710" i="48"/>
  <c r="G710" i="48"/>
  <c r="D710" i="48"/>
  <c r="C710" i="48"/>
  <c r="H710" i="47"/>
  <c r="G710" i="47"/>
  <c r="D710" i="47"/>
  <c r="C710" i="47"/>
  <c r="I710" i="47"/>
  <c r="B711" i="47" s="1"/>
  <c r="G659" i="35"/>
  <c r="D659" i="35"/>
  <c r="C659" i="35"/>
  <c r="H659" i="35"/>
  <c r="I659" i="35"/>
  <c r="B660" i="35" s="1"/>
  <c r="I712" i="55" l="1"/>
  <c r="B713" i="55" s="1"/>
  <c r="H712" i="55"/>
  <c r="G712" i="55"/>
  <c r="D712" i="55"/>
  <c r="C712" i="55"/>
  <c r="D712" i="54"/>
  <c r="C712" i="54"/>
  <c r="I712" i="54"/>
  <c r="B713" i="54" s="1"/>
  <c r="H712" i="54"/>
  <c r="G712" i="54"/>
  <c r="H712" i="53"/>
  <c r="G712" i="53"/>
  <c r="D712" i="53"/>
  <c r="I712" i="53"/>
  <c r="B713" i="53" s="1"/>
  <c r="C712" i="53"/>
  <c r="D712" i="52"/>
  <c r="C712" i="52"/>
  <c r="H712" i="52"/>
  <c r="I712" i="52"/>
  <c r="B713" i="52" s="1"/>
  <c r="G712" i="52"/>
  <c r="H712" i="51"/>
  <c r="G712" i="51"/>
  <c r="D712" i="51"/>
  <c r="C712" i="51"/>
  <c r="I712" i="51"/>
  <c r="B713" i="51" s="1"/>
  <c r="I711" i="50"/>
  <c r="B712" i="50" s="1"/>
  <c r="H711" i="50"/>
  <c r="G711" i="50"/>
  <c r="D711" i="50"/>
  <c r="C711" i="50"/>
  <c r="C711" i="49"/>
  <c r="I711" i="49"/>
  <c r="B712" i="49" s="1"/>
  <c r="H711" i="49"/>
  <c r="G711" i="49"/>
  <c r="D711" i="49"/>
  <c r="I711" i="48"/>
  <c r="B712" i="48" s="1"/>
  <c r="H711" i="48"/>
  <c r="D711" i="48"/>
  <c r="G711" i="48"/>
  <c r="C711" i="48"/>
  <c r="I711" i="47"/>
  <c r="B712" i="47" s="1"/>
  <c r="H711" i="47"/>
  <c r="D711" i="47"/>
  <c r="G711" i="47"/>
  <c r="C711" i="47"/>
  <c r="D660" i="35"/>
  <c r="C660" i="35"/>
  <c r="I660" i="35"/>
  <c r="B661" i="35" s="1"/>
  <c r="H660" i="35"/>
  <c r="G660" i="35"/>
  <c r="D713" i="55" l="1"/>
  <c r="C713" i="55"/>
  <c r="I713" i="55"/>
  <c r="B714" i="55" s="1"/>
  <c r="H713" i="55"/>
  <c r="G713" i="55"/>
  <c r="H713" i="54"/>
  <c r="G713" i="54"/>
  <c r="D713" i="54"/>
  <c r="C713" i="54"/>
  <c r="I713" i="54"/>
  <c r="B714" i="54" s="1"/>
  <c r="C713" i="53"/>
  <c r="I713" i="53"/>
  <c r="B714" i="53" s="1"/>
  <c r="D713" i="53"/>
  <c r="H713" i="53"/>
  <c r="G713" i="53"/>
  <c r="H713" i="52"/>
  <c r="G713" i="52"/>
  <c r="D713" i="52"/>
  <c r="C713" i="52"/>
  <c r="I713" i="52"/>
  <c r="B714" i="52" s="1"/>
  <c r="I713" i="51"/>
  <c r="B714" i="51" s="1"/>
  <c r="H713" i="51"/>
  <c r="G713" i="51"/>
  <c r="D713" i="51"/>
  <c r="C713" i="51"/>
  <c r="D712" i="50"/>
  <c r="C712" i="50"/>
  <c r="I712" i="50"/>
  <c r="B713" i="50" s="1"/>
  <c r="H712" i="50"/>
  <c r="G712" i="50"/>
  <c r="G712" i="49"/>
  <c r="C712" i="49"/>
  <c r="I712" i="49"/>
  <c r="B713" i="49" s="1"/>
  <c r="H712" i="49"/>
  <c r="D712" i="49"/>
  <c r="D712" i="48"/>
  <c r="C712" i="48"/>
  <c r="H712" i="48"/>
  <c r="I712" i="48"/>
  <c r="B713" i="48" s="1"/>
  <c r="G712" i="48"/>
  <c r="H712" i="47"/>
  <c r="I712" i="47"/>
  <c r="B713" i="47" s="1"/>
  <c r="G712" i="47"/>
  <c r="D712" i="47"/>
  <c r="C712" i="47"/>
  <c r="G661" i="35"/>
  <c r="D661" i="35"/>
  <c r="C661" i="35"/>
  <c r="H661" i="35"/>
  <c r="I661" i="35"/>
  <c r="B662" i="35" s="1"/>
  <c r="H714" i="55" l="1"/>
  <c r="G714" i="55"/>
  <c r="D714" i="55"/>
  <c r="C714" i="55"/>
  <c r="I714" i="55"/>
  <c r="B715" i="55" s="1"/>
  <c r="I714" i="54"/>
  <c r="B715" i="54" s="1"/>
  <c r="H714" i="54"/>
  <c r="G714" i="54"/>
  <c r="D714" i="54"/>
  <c r="C714" i="54"/>
  <c r="G714" i="53"/>
  <c r="D714" i="53"/>
  <c r="H714" i="53"/>
  <c r="I714" i="53"/>
  <c r="B715" i="53" s="1"/>
  <c r="C714" i="53"/>
  <c r="I714" i="52"/>
  <c r="B715" i="52" s="1"/>
  <c r="H714" i="52"/>
  <c r="G714" i="52"/>
  <c r="D714" i="52"/>
  <c r="C714" i="52"/>
  <c r="I714" i="51"/>
  <c r="B715" i="51" s="1"/>
  <c r="H714" i="51"/>
  <c r="G714" i="51"/>
  <c r="D714" i="51"/>
  <c r="C714" i="51"/>
  <c r="H713" i="50"/>
  <c r="G713" i="50"/>
  <c r="D713" i="50"/>
  <c r="C713" i="50"/>
  <c r="I713" i="50"/>
  <c r="B714" i="50" s="1"/>
  <c r="I713" i="49"/>
  <c r="B714" i="49" s="1"/>
  <c r="G713" i="49"/>
  <c r="D713" i="49"/>
  <c r="C713" i="49"/>
  <c r="H713" i="49"/>
  <c r="H713" i="48"/>
  <c r="G713" i="48"/>
  <c r="D713" i="48"/>
  <c r="C713" i="48"/>
  <c r="I713" i="48"/>
  <c r="B714" i="48" s="1"/>
  <c r="D713" i="47"/>
  <c r="C713" i="47"/>
  <c r="I713" i="47"/>
  <c r="B714" i="47" s="1"/>
  <c r="H713" i="47"/>
  <c r="G713" i="47"/>
  <c r="C662" i="35"/>
  <c r="I662" i="35"/>
  <c r="B663" i="35" s="1"/>
  <c r="H662" i="35"/>
  <c r="D662" i="35"/>
  <c r="G662" i="35"/>
  <c r="I715" i="55" l="1"/>
  <c r="B716" i="55" s="1"/>
  <c r="H715" i="55"/>
  <c r="G715" i="55"/>
  <c r="D715" i="55"/>
  <c r="C715" i="55"/>
  <c r="I715" i="54"/>
  <c r="B716" i="54" s="1"/>
  <c r="H715" i="54"/>
  <c r="G715" i="54"/>
  <c r="D715" i="54"/>
  <c r="C715" i="54"/>
  <c r="I715" i="53"/>
  <c r="B716" i="53" s="1"/>
  <c r="H715" i="53"/>
  <c r="D715" i="53"/>
  <c r="C715" i="53"/>
  <c r="G715" i="53"/>
  <c r="I715" i="52"/>
  <c r="B716" i="52" s="1"/>
  <c r="H715" i="52"/>
  <c r="D715" i="52"/>
  <c r="G715" i="52"/>
  <c r="C715" i="52"/>
  <c r="D715" i="51"/>
  <c r="C715" i="51"/>
  <c r="I715" i="51"/>
  <c r="B716" i="51" s="1"/>
  <c r="H715" i="51"/>
  <c r="G715" i="51"/>
  <c r="I714" i="50"/>
  <c r="B715" i="50" s="1"/>
  <c r="H714" i="50"/>
  <c r="G714" i="50"/>
  <c r="D714" i="50"/>
  <c r="C714" i="50"/>
  <c r="I714" i="49"/>
  <c r="B715" i="49" s="1"/>
  <c r="H714" i="49"/>
  <c r="G714" i="49"/>
  <c r="D714" i="49"/>
  <c r="C714" i="49"/>
  <c r="I714" i="48"/>
  <c r="B715" i="48" s="1"/>
  <c r="H714" i="48"/>
  <c r="G714" i="48"/>
  <c r="D714" i="48"/>
  <c r="C714" i="48"/>
  <c r="H714" i="47"/>
  <c r="G714" i="47"/>
  <c r="D714" i="47"/>
  <c r="C714" i="47"/>
  <c r="I714" i="47"/>
  <c r="B715" i="47" s="1"/>
  <c r="D663" i="35"/>
  <c r="H663" i="35"/>
  <c r="I663" i="35"/>
  <c r="B664" i="35" s="1"/>
  <c r="G663" i="35"/>
  <c r="C663" i="35"/>
  <c r="I716" i="55" l="1"/>
  <c r="B717" i="55" s="1"/>
  <c r="H716" i="55"/>
  <c r="G716" i="55"/>
  <c r="D716" i="55"/>
  <c r="C716" i="55"/>
  <c r="D716" i="54"/>
  <c r="C716" i="54"/>
  <c r="I716" i="54"/>
  <c r="B717" i="54" s="1"/>
  <c r="H716" i="54"/>
  <c r="G716" i="54"/>
  <c r="H716" i="53"/>
  <c r="G716" i="53"/>
  <c r="C716" i="53"/>
  <c r="D716" i="53"/>
  <c r="I716" i="53"/>
  <c r="B717" i="53" s="1"/>
  <c r="D716" i="52"/>
  <c r="C716" i="52"/>
  <c r="H716" i="52"/>
  <c r="I716" i="52"/>
  <c r="B717" i="52" s="1"/>
  <c r="G716" i="52"/>
  <c r="H716" i="51"/>
  <c r="G716" i="51"/>
  <c r="D716" i="51"/>
  <c r="C716" i="51"/>
  <c r="I716" i="51"/>
  <c r="B717" i="51" s="1"/>
  <c r="I715" i="50"/>
  <c r="B716" i="50" s="1"/>
  <c r="H715" i="50"/>
  <c r="G715" i="50"/>
  <c r="D715" i="50"/>
  <c r="C715" i="50"/>
  <c r="C715" i="49"/>
  <c r="I715" i="49"/>
  <c r="B716" i="49" s="1"/>
  <c r="H715" i="49"/>
  <c r="D715" i="49"/>
  <c r="G715" i="49"/>
  <c r="I715" i="48"/>
  <c r="B716" i="48" s="1"/>
  <c r="H715" i="48"/>
  <c r="D715" i="48"/>
  <c r="G715" i="48"/>
  <c r="C715" i="48"/>
  <c r="I715" i="47"/>
  <c r="B716" i="47" s="1"/>
  <c r="H715" i="47"/>
  <c r="D715" i="47"/>
  <c r="G715" i="47"/>
  <c r="C715" i="47"/>
  <c r="C664" i="35"/>
  <c r="H664" i="35"/>
  <c r="I664" i="35"/>
  <c r="B665" i="35" s="1"/>
  <c r="D664" i="35"/>
  <c r="G664" i="35"/>
  <c r="D717" i="55" l="1"/>
  <c r="C717" i="55"/>
  <c r="I717" i="55"/>
  <c r="B718" i="55" s="1"/>
  <c r="H717" i="55"/>
  <c r="G717" i="55"/>
  <c r="H717" i="54"/>
  <c r="G717" i="54"/>
  <c r="D717" i="54"/>
  <c r="C717" i="54"/>
  <c r="I717" i="54"/>
  <c r="B718" i="54" s="1"/>
  <c r="C717" i="53"/>
  <c r="I717" i="53"/>
  <c r="B718" i="53" s="1"/>
  <c r="D717" i="53"/>
  <c r="H717" i="53"/>
  <c r="G717" i="53"/>
  <c r="H717" i="52"/>
  <c r="G717" i="52"/>
  <c r="D717" i="52"/>
  <c r="C717" i="52"/>
  <c r="I717" i="52"/>
  <c r="B718" i="52" s="1"/>
  <c r="I717" i="51"/>
  <c r="B718" i="51" s="1"/>
  <c r="H717" i="51"/>
  <c r="G717" i="51"/>
  <c r="D717" i="51"/>
  <c r="C717" i="51"/>
  <c r="D716" i="50"/>
  <c r="C716" i="50"/>
  <c r="I716" i="50"/>
  <c r="B717" i="50" s="1"/>
  <c r="H716" i="50"/>
  <c r="G716" i="50"/>
  <c r="G716" i="49"/>
  <c r="C716" i="49"/>
  <c r="H716" i="49"/>
  <c r="D716" i="49"/>
  <c r="I716" i="49"/>
  <c r="B717" i="49" s="1"/>
  <c r="D716" i="48"/>
  <c r="C716" i="48"/>
  <c r="H716" i="48"/>
  <c r="I716" i="48"/>
  <c r="B717" i="48" s="1"/>
  <c r="G716" i="48"/>
  <c r="H716" i="47"/>
  <c r="I716" i="47"/>
  <c r="B717" i="47" s="1"/>
  <c r="G716" i="47"/>
  <c r="D716" i="47"/>
  <c r="C716" i="47"/>
  <c r="C665" i="35"/>
  <c r="D665" i="35"/>
  <c r="G665" i="35"/>
  <c r="H665" i="35"/>
  <c r="I665" i="35"/>
  <c r="B666" i="35" s="1"/>
  <c r="H718" i="55" l="1"/>
  <c r="G718" i="55"/>
  <c r="D718" i="55"/>
  <c r="C718" i="55"/>
  <c r="I718" i="55"/>
  <c r="B719" i="55" s="1"/>
  <c r="I718" i="54"/>
  <c r="B719" i="54" s="1"/>
  <c r="H718" i="54"/>
  <c r="G718" i="54"/>
  <c r="D718" i="54"/>
  <c r="C718" i="54"/>
  <c r="G718" i="53"/>
  <c r="D718" i="53"/>
  <c r="H718" i="53"/>
  <c r="I718" i="53"/>
  <c r="B719" i="53" s="1"/>
  <c r="C718" i="53"/>
  <c r="I718" i="52"/>
  <c r="B719" i="52" s="1"/>
  <c r="H718" i="52"/>
  <c r="G718" i="52"/>
  <c r="D718" i="52"/>
  <c r="C718" i="52"/>
  <c r="I718" i="51"/>
  <c r="B719" i="51" s="1"/>
  <c r="H718" i="51"/>
  <c r="G718" i="51"/>
  <c r="D718" i="51"/>
  <c r="C718" i="51"/>
  <c r="H717" i="50"/>
  <c r="G717" i="50"/>
  <c r="D717" i="50"/>
  <c r="C717" i="50"/>
  <c r="I717" i="50"/>
  <c r="B718" i="50" s="1"/>
  <c r="I717" i="49"/>
  <c r="B718" i="49" s="1"/>
  <c r="G717" i="49"/>
  <c r="D717" i="49"/>
  <c r="C717" i="49"/>
  <c r="H717" i="49"/>
  <c r="H717" i="48"/>
  <c r="G717" i="48"/>
  <c r="D717" i="48"/>
  <c r="C717" i="48"/>
  <c r="I717" i="48"/>
  <c r="B718" i="48" s="1"/>
  <c r="D717" i="47"/>
  <c r="C717" i="47"/>
  <c r="I717" i="47"/>
  <c r="B718" i="47" s="1"/>
  <c r="H717" i="47"/>
  <c r="G717" i="47"/>
  <c r="D666" i="35"/>
  <c r="C666" i="35"/>
  <c r="G666" i="35"/>
  <c r="H666" i="35"/>
  <c r="I666" i="35"/>
  <c r="B667" i="35" s="1"/>
  <c r="I719" i="55" l="1"/>
  <c r="B720" i="55" s="1"/>
  <c r="H719" i="55"/>
  <c r="G719" i="55"/>
  <c r="D719" i="55"/>
  <c r="C719" i="55"/>
  <c r="I719" i="54"/>
  <c r="B720" i="54" s="1"/>
  <c r="H719" i="54"/>
  <c r="G719" i="54"/>
  <c r="D719" i="54"/>
  <c r="C719" i="54"/>
  <c r="I719" i="53"/>
  <c r="B720" i="53" s="1"/>
  <c r="H719" i="53"/>
  <c r="D719" i="53"/>
  <c r="C719" i="53"/>
  <c r="G719" i="53"/>
  <c r="I719" i="52"/>
  <c r="B720" i="52" s="1"/>
  <c r="H719" i="52"/>
  <c r="D719" i="52"/>
  <c r="G719" i="52"/>
  <c r="C719" i="52"/>
  <c r="D719" i="51"/>
  <c r="C719" i="51"/>
  <c r="I719" i="51"/>
  <c r="B720" i="51" s="1"/>
  <c r="H719" i="51"/>
  <c r="G719" i="51"/>
  <c r="I718" i="50"/>
  <c r="B719" i="50" s="1"/>
  <c r="H718" i="50"/>
  <c r="G718" i="50"/>
  <c r="D718" i="50"/>
  <c r="C718" i="50"/>
  <c r="I718" i="49"/>
  <c r="B719" i="49" s="1"/>
  <c r="H718" i="49"/>
  <c r="G718" i="49"/>
  <c r="D718" i="49"/>
  <c r="C718" i="49"/>
  <c r="I718" i="48"/>
  <c r="B719" i="48" s="1"/>
  <c r="H718" i="48"/>
  <c r="G718" i="48"/>
  <c r="D718" i="48"/>
  <c r="C718" i="48"/>
  <c r="H718" i="47"/>
  <c r="G718" i="47"/>
  <c r="D718" i="47"/>
  <c r="C718" i="47"/>
  <c r="I718" i="47"/>
  <c r="B719" i="47" s="1"/>
  <c r="G667" i="35"/>
  <c r="D667" i="35"/>
  <c r="I667" i="35"/>
  <c r="B668" i="35" s="1"/>
  <c r="H667" i="35"/>
  <c r="C667" i="35"/>
  <c r="I720" i="55" l="1"/>
  <c r="B721" i="55" s="1"/>
  <c r="H720" i="55"/>
  <c r="G720" i="55"/>
  <c r="D720" i="55"/>
  <c r="C720" i="55"/>
  <c r="D720" i="54"/>
  <c r="C720" i="54"/>
  <c r="I720" i="54"/>
  <c r="B721" i="54" s="1"/>
  <c r="H720" i="54"/>
  <c r="G720" i="54"/>
  <c r="H720" i="53"/>
  <c r="G720" i="53"/>
  <c r="I720" i="53"/>
  <c r="B721" i="53" s="1"/>
  <c r="D720" i="53"/>
  <c r="C720" i="53"/>
  <c r="D720" i="52"/>
  <c r="C720" i="52"/>
  <c r="H720" i="52"/>
  <c r="I720" i="52"/>
  <c r="B721" i="52" s="1"/>
  <c r="G720" i="52"/>
  <c r="H720" i="51"/>
  <c r="G720" i="51"/>
  <c r="D720" i="51"/>
  <c r="C720" i="51"/>
  <c r="I720" i="51"/>
  <c r="B721" i="51" s="1"/>
  <c r="I719" i="50"/>
  <c r="B720" i="50" s="1"/>
  <c r="H719" i="50"/>
  <c r="G719" i="50"/>
  <c r="D719" i="50"/>
  <c r="C719" i="50"/>
  <c r="C719" i="49"/>
  <c r="I719" i="49"/>
  <c r="B720" i="49" s="1"/>
  <c r="H719" i="49"/>
  <c r="G719" i="49"/>
  <c r="D719" i="49"/>
  <c r="I719" i="48"/>
  <c r="B720" i="48" s="1"/>
  <c r="H719" i="48"/>
  <c r="D719" i="48"/>
  <c r="G719" i="48"/>
  <c r="C719" i="48"/>
  <c r="I719" i="47"/>
  <c r="B720" i="47" s="1"/>
  <c r="H719" i="47"/>
  <c r="D719" i="47"/>
  <c r="G719" i="47"/>
  <c r="C719" i="47"/>
  <c r="I668" i="35"/>
  <c r="B669" i="35" s="1"/>
  <c r="H668" i="35"/>
  <c r="D668" i="35"/>
  <c r="C668" i="35"/>
  <c r="G668" i="35"/>
  <c r="D721" i="55" l="1"/>
  <c r="C721" i="55"/>
  <c r="I721" i="55"/>
  <c r="B722" i="55" s="1"/>
  <c r="H721" i="55"/>
  <c r="G721" i="55"/>
  <c r="H721" i="54"/>
  <c r="G721" i="54"/>
  <c r="D721" i="54"/>
  <c r="C721" i="54"/>
  <c r="I721" i="54"/>
  <c r="B722" i="54" s="1"/>
  <c r="C721" i="53"/>
  <c r="I721" i="53"/>
  <c r="B722" i="53" s="1"/>
  <c r="D721" i="53"/>
  <c r="H721" i="53"/>
  <c r="G721" i="53"/>
  <c r="H721" i="52"/>
  <c r="G721" i="52"/>
  <c r="D721" i="52"/>
  <c r="C721" i="52"/>
  <c r="I721" i="52"/>
  <c r="B722" i="52" s="1"/>
  <c r="I721" i="51"/>
  <c r="B722" i="51" s="1"/>
  <c r="H721" i="51"/>
  <c r="G721" i="51"/>
  <c r="D721" i="51"/>
  <c r="C721" i="51"/>
  <c r="D720" i="50"/>
  <c r="C720" i="50"/>
  <c r="I720" i="50"/>
  <c r="B721" i="50" s="1"/>
  <c r="H720" i="50"/>
  <c r="G720" i="50"/>
  <c r="G720" i="49"/>
  <c r="C720" i="49"/>
  <c r="D720" i="49"/>
  <c r="I720" i="49"/>
  <c r="B721" i="49" s="1"/>
  <c r="H720" i="49"/>
  <c r="D720" i="48"/>
  <c r="C720" i="48"/>
  <c r="H720" i="48"/>
  <c r="I720" i="48"/>
  <c r="B721" i="48" s="1"/>
  <c r="G720" i="48"/>
  <c r="H720" i="47"/>
  <c r="I720" i="47"/>
  <c r="B721" i="47" s="1"/>
  <c r="G720" i="47"/>
  <c r="D720" i="47"/>
  <c r="C720" i="47"/>
  <c r="C669" i="35"/>
  <c r="D669" i="35"/>
  <c r="H669" i="35"/>
  <c r="G669" i="35"/>
  <c r="I669" i="35"/>
  <c r="B670" i="35" s="1"/>
  <c r="H722" i="55" l="1"/>
  <c r="G722" i="55"/>
  <c r="D722" i="55"/>
  <c r="C722" i="55"/>
  <c r="I722" i="55"/>
  <c r="B723" i="55" s="1"/>
  <c r="I722" i="54"/>
  <c r="B723" i="54" s="1"/>
  <c r="H722" i="54"/>
  <c r="G722" i="54"/>
  <c r="D722" i="54"/>
  <c r="C722" i="54"/>
  <c r="G722" i="53"/>
  <c r="D722" i="53"/>
  <c r="H722" i="53"/>
  <c r="C722" i="53"/>
  <c r="I722" i="53"/>
  <c r="B723" i="53" s="1"/>
  <c r="I722" i="52"/>
  <c r="B723" i="52" s="1"/>
  <c r="H722" i="52"/>
  <c r="G722" i="52"/>
  <c r="D722" i="52"/>
  <c r="C722" i="52"/>
  <c r="I722" i="51"/>
  <c r="B723" i="51" s="1"/>
  <c r="H722" i="51"/>
  <c r="G722" i="51"/>
  <c r="D722" i="51"/>
  <c r="C722" i="51"/>
  <c r="H721" i="50"/>
  <c r="G721" i="50"/>
  <c r="D721" i="50"/>
  <c r="C721" i="50"/>
  <c r="I721" i="50"/>
  <c r="B722" i="50" s="1"/>
  <c r="I721" i="49"/>
  <c r="B722" i="49" s="1"/>
  <c r="G721" i="49"/>
  <c r="D721" i="49"/>
  <c r="C721" i="49"/>
  <c r="H721" i="49"/>
  <c r="H721" i="48"/>
  <c r="G721" i="48"/>
  <c r="D721" i="48"/>
  <c r="C721" i="48"/>
  <c r="I721" i="48"/>
  <c r="B722" i="48" s="1"/>
  <c r="D721" i="47"/>
  <c r="C721" i="47"/>
  <c r="I721" i="47"/>
  <c r="B722" i="47" s="1"/>
  <c r="H721" i="47"/>
  <c r="G721" i="47"/>
  <c r="D670" i="35"/>
  <c r="C670" i="35"/>
  <c r="G670" i="35"/>
  <c r="I670" i="35"/>
  <c r="B671" i="35" s="1"/>
  <c r="H670" i="35"/>
  <c r="I723" i="55" l="1"/>
  <c r="B724" i="55" s="1"/>
  <c r="H723" i="55"/>
  <c r="G723" i="55"/>
  <c r="D723" i="55"/>
  <c r="C723" i="55"/>
  <c r="I723" i="54"/>
  <c r="B724" i="54" s="1"/>
  <c r="H723" i="54"/>
  <c r="G723" i="54"/>
  <c r="D723" i="54"/>
  <c r="C723" i="54"/>
  <c r="I723" i="53"/>
  <c r="B724" i="53" s="1"/>
  <c r="H723" i="53"/>
  <c r="D723" i="53"/>
  <c r="C723" i="53"/>
  <c r="G723" i="53"/>
  <c r="I723" i="52"/>
  <c r="B724" i="52" s="1"/>
  <c r="H723" i="52"/>
  <c r="D723" i="52"/>
  <c r="G723" i="52"/>
  <c r="C723" i="52"/>
  <c r="D723" i="51"/>
  <c r="C723" i="51"/>
  <c r="I723" i="51"/>
  <c r="B724" i="51" s="1"/>
  <c r="H723" i="51"/>
  <c r="G723" i="51"/>
  <c r="I722" i="50"/>
  <c r="B723" i="50" s="1"/>
  <c r="H722" i="50"/>
  <c r="G722" i="50"/>
  <c r="D722" i="50"/>
  <c r="C722" i="50"/>
  <c r="I722" i="49"/>
  <c r="B723" i="49" s="1"/>
  <c r="H722" i="49"/>
  <c r="G722" i="49"/>
  <c r="D722" i="49"/>
  <c r="C722" i="49"/>
  <c r="I722" i="48"/>
  <c r="B723" i="48" s="1"/>
  <c r="H722" i="48"/>
  <c r="G722" i="48"/>
  <c r="D722" i="48"/>
  <c r="C722" i="48"/>
  <c r="H722" i="47"/>
  <c r="G722" i="47"/>
  <c r="D722" i="47"/>
  <c r="C722" i="47"/>
  <c r="I722" i="47"/>
  <c r="B723" i="47" s="1"/>
  <c r="G671" i="35"/>
  <c r="D671" i="35"/>
  <c r="I671" i="35"/>
  <c r="B672" i="35" s="1"/>
  <c r="H671" i="35"/>
  <c r="C671" i="35"/>
  <c r="I724" i="55" l="1"/>
  <c r="B725" i="55" s="1"/>
  <c r="H724" i="55"/>
  <c r="G724" i="55"/>
  <c r="D724" i="55"/>
  <c r="C724" i="55"/>
  <c r="D724" i="54"/>
  <c r="C724" i="54"/>
  <c r="I724" i="54"/>
  <c r="B725" i="54" s="1"/>
  <c r="H724" i="54"/>
  <c r="G724" i="54"/>
  <c r="H724" i="53"/>
  <c r="G724" i="53"/>
  <c r="I724" i="53"/>
  <c r="B725" i="53" s="1"/>
  <c r="D724" i="53"/>
  <c r="C724" i="53"/>
  <c r="D724" i="52"/>
  <c r="C724" i="52"/>
  <c r="H724" i="52"/>
  <c r="I724" i="52"/>
  <c r="B725" i="52" s="1"/>
  <c r="G724" i="52"/>
  <c r="H724" i="51"/>
  <c r="G724" i="51"/>
  <c r="D724" i="51"/>
  <c r="C724" i="51"/>
  <c r="I724" i="51"/>
  <c r="B725" i="51" s="1"/>
  <c r="I723" i="50"/>
  <c r="B724" i="50" s="1"/>
  <c r="H723" i="50"/>
  <c r="G723" i="50"/>
  <c r="D723" i="50"/>
  <c r="C723" i="50"/>
  <c r="C723" i="49"/>
  <c r="I723" i="49"/>
  <c r="B724" i="49" s="1"/>
  <c r="H723" i="49"/>
  <c r="G723" i="49"/>
  <c r="D723" i="49"/>
  <c r="I723" i="48"/>
  <c r="B724" i="48" s="1"/>
  <c r="H723" i="48"/>
  <c r="D723" i="48"/>
  <c r="G723" i="48"/>
  <c r="C723" i="48"/>
  <c r="I723" i="47"/>
  <c r="B724" i="47" s="1"/>
  <c r="H723" i="47"/>
  <c r="D723" i="47"/>
  <c r="G723" i="47"/>
  <c r="C723" i="47"/>
  <c r="I672" i="35"/>
  <c r="B673" i="35" s="1"/>
  <c r="H672" i="35"/>
  <c r="D672" i="35"/>
  <c r="C672" i="35"/>
  <c r="G672" i="35"/>
  <c r="D725" i="55" l="1"/>
  <c r="C725" i="55"/>
  <c r="I725" i="55"/>
  <c r="B726" i="55" s="1"/>
  <c r="H725" i="55"/>
  <c r="G725" i="55"/>
  <c r="H725" i="54"/>
  <c r="G725" i="54"/>
  <c r="D725" i="54"/>
  <c r="C725" i="54"/>
  <c r="I725" i="54"/>
  <c r="B726" i="54" s="1"/>
  <c r="C725" i="53"/>
  <c r="I725" i="53"/>
  <c r="B726" i="53" s="1"/>
  <c r="D725" i="53"/>
  <c r="H725" i="53"/>
  <c r="G725" i="53"/>
  <c r="H725" i="52"/>
  <c r="G725" i="52"/>
  <c r="D725" i="52"/>
  <c r="C725" i="52"/>
  <c r="I725" i="52"/>
  <c r="B726" i="52" s="1"/>
  <c r="I725" i="51"/>
  <c r="B726" i="51" s="1"/>
  <c r="H725" i="51"/>
  <c r="G725" i="51"/>
  <c r="D725" i="51"/>
  <c r="C725" i="51"/>
  <c r="D724" i="50"/>
  <c r="C724" i="50"/>
  <c r="I724" i="50"/>
  <c r="B725" i="50" s="1"/>
  <c r="H724" i="50"/>
  <c r="G724" i="50"/>
  <c r="G724" i="49"/>
  <c r="C724" i="49"/>
  <c r="H724" i="49"/>
  <c r="I724" i="49"/>
  <c r="B725" i="49" s="1"/>
  <c r="D724" i="49"/>
  <c r="D724" i="48"/>
  <c r="C724" i="48"/>
  <c r="H724" i="48"/>
  <c r="I724" i="48"/>
  <c r="B725" i="48" s="1"/>
  <c r="G724" i="48"/>
  <c r="H724" i="47"/>
  <c r="I724" i="47"/>
  <c r="B725" i="47" s="1"/>
  <c r="G724" i="47"/>
  <c r="D724" i="47"/>
  <c r="C724" i="47"/>
  <c r="C673" i="35"/>
  <c r="D673" i="35"/>
  <c r="H673" i="35"/>
  <c r="G673" i="35"/>
  <c r="I673" i="35"/>
  <c r="B674" i="35" s="1"/>
  <c r="H726" i="55" l="1"/>
  <c r="G726" i="55"/>
  <c r="D726" i="55"/>
  <c r="C726" i="55"/>
  <c r="I726" i="55"/>
  <c r="B727" i="55" s="1"/>
  <c r="I726" i="54"/>
  <c r="B727" i="54" s="1"/>
  <c r="H726" i="54"/>
  <c r="G726" i="54"/>
  <c r="D726" i="54"/>
  <c r="C726" i="54"/>
  <c r="G726" i="53"/>
  <c r="D726" i="53"/>
  <c r="H726" i="53"/>
  <c r="I726" i="53"/>
  <c r="B727" i="53" s="1"/>
  <c r="C726" i="53"/>
  <c r="I726" i="52"/>
  <c r="B727" i="52" s="1"/>
  <c r="H726" i="52"/>
  <c r="G726" i="52"/>
  <c r="D726" i="52"/>
  <c r="C726" i="52"/>
  <c r="I726" i="51"/>
  <c r="B727" i="51" s="1"/>
  <c r="H726" i="51"/>
  <c r="G726" i="51"/>
  <c r="D726" i="51"/>
  <c r="C726" i="51"/>
  <c r="H725" i="50"/>
  <c r="G725" i="50"/>
  <c r="D725" i="50"/>
  <c r="C725" i="50"/>
  <c r="I725" i="50"/>
  <c r="B726" i="50" s="1"/>
  <c r="I725" i="49"/>
  <c r="B726" i="49" s="1"/>
  <c r="G725" i="49"/>
  <c r="D725" i="49"/>
  <c r="C725" i="49"/>
  <c r="H725" i="49"/>
  <c r="H725" i="48"/>
  <c r="G725" i="48"/>
  <c r="D725" i="48"/>
  <c r="C725" i="48"/>
  <c r="I725" i="48"/>
  <c r="B726" i="48" s="1"/>
  <c r="D725" i="47"/>
  <c r="C725" i="47"/>
  <c r="I725" i="47"/>
  <c r="B726" i="47" s="1"/>
  <c r="H725" i="47"/>
  <c r="G725" i="47"/>
  <c r="D674" i="35"/>
  <c r="C674" i="35"/>
  <c r="H674" i="35"/>
  <c r="G674" i="35"/>
  <c r="I674" i="35"/>
  <c r="B675" i="35" s="1"/>
  <c r="I727" i="55" l="1"/>
  <c r="B728" i="55" s="1"/>
  <c r="H727" i="55"/>
  <c r="G727" i="55"/>
  <c r="D727" i="55"/>
  <c r="C727" i="55"/>
  <c r="I727" i="54"/>
  <c r="B728" i="54" s="1"/>
  <c r="H727" i="54"/>
  <c r="G727" i="54"/>
  <c r="D727" i="54"/>
  <c r="C727" i="54"/>
  <c r="I727" i="53"/>
  <c r="B728" i="53" s="1"/>
  <c r="H727" i="53"/>
  <c r="D727" i="53"/>
  <c r="C727" i="53"/>
  <c r="G727" i="53"/>
  <c r="I727" i="52"/>
  <c r="B728" i="52" s="1"/>
  <c r="H727" i="52"/>
  <c r="D727" i="52"/>
  <c r="G727" i="52"/>
  <c r="C727" i="52"/>
  <c r="I727" i="51"/>
  <c r="B728" i="51" s="1"/>
  <c r="D727" i="51"/>
  <c r="C727" i="51"/>
  <c r="H727" i="51"/>
  <c r="G727" i="51"/>
  <c r="I726" i="50"/>
  <c r="B727" i="50" s="1"/>
  <c r="H726" i="50"/>
  <c r="G726" i="50"/>
  <c r="D726" i="50"/>
  <c r="C726" i="50"/>
  <c r="I726" i="49"/>
  <c r="B727" i="49" s="1"/>
  <c r="H726" i="49"/>
  <c r="G726" i="49"/>
  <c r="D726" i="49"/>
  <c r="C726" i="49"/>
  <c r="I726" i="48"/>
  <c r="B727" i="48" s="1"/>
  <c r="H726" i="48"/>
  <c r="G726" i="48"/>
  <c r="D726" i="48"/>
  <c r="C726" i="48"/>
  <c r="H726" i="47"/>
  <c r="G726" i="47"/>
  <c r="D726" i="47"/>
  <c r="C726" i="47"/>
  <c r="I726" i="47"/>
  <c r="B727" i="47" s="1"/>
  <c r="G675" i="35"/>
  <c r="D675" i="35"/>
  <c r="I675" i="35"/>
  <c r="B676" i="35" s="1"/>
  <c r="C675" i="35"/>
  <c r="H675" i="35"/>
  <c r="H728" i="55" l="1"/>
  <c r="D728" i="55"/>
  <c r="C728" i="55"/>
  <c r="I728" i="55"/>
  <c r="B729" i="55" s="1"/>
  <c r="G728" i="55"/>
  <c r="I728" i="54"/>
  <c r="B729" i="54" s="1"/>
  <c r="H728" i="54"/>
  <c r="G728" i="54"/>
  <c r="D728" i="54"/>
  <c r="C728" i="54"/>
  <c r="I728" i="53"/>
  <c r="B729" i="53" s="1"/>
  <c r="H728" i="53"/>
  <c r="G728" i="53"/>
  <c r="D728" i="53"/>
  <c r="C728" i="53"/>
  <c r="I728" i="52"/>
  <c r="B729" i="52" s="1"/>
  <c r="H728" i="52"/>
  <c r="G728" i="52"/>
  <c r="D728" i="52"/>
  <c r="C728" i="52"/>
  <c r="H728" i="51"/>
  <c r="G728" i="51"/>
  <c r="D728" i="51"/>
  <c r="I728" i="51"/>
  <c r="B729" i="51" s="1"/>
  <c r="C728" i="51"/>
  <c r="I727" i="50"/>
  <c r="B728" i="50" s="1"/>
  <c r="H727" i="50"/>
  <c r="G727" i="50"/>
  <c r="D727" i="50"/>
  <c r="C727" i="50"/>
  <c r="I727" i="49"/>
  <c r="B728" i="49" s="1"/>
  <c r="C727" i="49"/>
  <c r="H727" i="49"/>
  <c r="D727" i="49"/>
  <c r="G727" i="49"/>
  <c r="I727" i="48"/>
  <c r="B728" i="48" s="1"/>
  <c r="H727" i="48"/>
  <c r="D727" i="48"/>
  <c r="G727" i="48"/>
  <c r="C727" i="48"/>
  <c r="I727" i="47"/>
  <c r="B728" i="47" s="1"/>
  <c r="H727" i="47"/>
  <c r="D727" i="47"/>
  <c r="G727" i="47"/>
  <c r="C727" i="47"/>
  <c r="I676" i="35"/>
  <c r="B677" i="35" s="1"/>
  <c r="H676" i="35"/>
  <c r="D676" i="35"/>
  <c r="C676" i="35"/>
  <c r="G676" i="35"/>
  <c r="H729" i="55" l="1"/>
  <c r="G729" i="55"/>
  <c r="C729" i="55"/>
  <c r="I729" i="55"/>
  <c r="B730" i="55" s="1"/>
  <c r="D729" i="55"/>
  <c r="I729" i="54"/>
  <c r="B730" i="54" s="1"/>
  <c r="H729" i="54"/>
  <c r="G729" i="54"/>
  <c r="D729" i="54"/>
  <c r="C729" i="54"/>
  <c r="I729" i="53"/>
  <c r="B730" i="53" s="1"/>
  <c r="H729" i="53"/>
  <c r="G729" i="53"/>
  <c r="C729" i="53"/>
  <c r="D729" i="53"/>
  <c r="I729" i="52"/>
  <c r="B730" i="52" s="1"/>
  <c r="H729" i="52"/>
  <c r="G729" i="52"/>
  <c r="D729" i="52"/>
  <c r="C729" i="52"/>
  <c r="I729" i="51"/>
  <c r="B730" i="51" s="1"/>
  <c r="H729" i="51"/>
  <c r="D729" i="51"/>
  <c r="C729" i="51"/>
  <c r="G729" i="51"/>
  <c r="I728" i="50"/>
  <c r="B729" i="50" s="1"/>
  <c r="H728" i="50"/>
  <c r="G728" i="50"/>
  <c r="D728" i="50"/>
  <c r="C728" i="50"/>
  <c r="I728" i="49"/>
  <c r="B729" i="49" s="1"/>
  <c r="G728" i="49"/>
  <c r="D728" i="49"/>
  <c r="C728" i="49"/>
  <c r="H728" i="49"/>
  <c r="I728" i="48"/>
  <c r="B729" i="48" s="1"/>
  <c r="H728" i="48"/>
  <c r="G728" i="48"/>
  <c r="D728" i="48"/>
  <c r="C728" i="48"/>
  <c r="H728" i="47"/>
  <c r="G728" i="47"/>
  <c r="D728" i="47"/>
  <c r="C728" i="47"/>
  <c r="I728" i="47"/>
  <c r="B729" i="47" s="1"/>
  <c r="C677" i="35"/>
  <c r="D677" i="35"/>
  <c r="I677" i="35"/>
  <c r="B678" i="35" s="1"/>
  <c r="H677" i="35"/>
  <c r="G677" i="35"/>
  <c r="I730" i="55" l="1"/>
  <c r="B731" i="55" s="1"/>
  <c r="G730" i="55"/>
  <c r="H730" i="55"/>
  <c r="D730" i="55"/>
  <c r="C730" i="55"/>
  <c r="C730" i="54"/>
  <c r="I730" i="54"/>
  <c r="B731" i="54" s="1"/>
  <c r="H730" i="54"/>
  <c r="G730" i="54"/>
  <c r="D730" i="54"/>
  <c r="C730" i="53"/>
  <c r="I730" i="53"/>
  <c r="B731" i="53" s="1"/>
  <c r="G730" i="53"/>
  <c r="H730" i="53"/>
  <c r="D730" i="53"/>
  <c r="C730" i="52"/>
  <c r="I730" i="52"/>
  <c r="B731" i="52" s="1"/>
  <c r="H730" i="52"/>
  <c r="G730" i="52"/>
  <c r="D730" i="52"/>
  <c r="H730" i="51"/>
  <c r="G730" i="51"/>
  <c r="D730" i="51"/>
  <c r="C730" i="51"/>
  <c r="I730" i="51"/>
  <c r="B731" i="51" s="1"/>
  <c r="I729" i="50"/>
  <c r="B730" i="50" s="1"/>
  <c r="H729" i="50"/>
  <c r="G729" i="50"/>
  <c r="D729" i="50"/>
  <c r="C729" i="50"/>
  <c r="I729" i="49"/>
  <c r="B730" i="49" s="1"/>
  <c r="H729" i="49"/>
  <c r="G729" i="49"/>
  <c r="C729" i="49"/>
  <c r="D729" i="49"/>
  <c r="I729" i="48"/>
  <c r="B730" i="48" s="1"/>
  <c r="H729" i="48"/>
  <c r="G729" i="48"/>
  <c r="C729" i="48"/>
  <c r="D729" i="48"/>
  <c r="I729" i="47"/>
  <c r="B730" i="47" s="1"/>
  <c r="H729" i="47"/>
  <c r="D729" i="47"/>
  <c r="G729" i="47"/>
  <c r="C729" i="47"/>
  <c r="D678" i="35"/>
  <c r="G678" i="35"/>
  <c r="C678" i="35"/>
  <c r="I678" i="35"/>
  <c r="B679" i="35" s="1"/>
  <c r="H678" i="35"/>
  <c r="D731" i="55" l="1"/>
  <c r="I731" i="55"/>
  <c r="B732" i="55" s="1"/>
  <c r="H731" i="55"/>
  <c r="G731" i="55"/>
  <c r="C731" i="55"/>
  <c r="G731" i="54"/>
  <c r="D731" i="54"/>
  <c r="C731" i="54"/>
  <c r="I731" i="54"/>
  <c r="B732" i="54" s="1"/>
  <c r="H731" i="54"/>
  <c r="G731" i="53"/>
  <c r="D731" i="53"/>
  <c r="C731" i="53"/>
  <c r="I731" i="53"/>
  <c r="B732" i="53" s="1"/>
  <c r="H731" i="53"/>
  <c r="G731" i="52"/>
  <c r="D731" i="52"/>
  <c r="C731" i="52"/>
  <c r="I731" i="52"/>
  <c r="B732" i="52" s="1"/>
  <c r="H731" i="52"/>
  <c r="D731" i="51"/>
  <c r="C731" i="51"/>
  <c r="I731" i="51"/>
  <c r="B732" i="51" s="1"/>
  <c r="H731" i="51"/>
  <c r="G731" i="51"/>
  <c r="C730" i="50"/>
  <c r="I730" i="50"/>
  <c r="B731" i="50" s="1"/>
  <c r="H730" i="50"/>
  <c r="G730" i="50"/>
  <c r="D730" i="50"/>
  <c r="C730" i="49"/>
  <c r="I730" i="49"/>
  <c r="B731" i="49" s="1"/>
  <c r="G730" i="49"/>
  <c r="H730" i="49"/>
  <c r="D730" i="49"/>
  <c r="C730" i="48"/>
  <c r="I730" i="48"/>
  <c r="B731" i="48" s="1"/>
  <c r="G730" i="48"/>
  <c r="D730" i="48"/>
  <c r="H730" i="48"/>
  <c r="H730" i="47"/>
  <c r="I730" i="47"/>
  <c r="B731" i="47" s="1"/>
  <c r="G730" i="47"/>
  <c r="D730" i="47"/>
  <c r="C730" i="47"/>
  <c r="G679" i="35"/>
  <c r="D679" i="35"/>
  <c r="H679" i="35"/>
  <c r="C679" i="35"/>
  <c r="I679" i="35"/>
  <c r="B680" i="35" s="1"/>
  <c r="H732" i="55" l="1"/>
  <c r="D732" i="55"/>
  <c r="C732" i="55"/>
  <c r="I732" i="55"/>
  <c r="B733" i="55" s="1"/>
  <c r="G732" i="55"/>
  <c r="I732" i="54"/>
  <c r="B733" i="54" s="1"/>
  <c r="H732" i="54"/>
  <c r="G732" i="54"/>
  <c r="D732" i="54"/>
  <c r="C732" i="54"/>
  <c r="I732" i="53"/>
  <c r="B733" i="53" s="1"/>
  <c r="H732" i="53"/>
  <c r="G732" i="53"/>
  <c r="D732" i="53"/>
  <c r="C732" i="53"/>
  <c r="I732" i="52"/>
  <c r="B733" i="52" s="1"/>
  <c r="H732" i="52"/>
  <c r="G732" i="52"/>
  <c r="D732" i="52"/>
  <c r="C732" i="52"/>
  <c r="H732" i="51"/>
  <c r="G732" i="51"/>
  <c r="D732" i="51"/>
  <c r="I732" i="51"/>
  <c r="B733" i="51" s="1"/>
  <c r="C732" i="51"/>
  <c r="G731" i="50"/>
  <c r="D731" i="50"/>
  <c r="C731" i="50"/>
  <c r="I731" i="50"/>
  <c r="B732" i="50" s="1"/>
  <c r="H731" i="50"/>
  <c r="G731" i="49"/>
  <c r="C731" i="49"/>
  <c r="I731" i="49"/>
  <c r="B732" i="49" s="1"/>
  <c r="H731" i="49"/>
  <c r="D731" i="49"/>
  <c r="G731" i="48"/>
  <c r="D731" i="48"/>
  <c r="C731" i="48"/>
  <c r="I731" i="48"/>
  <c r="B732" i="48" s="1"/>
  <c r="H731" i="48"/>
  <c r="D731" i="47"/>
  <c r="C731" i="47"/>
  <c r="I731" i="47"/>
  <c r="B732" i="47" s="1"/>
  <c r="H731" i="47"/>
  <c r="G731" i="47"/>
  <c r="I680" i="35"/>
  <c r="B681" i="35" s="1"/>
  <c r="H680" i="35"/>
  <c r="C680" i="35"/>
  <c r="D680" i="35"/>
  <c r="G680" i="35"/>
  <c r="H733" i="55" l="1"/>
  <c r="G733" i="55"/>
  <c r="C733" i="55"/>
  <c r="D733" i="55"/>
  <c r="I733" i="55"/>
  <c r="B734" i="55" s="1"/>
  <c r="I733" i="54"/>
  <c r="B734" i="54" s="1"/>
  <c r="H733" i="54"/>
  <c r="G733" i="54"/>
  <c r="D733" i="54"/>
  <c r="C733" i="54"/>
  <c r="I733" i="53"/>
  <c r="B734" i="53" s="1"/>
  <c r="H733" i="53"/>
  <c r="G733" i="53"/>
  <c r="C733" i="53"/>
  <c r="D733" i="53"/>
  <c r="I733" i="52"/>
  <c r="B734" i="52" s="1"/>
  <c r="H733" i="52"/>
  <c r="G733" i="52"/>
  <c r="D733" i="52"/>
  <c r="C733" i="52"/>
  <c r="I733" i="51"/>
  <c r="B734" i="51" s="1"/>
  <c r="H733" i="51"/>
  <c r="D733" i="51"/>
  <c r="C733" i="51"/>
  <c r="G733" i="51"/>
  <c r="I732" i="50"/>
  <c r="B733" i="50" s="1"/>
  <c r="H732" i="50"/>
  <c r="G732" i="50"/>
  <c r="D732" i="50"/>
  <c r="C732" i="50"/>
  <c r="I732" i="49"/>
  <c r="B733" i="49" s="1"/>
  <c r="G732" i="49"/>
  <c r="D732" i="49"/>
  <c r="C732" i="49"/>
  <c r="H732" i="49"/>
  <c r="I732" i="48"/>
  <c r="B733" i="48" s="1"/>
  <c r="H732" i="48"/>
  <c r="G732" i="48"/>
  <c r="D732" i="48"/>
  <c r="C732" i="48"/>
  <c r="H732" i="47"/>
  <c r="G732" i="47"/>
  <c r="D732" i="47"/>
  <c r="C732" i="47"/>
  <c r="I732" i="47"/>
  <c r="B733" i="47" s="1"/>
  <c r="C681" i="35"/>
  <c r="D681" i="35"/>
  <c r="I681" i="35"/>
  <c r="B682" i="35" s="1"/>
  <c r="G681" i="35"/>
  <c r="H681" i="35"/>
  <c r="I734" i="55" l="1"/>
  <c r="B735" i="55" s="1"/>
  <c r="G734" i="55"/>
  <c r="H734" i="55"/>
  <c r="D734" i="55"/>
  <c r="C734" i="55"/>
  <c r="C734" i="54"/>
  <c r="I734" i="54"/>
  <c r="B735" i="54" s="1"/>
  <c r="H734" i="54"/>
  <c r="G734" i="54"/>
  <c r="D734" i="54"/>
  <c r="C734" i="53"/>
  <c r="I734" i="53"/>
  <c r="B735" i="53" s="1"/>
  <c r="G734" i="53"/>
  <c r="D734" i="53"/>
  <c r="H734" i="53"/>
  <c r="C734" i="52"/>
  <c r="I734" i="52"/>
  <c r="B735" i="52" s="1"/>
  <c r="H734" i="52"/>
  <c r="G734" i="52"/>
  <c r="D734" i="52"/>
  <c r="H734" i="51"/>
  <c r="G734" i="51"/>
  <c r="C734" i="51"/>
  <c r="I734" i="51"/>
  <c r="B735" i="51" s="1"/>
  <c r="D734" i="51"/>
  <c r="I733" i="50"/>
  <c r="B734" i="50" s="1"/>
  <c r="H733" i="50"/>
  <c r="G733" i="50"/>
  <c r="D733" i="50"/>
  <c r="C733" i="50"/>
  <c r="I733" i="49"/>
  <c r="B734" i="49" s="1"/>
  <c r="H733" i="49"/>
  <c r="G733" i="49"/>
  <c r="C733" i="49"/>
  <c r="D733" i="49"/>
  <c r="I733" i="48"/>
  <c r="B734" i="48" s="1"/>
  <c r="H733" i="48"/>
  <c r="G733" i="48"/>
  <c r="C733" i="48"/>
  <c r="D733" i="48"/>
  <c r="I733" i="47"/>
  <c r="B734" i="47" s="1"/>
  <c r="H733" i="47"/>
  <c r="D733" i="47"/>
  <c r="G733" i="47"/>
  <c r="C733" i="47"/>
  <c r="D682" i="35"/>
  <c r="I682" i="35"/>
  <c r="B683" i="35" s="1"/>
  <c r="H682" i="35"/>
  <c r="C682" i="35"/>
  <c r="G682" i="35"/>
  <c r="D735" i="55" l="1"/>
  <c r="I735" i="55"/>
  <c r="B736" i="55" s="1"/>
  <c r="H735" i="55"/>
  <c r="G735" i="55"/>
  <c r="C735" i="55"/>
  <c r="G735" i="54"/>
  <c r="D735" i="54"/>
  <c r="C735" i="54"/>
  <c r="I735" i="54"/>
  <c r="B736" i="54" s="1"/>
  <c r="H735" i="54"/>
  <c r="G735" i="53"/>
  <c r="D735" i="53"/>
  <c r="C735" i="53"/>
  <c r="I735" i="53"/>
  <c r="B736" i="53" s="1"/>
  <c r="H735" i="53"/>
  <c r="G735" i="52"/>
  <c r="D735" i="52"/>
  <c r="C735" i="52"/>
  <c r="I735" i="52"/>
  <c r="B736" i="52" s="1"/>
  <c r="H735" i="52"/>
  <c r="D735" i="51"/>
  <c r="C735" i="51"/>
  <c r="I735" i="51"/>
  <c r="B736" i="51" s="1"/>
  <c r="H735" i="51"/>
  <c r="G735" i="51"/>
  <c r="C734" i="50"/>
  <c r="I734" i="50"/>
  <c r="B735" i="50" s="1"/>
  <c r="H734" i="50"/>
  <c r="G734" i="50"/>
  <c r="D734" i="50"/>
  <c r="C734" i="49"/>
  <c r="I734" i="49"/>
  <c r="B735" i="49" s="1"/>
  <c r="G734" i="49"/>
  <c r="H734" i="49"/>
  <c r="D734" i="49"/>
  <c r="C734" i="48"/>
  <c r="I734" i="48"/>
  <c r="B735" i="48" s="1"/>
  <c r="G734" i="48"/>
  <c r="D734" i="48"/>
  <c r="H734" i="48"/>
  <c r="H734" i="47"/>
  <c r="I734" i="47"/>
  <c r="B735" i="47" s="1"/>
  <c r="G734" i="47"/>
  <c r="D734" i="47"/>
  <c r="C734" i="47"/>
  <c r="G683" i="35"/>
  <c r="D683" i="35"/>
  <c r="C683" i="35"/>
  <c r="H683" i="35"/>
  <c r="I683" i="35"/>
  <c r="B684" i="35" s="1"/>
  <c r="H736" i="55" l="1"/>
  <c r="D736" i="55"/>
  <c r="C736" i="55"/>
  <c r="I736" i="55"/>
  <c r="B737" i="55" s="1"/>
  <c r="G736" i="55"/>
  <c r="I736" i="54"/>
  <c r="B737" i="54" s="1"/>
  <c r="H736" i="54"/>
  <c r="G736" i="54"/>
  <c r="D736" i="54"/>
  <c r="C736" i="54"/>
  <c r="I736" i="53"/>
  <c r="B737" i="53" s="1"/>
  <c r="H736" i="53"/>
  <c r="G736" i="53"/>
  <c r="D736" i="53"/>
  <c r="C736" i="53"/>
  <c r="I736" i="52"/>
  <c r="B737" i="52" s="1"/>
  <c r="H736" i="52"/>
  <c r="G736" i="52"/>
  <c r="D736" i="52"/>
  <c r="C736" i="52"/>
  <c r="H736" i="51"/>
  <c r="G736" i="51"/>
  <c r="D736" i="51"/>
  <c r="I736" i="51"/>
  <c r="B737" i="51" s="1"/>
  <c r="C736" i="51"/>
  <c r="G735" i="50"/>
  <c r="D735" i="50"/>
  <c r="C735" i="50"/>
  <c r="I735" i="50"/>
  <c r="B736" i="50" s="1"/>
  <c r="H735" i="50"/>
  <c r="G735" i="49"/>
  <c r="C735" i="49"/>
  <c r="I735" i="49"/>
  <c r="B736" i="49" s="1"/>
  <c r="H735" i="49"/>
  <c r="D735" i="49"/>
  <c r="G735" i="48"/>
  <c r="D735" i="48"/>
  <c r="C735" i="48"/>
  <c r="I735" i="48"/>
  <c r="B736" i="48" s="1"/>
  <c r="H735" i="48"/>
  <c r="D735" i="47"/>
  <c r="C735" i="47"/>
  <c r="I735" i="47"/>
  <c r="B736" i="47" s="1"/>
  <c r="H735" i="47"/>
  <c r="G735" i="47"/>
  <c r="I684" i="35"/>
  <c r="B685" i="35" s="1"/>
  <c r="H684" i="35"/>
  <c r="D684" i="35"/>
  <c r="C684" i="35"/>
  <c r="G684" i="35"/>
  <c r="H737" i="55" l="1"/>
  <c r="G737" i="55"/>
  <c r="C737" i="55"/>
  <c r="I737" i="55"/>
  <c r="B738" i="55" s="1"/>
  <c r="D737" i="55"/>
  <c r="I737" i="54"/>
  <c r="B738" i="54" s="1"/>
  <c r="H737" i="54"/>
  <c r="G737" i="54"/>
  <c r="D737" i="54"/>
  <c r="C737" i="54"/>
  <c r="I737" i="53"/>
  <c r="B738" i="53" s="1"/>
  <c r="H737" i="53"/>
  <c r="G737" i="53"/>
  <c r="C737" i="53"/>
  <c r="D737" i="53"/>
  <c r="I737" i="52"/>
  <c r="B738" i="52" s="1"/>
  <c r="H737" i="52"/>
  <c r="G737" i="52"/>
  <c r="D737" i="52"/>
  <c r="C737" i="52"/>
  <c r="I737" i="51"/>
  <c r="B738" i="51" s="1"/>
  <c r="H737" i="51"/>
  <c r="D737" i="51"/>
  <c r="C737" i="51"/>
  <c r="G737" i="51"/>
  <c r="I736" i="50"/>
  <c r="B737" i="50" s="1"/>
  <c r="H736" i="50"/>
  <c r="G736" i="50"/>
  <c r="D736" i="50"/>
  <c r="C736" i="50"/>
  <c r="I736" i="49"/>
  <c r="B737" i="49" s="1"/>
  <c r="G736" i="49"/>
  <c r="D736" i="49"/>
  <c r="C736" i="49"/>
  <c r="H736" i="49"/>
  <c r="I736" i="48"/>
  <c r="B737" i="48" s="1"/>
  <c r="H736" i="48"/>
  <c r="G736" i="48"/>
  <c r="D736" i="48"/>
  <c r="C736" i="48"/>
  <c r="H736" i="47"/>
  <c r="G736" i="47"/>
  <c r="D736" i="47"/>
  <c r="C736" i="47"/>
  <c r="I736" i="47"/>
  <c r="B737" i="47" s="1"/>
  <c r="C685" i="35"/>
  <c r="D685" i="35"/>
  <c r="I685" i="35"/>
  <c r="B686" i="35" s="1"/>
  <c r="G685" i="35"/>
  <c r="H685" i="35"/>
  <c r="I738" i="55" l="1"/>
  <c r="B739" i="55" s="1"/>
  <c r="G738" i="55"/>
  <c r="H738" i="55"/>
  <c r="D738" i="55"/>
  <c r="C738" i="55"/>
  <c r="C738" i="54"/>
  <c r="I738" i="54"/>
  <c r="B739" i="54" s="1"/>
  <c r="H738" i="54"/>
  <c r="G738" i="54"/>
  <c r="D738" i="54"/>
  <c r="C738" i="53"/>
  <c r="I738" i="53"/>
  <c r="B739" i="53" s="1"/>
  <c r="G738" i="53"/>
  <c r="H738" i="53"/>
  <c r="D738" i="53"/>
  <c r="C738" i="52"/>
  <c r="I738" i="52"/>
  <c r="B739" i="52" s="1"/>
  <c r="H738" i="52"/>
  <c r="G738" i="52"/>
  <c r="D738" i="52"/>
  <c r="H738" i="51"/>
  <c r="G738" i="51"/>
  <c r="I738" i="51"/>
  <c r="B739" i="51" s="1"/>
  <c r="D738" i="51"/>
  <c r="C738" i="51"/>
  <c r="I737" i="50"/>
  <c r="B738" i="50" s="1"/>
  <c r="H737" i="50"/>
  <c r="G737" i="50"/>
  <c r="D737" i="50"/>
  <c r="C737" i="50"/>
  <c r="I737" i="49"/>
  <c r="B738" i="49" s="1"/>
  <c r="H737" i="49"/>
  <c r="G737" i="49"/>
  <c r="C737" i="49"/>
  <c r="D737" i="49"/>
  <c r="I737" i="48"/>
  <c r="B738" i="48" s="1"/>
  <c r="H737" i="48"/>
  <c r="G737" i="48"/>
  <c r="C737" i="48"/>
  <c r="D737" i="48"/>
  <c r="I737" i="47"/>
  <c r="B738" i="47" s="1"/>
  <c r="H737" i="47"/>
  <c r="D737" i="47"/>
  <c r="G737" i="47"/>
  <c r="C737" i="47"/>
  <c r="D686" i="35"/>
  <c r="H686" i="35"/>
  <c r="C686" i="35"/>
  <c r="I686" i="35"/>
  <c r="B687" i="35" s="1"/>
  <c r="G686" i="35"/>
  <c r="D739" i="55" l="1"/>
  <c r="I739" i="55"/>
  <c r="B740" i="55" s="1"/>
  <c r="H739" i="55"/>
  <c r="G739" i="55"/>
  <c r="C739" i="55"/>
  <c r="G739" i="54"/>
  <c r="D739" i="54"/>
  <c r="C739" i="54"/>
  <c r="I739" i="54"/>
  <c r="B740" i="54" s="1"/>
  <c r="H739" i="54"/>
  <c r="G739" i="53"/>
  <c r="D739" i="53"/>
  <c r="C739" i="53"/>
  <c r="I739" i="53"/>
  <c r="B740" i="53" s="1"/>
  <c r="H739" i="53"/>
  <c r="G739" i="52"/>
  <c r="D739" i="52"/>
  <c r="C739" i="52"/>
  <c r="I739" i="52"/>
  <c r="B740" i="52" s="1"/>
  <c r="H739" i="52"/>
  <c r="D739" i="51"/>
  <c r="C739" i="51"/>
  <c r="I739" i="51"/>
  <c r="B740" i="51" s="1"/>
  <c r="H739" i="51"/>
  <c r="G739" i="51"/>
  <c r="C738" i="50"/>
  <c r="I738" i="50"/>
  <c r="B739" i="50" s="1"/>
  <c r="H738" i="50"/>
  <c r="G738" i="50"/>
  <c r="D738" i="50"/>
  <c r="C738" i="49"/>
  <c r="I738" i="49"/>
  <c r="B739" i="49" s="1"/>
  <c r="G738" i="49"/>
  <c r="H738" i="49"/>
  <c r="D738" i="49"/>
  <c r="C738" i="48"/>
  <c r="I738" i="48"/>
  <c r="B739" i="48" s="1"/>
  <c r="G738" i="48"/>
  <c r="D738" i="48"/>
  <c r="H738" i="48"/>
  <c r="H738" i="47"/>
  <c r="I738" i="47"/>
  <c r="B739" i="47" s="1"/>
  <c r="G738" i="47"/>
  <c r="D738" i="47"/>
  <c r="C738" i="47"/>
  <c r="G687" i="35"/>
  <c r="D687" i="35"/>
  <c r="I687" i="35"/>
  <c r="B688" i="35" s="1"/>
  <c r="H687" i="35"/>
  <c r="C687" i="35"/>
  <c r="H740" i="55" l="1"/>
  <c r="D740" i="55"/>
  <c r="C740" i="55"/>
  <c r="I740" i="55"/>
  <c r="B741" i="55" s="1"/>
  <c r="G740" i="55"/>
  <c r="I740" i="54"/>
  <c r="B741" i="54" s="1"/>
  <c r="H740" i="54"/>
  <c r="G740" i="54"/>
  <c r="D740" i="54"/>
  <c r="C740" i="54"/>
  <c r="I740" i="53"/>
  <c r="B741" i="53" s="1"/>
  <c r="H740" i="53"/>
  <c r="G740" i="53"/>
  <c r="D740" i="53"/>
  <c r="C740" i="53"/>
  <c r="I740" i="52"/>
  <c r="B741" i="52" s="1"/>
  <c r="H740" i="52"/>
  <c r="G740" i="52"/>
  <c r="D740" i="52"/>
  <c r="C740" i="52"/>
  <c r="H740" i="51"/>
  <c r="G740" i="51"/>
  <c r="D740" i="51"/>
  <c r="I740" i="51"/>
  <c r="B741" i="51" s="1"/>
  <c r="C740" i="51"/>
  <c r="G739" i="50"/>
  <c r="D739" i="50"/>
  <c r="C739" i="50"/>
  <c r="I739" i="50"/>
  <c r="B740" i="50" s="1"/>
  <c r="H739" i="50"/>
  <c r="G739" i="49"/>
  <c r="C739" i="49"/>
  <c r="I739" i="49"/>
  <c r="B740" i="49" s="1"/>
  <c r="H739" i="49"/>
  <c r="D739" i="49"/>
  <c r="G739" i="48"/>
  <c r="D739" i="48"/>
  <c r="C739" i="48"/>
  <c r="I739" i="48"/>
  <c r="B740" i="48" s="1"/>
  <c r="H739" i="48"/>
  <c r="D739" i="47"/>
  <c r="C739" i="47"/>
  <c r="I739" i="47"/>
  <c r="B740" i="47" s="1"/>
  <c r="H739" i="47"/>
  <c r="G739" i="47"/>
  <c r="I688" i="35"/>
  <c r="B689" i="35" s="1"/>
  <c r="H688" i="35"/>
  <c r="D688" i="35"/>
  <c r="G688" i="35"/>
  <c r="C688" i="35"/>
  <c r="H741" i="55" l="1"/>
  <c r="G741" i="55"/>
  <c r="C741" i="55"/>
  <c r="D741" i="55"/>
  <c r="I741" i="55"/>
  <c r="B742" i="55" s="1"/>
  <c r="I741" i="54"/>
  <c r="B742" i="54" s="1"/>
  <c r="H741" i="54"/>
  <c r="G741" i="54"/>
  <c r="D741" i="54"/>
  <c r="C741" i="54"/>
  <c r="I741" i="53"/>
  <c r="B742" i="53" s="1"/>
  <c r="H741" i="53"/>
  <c r="G741" i="53"/>
  <c r="C741" i="53"/>
  <c r="D741" i="53"/>
  <c r="I741" i="52"/>
  <c r="B742" i="52" s="1"/>
  <c r="H741" i="52"/>
  <c r="G741" i="52"/>
  <c r="D741" i="52"/>
  <c r="C741" i="52"/>
  <c r="I741" i="51"/>
  <c r="B742" i="51" s="1"/>
  <c r="H741" i="51"/>
  <c r="D741" i="51"/>
  <c r="C741" i="51"/>
  <c r="G741" i="51"/>
  <c r="I740" i="50"/>
  <c r="B741" i="50" s="1"/>
  <c r="H740" i="50"/>
  <c r="G740" i="50"/>
  <c r="D740" i="50"/>
  <c r="C740" i="50"/>
  <c r="I740" i="49"/>
  <c r="B741" i="49" s="1"/>
  <c r="G740" i="49"/>
  <c r="D740" i="49"/>
  <c r="C740" i="49"/>
  <c r="H740" i="49"/>
  <c r="I740" i="48"/>
  <c r="B741" i="48" s="1"/>
  <c r="H740" i="48"/>
  <c r="G740" i="48"/>
  <c r="D740" i="48"/>
  <c r="C740" i="48"/>
  <c r="H740" i="47"/>
  <c r="G740" i="47"/>
  <c r="D740" i="47"/>
  <c r="C740" i="47"/>
  <c r="I740" i="47"/>
  <c r="B741" i="47" s="1"/>
  <c r="C689" i="35"/>
  <c r="D689" i="35"/>
  <c r="H689" i="35"/>
  <c r="G689" i="35"/>
  <c r="I689" i="35"/>
  <c r="B690" i="35" s="1"/>
  <c r="I742" i="55" l="1"/>
  <c r="B743" i="55" s="1"/>
  <c r="G742" i="55"/>
  <c r="H742" i="55"/>
  <c r="D742" i="55"/>
  <c r="C742" i="55"/>
  <c r="C742" i="54"/>
  <c r="I742" i="54"/>
  <c r="B743" i="54" s="1"/>
  <c r="H742" i="54"/>
  <c r="G742" i="54"/>
  <c r="D742" i="54"/>
  <c r="C742" i="53"/>
  <c r="I742" i="53"/>
  <c r="B743" i="53" s="1"/>
  <c r="G742" i="53"/>
  <c r="D742" i="53"/>
  <c r="H742" i="53"/>
  <c r="C742" i="52"/>
  <c r="I742" i="52"/>
  <c r="B743" i="52" s="1"/>
  <c r="H742" i="52"/>
  <c r="G742" i="52"/>
  <c r="D742" i="52"/>
  <c r="H742" i="51"/>
  <c r="G742" i="51"/>
  <c r="I742" i="51"/>
  <c r="B743" i="51" s="1"/>
  <c r="D742" i="51"/>
  <c r="C742" i="51"/>
  <c r="I741" i="50"/>
  <c r="B742" i="50" s="1"/>
  <c r="H741" i="50"/>
  <c r="G741" i="50"/>
  <c r="D741" i="50"/>
  <c r="C741" i="50"/>
  <c r="I741" i="49"/>
  <c r="B742" i="49" s="1"/>
  <c r="H741" i="49"/>
  <c r="G741" i="49"/>
  <c r="C741" i="49"/>
  <c r="D741" i="49"/>
  <c r="I741" i="48"/>
  <c r="B742" i="48" s="1"/>
  <c r="H741" i="48"/>
  <c r="G741" i="48"/>
  <c r="C741" i="48"/>
  <c r="D741" i="48"/>
  <c r="I741" i="47"/>
  <c r="B742" i="47" s="1"/>
  <c r="H741" i="47"/>
  <c r="D741" i="47"/>
  <c r="G741" i="47"/>
  <c r="C741" i="47"/>
  <c r="D690" i="35"/>
  <c r="C690" i="35"/>
  <c r="I690" i="35"/>
  <c r="B691" i="35" s="1"/>
  <c r="G690" i="35"/>
  <c r="H690" i="35"/>
  <c r="D743" i="55" l="1"/>
  <c r="I743" i="55"/>
  <c r="B744" i="55" s="1"/>
  <c r="H743" i="55"/>
  <c r="G743" i="55"/>
  <c r="C743" i="55"/>
  <c r="G743" i="54"/>
  <c r="D743" i="54"/>
  <c r="C743" i="54"/>
  <c r="I743" i="54"/>
  <c r="B744" i="54" s="1"/>
  <c r="H743" i="54"/>
  <c r="G743" i="53"/>
  <c r="D743" i="53"/>
  <c r="C743" i="53"/>
  <c r="I743" i="53"/>
  <c r="B744" i="53" s="1"/>
  <c r="H743" i="53"/>
  <c r="G743" i="52"/>
  <c r="D743" i="52"/>
  <c r="C743" i="52"/>
  <c r="I743" i="52"/>
  <c r="B744" i="52" s="1"/>
  <c r="H743" i="52"/>
  <c r="D743" i="51"/>
  <c r="C743" i="51"/>
  <c r="I743" i="51"/>
  <c r="B744" i="51" s="1"/>
  <c r="H743" i="51"/>
  <c r="G743" i="51"/>
  <c r="C742" i="50"/>
  <c r="I742" i="50"/>
  <c r="B743" i="50" s="1"/>
  <c r="H742" i="50"/>
  <c r="G742" i="50"/>
  <c r="D742" i="50"/>
  <c r="C742" i="49"/>
  <c r="I742" i="49"/>
  <c r="B743" i="49" s="1"/>
  <c r="G742" i="49"/>
  <c r="H742" i="49"/>
  <c r="D742" i="49"/>
  <c r="C742" i="48"/>
  <c r="I742" i="48"/>
  <c r="B743" i="48" s="1"/>
  <c r="G742" i="48"/>
  <c r="D742" i="48"/>
  <c r="H742" i="48"/>
  <c r="H742" i="47"/>
  <c r="I742" i="47"/>
  <c r="B743" i="47" s="1"/>
  <c r="G742" i="47"/>
  <c r="D742" i="47"/>
  <c r="C742" i="47"/>
  <c r="G691" i="35"/>
  <c r="D691" i="35"/>
  <c r="I691" i="35"/>
  <c r="B692" i="35" s="1"/>
  <c r="H691" i="35"/>
  <c r="C691" i="35"/>
  <c r="H744" i="55" l="1"/>
  <c r="D744" i="55"/>
  <c r="C744" i="55"/>
  <c r="I744" i="55"/>
  <c r="B745" i="55" s="1"/>
  <c r="G744" i="55"/>
  <c r="I744" i="54"/>
  <c r="B745" i="54" s="1"/>
  <c r="H744" i="54"/>
  <c r="G744" i="54"/>
  <c r="D744" i="54"/>
  <c r="C744" i="54"/>
  <c r="I744" i="53"/>
  <c r="B745" i="53" s="1"/>
  <c r="H744" i="53"/>
  <c r="G744" i="53"/>
  <c r="D744" i="53"/>
  <c r="C744" i="53"/>
  <c r="I744" i="52"/>
  <c r="B745" i="52" s="1"/>
  <c r="H744" i="52"/>
  <c r="G744" i="52"/>
  <c r="D744" i="52"/>
  <c r="C744" i="52"/>
  <c r="H744" i="51"/>
  <c r="G744" i="51"/>
  <c r="D744" i="51"/>
  <c r="I744" i="51"/>
  <c r="B745" i="51" s="1"/>
  <c r="C744" i="51"/>
  <c r="G743" i="50"/>
  <c r="D743" i="50"/>
  <c r="C743" i="50"/>
  <c r="I743" i="50"/>
  <c r="B744" i="50" s="1"/>
  <c r="H743" i="50"/>
  <c r="G743" i="49"/>
  <c r="C743" i="49"/>
  <c r="I743" i="49"/>
  <c r="B744" i="49" s="1"/>
  <c r="D743" i="49"/>
  <c r="H743" i="49"/>
  <c r="G743" i="48"/>
  <c r="D743" i="48"/>
  <c r="C743" i="48"/>
  <c r="I743" i="48"/>
  <c r="B744" i="48" s="1"/>
  <c r="H743" i="48"/>
  <c r="D743" i="47"/>
  <c r="C743" i="47"/>
  <c r="I743" i="47"/>
  <c r="B744" i="47" s="1"/>
  <c r="H743" i="47"/>
  <c r="G743" i="47"/>
  <c r="I692" i="35"/>
  <c r="B693" i="35" s="1"/>
  <c r="H692" i="35"/>
  <c r="C692" i="35"/>
  <c r="G692" i="35"/>
  <c r="D692" i="35"/>
  <c r="H745" i="55" l="1"/>
  <c r="G745" i="55"/>
  <c r="C745" i="55"/>
  <c r="I745" i="55"/>
  <c r="B746" i="55" s="1"/>
  <c r="D745" i="55"/>
  <c r="I745" i="54"/>
  <c r="B746" i="54" s="1"/>
  <c r="H745" i="54"/>
  <c r="G745" i="54"/>
  <c r="D745" i="54"/>
  <c r="C745" i="54"/>
  <c r="I745" i="53"/>
  <c r="B746" i="53" s="1"/>
  <c r="H745" i="53"/>
  <c r="G745" i="53"/>
  <c r="C745" i="53"/>
  <c r="D745" i="53"/>
  <c r="I745" i="52"/>
  <c r="B746" i="52" s="1"/>
  <c r="H745" i="52"/>
  <c r="G745" i="52"/>
  <c r="D745" i="52"/>
  <c r="C745" i="52"/>
  <c r="I745" i="51"/>
  <c r="B746" i="51" s="1"/>
  <c r="H745" i="51"/>
  <c r="D745" i="51"/>
  <c r="C745" i="51"/>
  <c r="G745" i="51"/>
  <c r="I744" i="50"/>
  <c r="B745" i="50" s="1"/>
  <c r="H744" i="50"/>
  <c r="G744" i="50"/>
  <c r="D744" i="50"/>
  <c r="C744" i="50"/>
  <c r="I744" i="49"/>
  <c r="B745" i="49" s="1"/>
  <c r="G744" i="49"/>
  <c r="D744" i="49"/>
  <c r="C744" i="49"/>
  <c r="H744" i="49"/>
  <c r="I744" i="48"/>
  <c r="B745" i="48" s="1"/>
  <c r="H744" i="48"/>
  <c r="G744" i="48"/>
  <c r="D744" i="48"/>
  <c r="C744" i="48"/>
  <c r="H744" i="47"/>
  <c r="G744" i="47"/>
  <c r="D744" i="47"/>
  <c r="C744" i="47"/>
  <c r="I744" i="47"/>
  <c r="B745" i="47" s="1"/>
  <c r="C693" i="35"/>
  <c r="D693" i="35"/>
  <c r="H693" i="35"/>
  <c r="G693" i="35"/>
  <c r="I693" i="35"/>
  <c r="B694" i="35" s="1"/>
  <c r="I746" i="55" l="1"/>
  <c r="B747" i="55" s="1"/>
  <c r="G746" i="55"/>
  <c r="H746" i="55"/>
  <c r="D746" i="55"/>
  <c r="C746" i="55"/>
  <c r="C746" i="54"/>
  <c r="I746" i="54"/>
  <c r="B747" i="54" s="1"/>
  <c r="H746" i="54"/>
  <c r="G746" i="54"/>
  <c r="D746" i="54"/>
  <c r="C746" i="53"/>
  <c r="I746" i="53"/>
  <c r="B747" i="53" s="1"/>
  <c r="G746" i="53"/>
  <c r="H746" i="53"/>
  <c r="D746" i="53"/>
  <c r="C746" i="52"/>
  <c r="I746" i="52"/>
  <c r="B747" i="52" s="1"/>
  <c r="H746" i="52"/>
  <c r="G746" i="52"/>
  <c r="D746" i="52"/>
  <c r="H746" i="51"/>
  <c r="G746" i="51"/>
  <c r="I746" i="51"/>
  <c r="B747" i="51" s="1"/>
  <c r="D746" i="51"/>
  <c r="C746" i="51"/>
  <c r="I745" i="50"/>
  <c r="B746" i="50" s="1"/>
  <c r="H745" i="50"/>
  <c r="G745" i="50"/>
  <c r="D745" i="50"/>
  <c r="C745" i="50"/>
  <c r="I745" i="49"/>
  <c r="B746" i="49" s="1"/>
  <c r="H745" i="49"/>
  <c r="G745" i="49"/>
  <c r="C745" i="49"/>
  <c r="D745" i="49"/>
  <c r="I745" i="48"/>
  <c r="B746" i="48" s="1"/>
  <c r="H745" i="48"/>
  <c r="G745" i="48"/>
  <c r="C745" i="48"/>
  <c r="D745" i="48"/>
  <c r="I745" i="47"/>
  <c r="B746" i="47" s="1"/>
  <c r="H745" i="47"/>
  <c r="D745" i="47"/>
  <c r="G745" i="47"/>
  <c r="C745" i="47"/>
  <c r="D694" i="35"/>
  <c r="H694" i="35"/>
  <c r="C694" i="35"/>
  <c r="I694" i="35"/>
  <c r="B695" i="35" s="1"/>
  <c r="G694" i="35"/>
  <c r="D747" i="55" l="1"/>
  <c r="I747" i="55"/>
  <c r="B748" i="55" s="1"/>
  <c r="H747" i="55"/>
  <c r="G747" i="55"/>
  <c r="C747" i="55"/>
  <c r="G747" i="54"/>
  <c r="D747" i="54"/>
  <c r="C747" i="54"/>
  <c r="I747" i="54"/>
  <c r="B748" i="54" s="1"/>
  <c r="H747" i="54"/>
  <c r="G747" i="53"/>
  <c r="D747" i="53"/>
  <c r="C747" i="53"/>
  <c r="I747" i="53"/>
  <c r="B748" i="53" s="1"/>
  <c r="H747" i="53"/>
  <c r="G747" i="52"/>
  <c r="D747" i="52"/>
  <c r="C747" i="52"/>
  <c r="I747" i="52"/>
  <c r="B748" i="52" s="1"/>
  <c r="H747" i="52"/>
  <c r="D747" i="51"/>
  <c r="C747" i="51"/>
  <c r="I747" i="51"/>
  <c r="B748" i="51" s="1"/>
  <c r="H747" i="51"/>
  <c r="G747" i="51"/>
  <c r="C746" i="50"/>
  <c r="I746" i="50"/>
  <c r="B747" i="50" s="1"/>
  <c r="H746" i="50"/>
  <c r="G746" i="50"/>
  <c r="D746" i="50"/>
  <c r="C746" i="49"/>
  <c r="I746" i="49"/>
  <c r="B747" i="49" s="1"/>
  <c r="G746" i="49"/>
  <c r="H746" i="49"/>
  <c r="D746" i="49"/>
  <c r="C746" i="48"/>
  <c r="I746" i="48"/>
  <c r="B747" i="48" s="1"/>
  <c r="G746" i="48"/>
  <c r="D746" i="48"/>
  <c r="H746" i="48"/>
  <c r="H746" i="47"/>
  <c r="I746" i="47"/>
  <c r="B747" i="47" s="1"/>
  <c r="G746" i="47"/>
  <c r="D746" i="47"/>
  <c r="C746" i="47"/>
  <c r="G695" i="35"/>
  <c r="D695" i="35"/>
  <c r="I695" i="35"/>
  <c r="B696" i="35" s="1"/>
  <c r="H695" i="35"/>
  <c r="C695" i="35"/>
  <c r="H748" i="55" l="1"/>
  <c r="D748" i="55"/>
  <c r="C748" i="55"/>
  <c r="I748" i="55"/>
  <c r="B749" i="55" s="1"/>
  <c r="G748" i="55"/>
  <c r="I748" i="54"/>
  <c r="B749" i="54" s="1"/>
  <c r="H748" i="54"/>
  <c r="G748" i="54"/>
  <c r="D748" i="54"/>
  <c r="C748" i="54"/>
  <c r="I748" i="53"/>
  <c r="B749" i="53" s="1"/>
  <c r="H748" i="53"/>
  <c r="G748" i="53"/>
  <c r="D748" i="53"/>
  <c r="C748" i="53"/>
  <c r="I748" i="52"/>
  <c r="B749" i="52" s="1"/>
  <c r="H748" i="52"/>
  <c r="G748" i="52"/>
  <c r="D748" i="52"/>
  <c r="C748" i="52"/>
  <c r="H748" i="51"/>
  <c r="G748" i="51"/>
  <c r="D748" i="51"/>
  <c r="C748" i="51"/>
  <c r="I748" i="51"/>
  <c r="B749" i="51" s="1"/>
  <c r="G747" i="50"/>
  <c r="D747" i="50"/>
  <c r="C747" i="50"/>
  <c r="I747" i="50"/>
  <c r="B748" i="50" s="1"/>
  <c r="H747" i="50"/>
  <c r="G747" i="49"/>
  <c r="C747" i="49"/>
  <c r="I747" i="49"/>
  <c r="B748" i="49" s="1"/>
  <c r="H747" i="49"/>
  <c r="D747" i="49"/>
  <c r="G747" i="48"/>
  <c r="D747" i="48"/>
  <c r="C747" i="48"/>
  <c r="I747" i="48"/>
  <c r="B748" i="48" s="1"/>
  <c r="H747" i="48"/>
  <c r="D747" i="47"/>
  <c r="C747" i="47"/>
  <c r="I747" i="47"/>
  <c r="B748" i="47" s="1"/>
  <c r="H747" i="47"/>
  <c r="G747" i="47"/>
  <c r="I696" i="35"/>
  <c r="B697" i="35" s="1"/>
  <c r="H696" i="35"/>
  <c r="D696" i="35"/>
  <c r="G696" i="35"/>
  <c r="C696" i="35"/>
  <c r="H749" i="55" l="1"/>
  <c r="G749" i="55"/>
  <c r="C749" i="55"/>
  <c r="D749" i="55"/>
  <c r="I749" i="55"/>
  <c r="B750" i="55" s="1"/>
  <c r="I749" i="54"/>
  <c r="B750" i="54" s="1"/>
  <c r="H749" i="54"/>
  <c r="G749" i="54"/>
  <c r="D749" i="54"/>
  <c r="C749" i="54"/>
  <c r="I749" i="53"/>
  <c r="B750" i="53" s="1"/>
  <c r="H749" i="53"/>
  <c r="G749" i="53"/>
  <c r="C749" i="53"/>
  <c r="D749" i="53"/>
  <c r="I749" i="52"/>
  <c r="B750" i="52" s="1"/>
  <c r="H749" i="52"/>
  <c r="G749" i="52"/>
  <c r="D749" i="52"/>
  <c r="C749" i="52"/>
  <c r="I749" i="51"/>
  <c r="B750" i="51" s="1"/>
  <c r="H749" i="51"/>
  <c r="D749" i="51"/>
  <c r="C749" i="51"/>
  <c r="G749" i="51"/>
  <c r="I748" i="50"/>
  <c r="B749" i="50" s="1"/>
  <c r="H748" i="50"/>
  <c r="G748" i="50"/>
  <c r="D748" i="50"/>
  <c r="C748" i="50"/>
  <c r="I748" i="49"/>
  <c r="B749" i="49" s="1"/>
  <c r="G748" i="49"/>
  <c r="D748" i="49"/>
  <c r="C748" i="49"/>
  <c r="H748" i="49"/>
  <c r="I748" i="48"/>
  <c r="B749" i="48" s="1"/>
  <c r="H748" i="48"/>
  <c r="G748" i="48"/>
  <c r="D748" i="48"/>
  <c r="C748" i="48"/>
  <c r="H748" i="47"/>
  <c r="G748" i="47"/>
  <c r="D748" i="47"/>
  <c r="C748" i="47"/>
  <c r="I748" i="47"/>
  <c r="B749" i="47" s="1"/>
  <c r="C697" i="35"/>
  <c r="D697" i="35"/>
  <c r="I697" i="35"/>
  <c r="B698" i="35" s="1"/>
  <c r="G697" i="35"/>
  <c r="H697" i="35"/>
  <c r="I750" i="55" l="1"/>
  <c r="B751" i="55" s="1"/>
  <c r="G750" i="55"/>
  <c r="H750" i="55"/>
  <c r="D750" i="55"/>
  <c r="C750" i="55"/>
  <c r="C750" i="54"/>
  <c r="I750" i="54"/>
  <c r="B751" i="54" s="1"/>
  <c r="H750" i="54"/>
  <c r="G750" i="54"/>
  <c r="D750" i="54"/>
  <c r="C750" i="53"/>
  <c r="I750" i="53"/>
  <c r="B751" i="53" s="1"/>
  <c r="G750" i="53"/>
  <c r="D750" i="53"/>
  <c r="H750" i="53"/>
  <c r="C750" i="52"/>
  <c r="I750" i="52"/>
  <c r="B751" i="52" s="1"/>
  <c r="H750" i="52"/>
  <c r="G750" i="52"/>
  <c r="D750" i="52"/>
  <c r="H750" i="51"/>
  <c r="G750" i="51"/>
  <c r="I750" i="51"/>
  <c r="B751" i="51" s="1"/>
  <c r="D750" i="51"/>
  <c r="C750" i="51"/>
  <c r="I749" i="50"/>
  <c r="B750" i="50" s="1"/>
  <c r="H749" i="50"/>
  <c r="G749" i="50"/>
  <c r="D749" i="50"/>
  <c r="C749" i="50"/>
  <c r="I749" i="49"/>
  <c r="B750" i="49" s="1"/>
  <c r="H749" i="49"/>
  <c r="G749" i="49"/>
  <c r="C749" i="49"/>
  <c r="D749" i="49"/>
  <c r="I749" i="48"/>
  <c r="B750" i="48" s="1"/>
  <c r="H749" i="48"/>
  <c r="G749" i="48"/>
  <c r="C749" i="48"/>
  <c r="D749" i="48"/>
  <c r="I749" i="47"/>
  <c r="B750" i="47" s="1"/>
  <c r="H749" i="47"/>
  <c r="D749" i="47"/>
  <c r="G749" i="47"/>
  <c r="C749" i="47"/>
  <c r="D698" i="35"/>
  <c r="C698" i="35"/>
  <c r="H698" i="35"/>
  <c r="G698" i="35"/>
  <c r="I698" i="35"/>
  <c r="B699" i="35" s="1"/>
  <c r="D751" i="55" l="1"/>
  <c r="I751" i="55"/>
  <c r="B752" i="55" s="1"/>
  <c r="H751" i="55"/>
  <c r="G751" i="55"/>
  <c r="C751" i="55"/>
  <c r="G751" i="54"/>
  <c r="D751" i="54"/>
  <c r="C751" i="54"/>
  <c r="I751" i="54"/>
  <c r="B752" i="54" s="1"/>
  <c r="H751" i="54"/>
  <c r="G751" i="53"/>
  <c r="D751" i="53"/>
  <c r="C751" i="53"/>
  <c r="I751" i="53"/>
  <c r="B752" i="53" s="1"/>
  <c r="H751" i="53"/>
  <c r="G751" i="52"/>
  <c r="D751" i="52"/>
  <c r="C751" i="52"/>
  <c r="I751" i="52"/>
  <c r="B752" i="52" s="1"/>
  <c r="H751" i="52"/>
  <c r="D751" i="51"/>
  <c r="C751" i="51"/>
  <c r="I751" i="51"/>
  <c r="B752" i="51" s="1"/>
  <c r="H751" i="51"/>
  <c r="G751" i="51"/>
  <c r="C750" i="50"/>
  <c r="I750" i="50"/>
  <c r="B751" i="50" s="1"/>
  <c r="H750" i="50"/>
  <c r="G750" i="50"/>
  <c r="D750" i="50"/>
  <c r="C750" i="49"/>
  <c r="I750" i="49"/>
  <c r="B751" i="49" s="1"/>
  <c r="G750" i="49"/>
  <c r="D750" i="49"/>
  <c r="H750" i="49"/>
  <c r="C750" i="48"/>
  <c r="I750" i="48"/>
  <c r="B751" i="48" s="1"/>
  <c r="G750" i="48"/>
  <c r="D750" i="48"/>
  <c r="H750" i="48"/>
  <c r="H750" i="47"/>
  <c r="I750" i="47"/>
  <c r="B751" i="47" s="1"/>
  <c r="G750" i="47"/>
  <c r="D750" i="47"/>
  <c r="C750" i="47"/>
  <c r="G699" i="35"/>
  <c r="D699" i="35"/>
  <c r="H699" i="35"/>
  <c r="I699" i="35"/>
  <c r="B700" i="35" s="1"/>
  <c r="C699" i="35"/>
  <c r="H752" i="55" l="1"/>
  <c r="D752" i="55"/>
  <c r="C752" i="55"/>
  <c r="I752" i="55"/>
  <c r="B753" i="55" s="1"/>
  <c r="G752" i="55"/>
  <c r="I752" i="54"/>
  <c r="B753" i="54" s="1"/>
  <c r="H752" i="54"/>
  <c r="G752" i="54"/>
  <c r="D752" i="54"/>
  <c r="C752" i="54"/>
  <c r="I752" i="53"/>
  <c r="B753" i="53" s="1"/>
  <c r="H752" i="53"/>
  <c r="G752" i="53"/>
  <c r="D752" i="53"/>
  <c r="C752" i="53"/>
  <c r="I752" i="52"/>
  <c r="B753" i="52" s="1"/>
  <c r="H752" i="52"/>
  <c r="G752" i="52"/>
  <c r="D752" i="52"/>
  <c r="C752" i="52"/>
  <c r="H752" i="51"/>
  <c r="G752" i="51"/>
  <c r="D752" i="51"/>
  <c r="I752" i="51"/>
  <c r="B753" i="51" s="1"/>
  <c r="C752" i="51"/>
  <c r="G751" i="50"/>
  <c r="D751" i="50"/>
  <c r="C751" i="50"/>
  <c r="I751" i="50"/>
  <c r="B752" i="50" s="1"/>
  <c r="H751" i="50"/>
  <c r="G751" i="49"/>
  <c r="C751" i="49"/>
  <c r="I751" i="49"/>
  <c r="B752" i="49" s="1"/>
  <c r="D751" i="49"/>
  <c r="H751" i="49"/>
  <c r="G751" i="48"/>
  <c r="D751" i="48"/>
  <c r="C751" i="48"/>
  <c r="I751" i="48"/>
  <c r="B752" i="48" s="1"/>
  <c r="H751" i="48"/>
  <c r="D751" i="47"/>
  <c r="C751" i="47"/>
  <c r="I751" i="47"/>
  <c r="B752" i="47" s="1"/>
  <c r="H751" i="47"/>
  <c r="G751" i="47"/>
  <c r="I700" i="35"/>
  <c r="B701" i="35" s="1"/>
  <c r="H700" i="35"/>
  <c r="G700" i="35"/>
  <c r="C700" i="35"/>
  <c r="D700" i="35"/>
  <c r="H753" i="55" l="1"/>
  <c r="G753" i="55"/>
  <c r="C753" i="55"/>
  <c r="I753" i="55"/>
  <c r="B754" i="55" s="1"/>
  <c r="D753" i="55"/>
  <c r="I753" i="54"/>
  <c r="B754" i="54" s="1"/>
  <c r="H753" i="54"/>
  <c r="G753" i="54"/>
  <c r="D753" i="54"/>
  <c r="C753" i="54"/>
  <c r="I753" i="53"/>
  <c r="B754" i="53" s="1"/>
  <c r="H753" i="53"/>
  <c r="G753" i="53"/>
  <c r="C753" i="53"/>
  <c r="D753" i="53"/>
  <c r="I753" i="52"/>
  <c r="B754" i="52" s="1"/>
  <c r="H753" i="52"/>
  <c r="G753" i="52"/>
  <c r="D753" i="52"/>
  <c r="C753" i="52"/>
  <c r="I753" i="51"/>
  <c r="B754" i="51" s="1"/>
  <c r="H753" i="51"/>
  <c r="D753" i="51"/>
  <c r="C753" i="51"/>
  <c r="G753" i="51"/>
  <c r="I752" i="50"/>
  <c r="B753" i="50" s="1"/>
  <c r="H752" i="50"/>
  <c r="G752" i="50"/>
  <c r="D752" i="50"/>
  <c r="C752" i="50"/>
  <c r="I752" i="49"/>
  <c r="B753" i="49" s="1"/>
  <c r="G752" i="49"/>
  <c r="D752" i="49"/>
  <c r="C752" i="49"/>
  <c r="H752" i="49"/>
  <c r="I752" i="48"/>
  <c r="B753" i="48" s="1"/>
  <c r="H752" i="48"/>
  <c r="G752" i="48"/>
  <c r="D752" i="48"/>
  <c r="C752" i="48"/>
  <c r="H752" i="47"/>
  <c r="G752" i="47"/>
  <c r="D752" i="47"/>
  <c r="C752" i="47"/>
  <c r="I752" i="47"/>
  <c r="B753" i="47" s="1"/>
  <c r="C701" i="35"/>
  <c r="D701" i="35"/>
  <c r="H701" i="35"/>
  <c r="G701" i="35"/>
  <c r="I701" i="35"/>
  <c r="B702" i="35" s="1"/>
  <c r="I754" i="55" l="1"/>
  <c r="B755" i="55" s="1"/>
  <c r="G754" i="55"/>
  <c r="H754" i="55"/>
  <c r="D754" i="55"/>
  <c r="C754" i="55"/>
  <c r="C754" i="54"/>
  <c r="I754" i="54"/>
  <c r="B755" i="54" s="1"/>
  <c r="H754" i="54"/>
  <c r="G754" i="54"/>
  <c r="D754" i="54"/>
  <c r="C754" i="53"/>
  <c r="I754" i="53"/>
  <c r="B755" i="53" s="1"/>
  <c r="G754" i="53"/>
  <c r="H754" i="53"/>
  <c r="D754" i="53"/>
  <c r="C754" i="52"/>
  <c r="I754" i="52"/>
  <c r="B755" i="52" s="1"/>
  <c r="H754" i="52"/>
  <c r="G754" i="52"/>
  <c r="D754" i="52"/>
  <c r="H754" i="51"/>
  <c r="G754" i="51"/>
  <c r="I754" i="51"/>
  <c r="B755" i="51" s="1"/>
  <c r="D754" i="51"/>
  <c r="C754" i="51"/>
  <c r="I753" i="50"/>
  <c r="B754" i="50" s="1"/>
  <c r="H753" i="50"/>
  <c r="G753" i="50"/>
  <c r="D753" i="50"/>
  <c r="C753" i="50"/>
  <c r="I753" i="49"/>
  <c r="B754" i="49" s="1"/>
  <c r="H753" i="49"/>
  <c r="G753" i="49"/>
  <c r="C753" i="49"/>
  <c r="D753" i="49"/>
  <c r="I753" i="48"/>
  <c r="B754" i="48" s="1"/>
  <c r="H753" i="48"/>
  <c r="G753" i="48"/>
  <c r="C753" i="48"/>
  <c r="D753" i="48"/>
  <c r="I753" i="47"/>
  <c r="B754" i="47" s="1"/>
  <c r="H753" i="47"/>
  <c r="D753" i="47"/>
  <c r="G753" i="47"/>
  <c r="C753" i="47"/>
  <c r="D702" i="35"/>
  <c r="H702" i="35"/>
  <c r="C702" i="35"/>
  <c r="I702" i="35"/>
  <c r="B703" i="35" s="1"/>
  <c r="G702" i="35"/>
  <c r="D755" i="55" l="1"/>
  <c r="I755" i="55"/>
  <c r="B756" i="55" s="1"/>
  <c r="H755" i="55"/>
  <c r="G755" i="55"/>
  <c r="C755" i="55"/>
  <c r="G755" i="54"/>
  <c r="D755" i="54"/>
  <c r="C755" i="54"/>
  <c r="I755" i="54"/>
  <c r="B756" i="54" s="1"/>
  <c r="H755" i="54"/>
  <c r="G755" i="53"/>
  <c r="D755" i="53"/>
  <c r="C755" i="53"/>
  <c r="I755" i="53"/>
  <c r="B756" i="53" s="1"/>
  <c r="H755" i="53"/>
  <c r="G755" i="52"/>
  <c r="D755" i="52"/>
  <c r="C755" i="52"/>
  <c r="I755" i="52"/>
  <c r="B756" i="52" s="1"/>
  <c r="H755" i="52"/>
  <c r="D755" i="51"/>
  <c r="C755" i="51"/>
  <c r="I755" i="51"/>
  <c r="B756" i="51" s="1"/>
  <c r="G755" i="51"/>
  <c r="H755" i="51"/>
  <c r="C754" i="50"/>
  <c r="I754" i="50"/>
  <c r="B755" i="50" s="1"/>
  <c r="H754" i="50"/>
  <c r="G754" i="50"/>
  <c r="D754" i="50"/>
  <c r="C754" i="49"/>
  <c r="I754" i="49"/>
  <c r="B755" i="49" s="1"/>
  <c r="G754" i="49"/>
  <c r="H754" i="49"/>
  <c r="D754" i="49"/>
  <c r="C754" i="48"/>
  <c r="I754" i="48"/>
  <c r="B755" i="48" s="1"/>
  <c r="G754" i="48"/>
  <c r="D754" i="48"/>
  <c r="H754" i="48"/>
  <c r="H754" i="47"/>
  <c r="I754" i="47"/>
  <c r="B755" i="47" s="1"/>
  <c r="G754" i="47"/>
  <c r="D754" i="47"/>
  <c r="C754" i="47"/>
  <c r="G703" i="35"/>
  <c r="D703" i="35"/>
  <c r="I703" i="35"/>
  <c r="B704" i="35" s="1"/>
  <c r="H703" i="35"/>
  <c r="C703" i="35"/>
  <c r="H756" i="55" l="1"/>
  <c r="D756" i="55"/>
  <c r="C756" i="55"/>
  <c r="I756" i="55"/>
  <c r="B757" i="55" s="1"/>
  <c r="G756" i="55"/>
  <c r="I756" i="54"/>
  <c r="B757" i="54" s="1"/>
  <c r="H756" i="54"/>
  <c r="G756" i="54"/>
  <c r="D756" i="54"/>
  <c r="C756" i="54"/>
  <c r="I756" i="53"/>
  <c r="B757" i="53" s="1"/>
  <c r="H756" i="53"/>
  <c r="G756" i="53"/>
  <c r="D756" i="53"/>
  <c r="C756" i="53"/>
  <c r="I756" i="52"/>
  <c r="B757" i="52" s="1"/>
  <c r="H756" i="52"/>
  <c r="G756" i="52"/>
  <c r="D756" i="52"/>
  <c r="C756" i="52"/>
  <c r="H756" i="51"/>
  <c r="G756" i="51"/>
  <c r="D756" i="51"/>
  <c r="I756" i="51"/>
  <c r="B757" i="51" s="1"/>
  <c r="C756" i="51"/>
  <c r="G755" i="50"/>
  <c r="D755" i="50"/>
  <c r="C755" i="50"/>
  <c r="I755" i="50"/>
  <c r="B756" i="50" s="1"/>
  <c r="H755" i="50"/>
  <c r="G755" i="49"/>
  <c r="C755" i="49"/>
  <c r="I755" i="49"/>
  <c r="B756" i="49" s="1"/>
  <c r="D755" i="49"/>
  <c r="H755" i="49"/>
  <c r="G755" i="48"/>
  <c r="D755" i="48"/>
  <c r="C755" i="48"/>
  <c r="I755" i="48"/>
  <c r="B756" i="48" s="1"/>
  <c r="H755" i="48"/>
  <c r="D755" i="47"/>
  <c r="C755" i="47"/>
  <c r="I755" i="47"/>
  <c r="B756" i="47" s="1"/>
  <c r="H755" i="47"/>
  <c r="G755" i="47"/>
  <c r="I704" i="35"/>
  <c r="B705" i="35" s="1"/>
  <c r="H704" i="35"/>
  <c r="D704" i="35"/>
  <c r="G704" i="35"/>
  <c r="C704" i="35"/>
  <c r="H757" i="55" l="1"/>
  <c r="G757" i="55"/>
  <c r="C757" i="55"/>
  <c r="D757" i="55"/>
  <c r="I757" i="55"/>
  <c r="B758" i="55" s="1"/>
  <c r="I757" i="54"/>
  <c r="B758" i="54" s="1"/>
  <c r="H757" i="54"/>
  <c r="G757" i="54"/>
  <c r="D757" i="54"/>
  <c r="C757" i="54"/>
  <c r="I757" i="53"/>
  <c r="B758" i="53" s="1"/>
  <c r="H757" i="53"/>
  <c r="G757" i="53"/>
  <c r="C757" i="53"/>
  <c r="D757" i="53"/>
  <c r="I757" i="52"/>
  <c r="B758" i="52" s="1"/>
  <c r="H757" i="52"/>
  <c r="G757" i="52"/>
  <c r="D757" i="52"/>
  <c r="C757" i="52"/>
  <c r="I757" i="51"/>
  <c r="B758" i="51" s="1"/>
  <c r="H757" i="51"/>
  <c r="D757" i="51"/>
  <c r="C757" i="51"/>
  <c r="G757" i="51"/>
  <c r="I756" i="50"/>
  <c r="B757" i="50" s="1"/>
  <c r="H756" i="50"/>
  <c r="G756" i="50"/>
  <c r="D756" i="50"/>
  <c r="C756" i="50"/>
  <c r="I756" i="49"/>
  <c r="B757" i="49" s="1"/>
  <c r="G756" i="49"/>
  <c r="D756" i="49"/>
  <c r="C756" i="49"/>
  <c r="H756" i="49"/>
  <c r="I756" i="48"/>
  <c r="B757" i="48" s="1"/>
  <c r="H756" i="48"/>
  <c r="G756" i="48"/>
  <c r="D756" i="48"/>
  <c r="C756" i="48"/>
  <c r="H756" i="47"/>
  <c r="G756" i="47"/>
  <c r="D756" i="47"/>
  <c r="C756" i="47"/>
  <c r="I756" i="47"/>
  <c r="B757" i="47" s="1"/>
  <c r="C705" i="35"/>
  <c r="D705" i="35"/>
  <c r="G705" i="35"/>
  <c r="H705" i="35"/>
  <c r="I705" i="35"/>
  <c r="B706" i="35" s="1"/>
  <c r="I758" i="55" l="1"/>
  <c r="B759" i="55" s="1"/>
  <c r="G758" i="55"/>
  <c r="H758" i="55"/>
  <c r="D758" i="55"/>
  <c r="C758" i="55"/>
  <c r="C758" i="54"/>
  <c r="I758" i="54"/>
  <c r="B759" i="54" s="1"/>
  <c r="H758" i="54"/>
  <c r="G758" i="54"/>
  <c r="D758" i="54"/>
  <c r="C758" i="53"/>
  <c r="I758" i="53"/>
  <c r="B759" i="53" s="1"/>
  <c r="G758" i="53"/>
  <c r="D758" i="53"/>
  <c r="H758" i="53"/>
  <c r="C758" i="52"/>
  <c r="I758" i="52"/>
  <c r="B759" i="52" s="1"/>
  <c r="H758" i="52"/>
  <c r="G758" i="52"/>
  <c r="D758" i="52"/>
  <c r="H758" i="51"/>
  <c r="G758" i="51"/>
  <c r="I758" i="51"/>
  <c r="B759" i="51" s="1"/>
  <c r="D758" i="51"/>
  <c r="C758" i="51"/>
  <c r="I757" i="50"/>
  <c r="B758" i="50" s="1"/>
  <c r="H757" i="50"/>
  <c r="G757" i="50"/>
  <c r="D757" i="50"/>
  <c r="C757" i="50"/>
  <c r="I757" i="49"/>
  <c r="B758" i="49" s="1"/>
  <c r="H757" i="49"/>
  <c r="G757" i="49"/>
  <c r="C757" i="49"/>
  <c r="D757" i="49"/>
  <c r="I757" i="48"/>
  <c r="B758" i="48" s="1"/>
  <c r="H757" i="48"/>
  <c r="G757" i="48"/>
  <c r="C757" i="48"/>
  <c r="D757" i="48"/>
  <c r="I757" i="47"/>
  <c r="B758" i="47" s="1"/>
  <c r="H757" i="47"/>
  <c r="D757" i="47"/>
  <c r="G757" i="47"/>
  <c r="C757" i="47"/>
  <c r="D706" i="35"/>
  <c r="H706" i="35"/>
  <c r="C706" i="35"/>
  <c r="G706" i="35"/>
  <c r="I706" i="35"/>
  <c r="B707" i="35" s="1"/>
  <c r="D759" i="55" l="1"/>
  <c r="I759" i="55"/>
  <c r="B760" i="55" s="1"/>
  <c r="H759" i="55"/>
  <c r="G759" i="55"/>
  <c r="C759" i="55"/>
  <c r="G759" i="54"/>
  <c r="D759" i="54"/>
  <c r="C759" i="54"/>
  <c r="I759" i="54"/>
  <c r="B760" i="54" s="1"/>
  <c r="H759" i="54"/>
  <c r="G759" i="53"/>
  <c r="D759" i="53"/>
  <c r="C759" i="53"/>
  <c r="I759" i="53"/>
  <c r="B760" i="53" s="1"/>
  <c r="H759" i="53"/>
  <c r="G759" i="52"/>
  <c r="D759" i="52"/>
  <c r="C759" i="52"/>
  <c r="I759" i="52"/>
  <c r="B760" i="52" s="1"/>
  <c r="H759" i="52"/>
  <c r="D759" i="51"/>
  <c r="C759" i="51"/>
  <c r="I759" i="51"/>
  <c r="B760" i="51" s="1"/>
  <c r="H759" i="51"/>
  <c r="G759" i="51"/>
  <c r="C758" i="50"/>
  <c r="I758" i="50"/>
  <c r="B759" i="50" s="1"/>
  <c r="H758" i="50"/>
  <c r="G758" i="50"/>
  <c r="D758" i="50"/>
  <c r="C758" i="49"/>
  <c r="I758" i="49"/>
  <c r="B759" i="49" s="1"/>
  <c r="G758" i="49"/>
  <c r="D758" i="49"/>
  <c r="H758" i="49"/>
  <c r="C758" i="48"/>
  <c r="I758" i="48"/>
  <c r="B759" i="48" s="1"/>
  <c r="G758" i="48"/>
  <c r="D758" i="48"/>
  <c r="H758" i="48"/>
  <c r="H758" i="47"/>
  <c r="I758" i="47"/>
  <c r="B759" i="47" s="1"/>
  <c r="G758" i="47"/>
  <c r="D758" i="47"/>
  <c r="C758" i="47"/>
  <c r="G707" i="35"/>
  <c r="D707" i="35"/>
  <c r="I707" i="35"/>
  <c r="B708" i="35" s="1"/>
  <c r="H707" i="35"/>
  <c r="C707" i="35"/>
  <c r="H760" i="55" l="1"/>
  <c r="D760" i="55"/>
  <c r="C760" i="55"/>
  <c r="I760" i="55"/>
  <c r="B761" i="55" s="1"/>
  <c r="G760" i="55"/>
  <c r="I760" i="54"/>
  <c r="B761" i="54" s="1"/>
  <c r="H760" i="54"/>
  <c r="G760" i="54"/>
  <c r="D760" i="54"/>
  <c r="C760" i="54"/>
  <c r="I760" i="53"/>
  <c r="B761" i="53" s="1"/>
  <c r="H760" i="53"/>
  <c r="G760" i="53"/>
  <c r="D760" i="53"/>
  <c r="C760" i="53"/>
  <c r="I760" i="52"/>
  <c r="B761" i="52" s="1"/>
  <c r="H760" i="52"/>
  <c r="G760" i="52"/>
  <c r="D760" i="52"/>
  <c r="C760" i="52"/>
  <c r="H760" i="51"/>
  <c r="G760" i="51"/>
  <c r="D760" i="51"/>
  <c r="I760" i="51"/>
  <c r="B761" i="51" s="1"/>
  <c r="C760" i="51"/>
  <c r="G759" i="50"/>
  <c r="D759" i="50"/>
  <c r="C759" i="50"/>
  <c r="I759" i="50"/>
  <c r="B760" i="50" s="1"/>
  <c r="H759" i="50"/>
  <c r="G759" i="49"/>
  <c r="C759" i="49"/>
  <c r="I759" i="49"/>
  <c r="B760" i="49" s="1"/>
  <c r="H759" i="49"/>
  <c r="D759" i="49"/>
  <c r="G759" i="48"/>
  <c r="D759" i="48"/>
  <c r="C759" i="48"/>
  <c r="I759" i="48"/>
  <c r="B760" i="48" s="1"/>
  <c r="H759" i="48"/>
  <c r="D759" i="47"/>
  <c r="C759" i="47"/>
  <c r="I759" i="47"/>
  <c r="B760" i="47" s="1"/>
  <c r="H759" i="47"/>
  <c r="G759" i="47"/>
  <c r="I708" i="35"/>
  <c r="B709" i="35" s="1"/>
  <c r="H708" i="35"/>
  <c r="D708" i="35"/>
  <c r="C708" i="35"/>
  <c r="G708" i="35"/>
  <c r="H761" i="55" l="1"/>
  <c r="G761" i="55"/>
  <c r="C761" i="55"/>
  <c r="I761" i="55"/>
  <c r="B762" i="55" s="1"/>
  <c r="D761" i="55"/>
  <c r="I761" i="54"/>
  <c r="B762" i="54" s="1"/>
  <c r="H761" i="54"/>
  <c r="G761" i="54"/>
  <c r="D761" i="54"/>
  <c r="C761" i="54"/>
  <c r="I761" i="53"/>
  <c r="B762" i="53" s="1"/>
  <c r="H761" i="53"/>
  <c r="G761" i="53"/>
  <c r="C761" i="53"/>
  <c r="D761" i="53"/>
  <c r="I761" i="52"/>
  <c r="B762" i="52" s="1"/>
  <c r="H761" i="52"/>
  <c r="G761" i="52"/>
  <c r="D761" i="52"/>
  <c r="C761" i="52"/>
  <c r="I761" i="51"/>
  <c r="B762" i="51" s="1"/>
  <c r="H761" i="51"/>
  <c r="D761" i="51"/>
  <c r="C761" i="51"/>
  <c r="G761" i="51"/>
  <c r="I760" i="50"/>
  <c r="B761" i="50" s="1"/>
  <c r="H760" i="50"/>
  <c r="G760" i="50"/>
  <c r="D760" i="50"/>
  <c r="C760" i="50"/>
  <c r="I760" i="49"/>
  <c r="B761" i="49" s="1"/>
  <c r="G760" i="49"/>
  <c r="D760" i="49"/>
  <c r="C760" i="49"/>
  <c r="H760" i="49"/>
  <c r="I760" i="48"/>
  <c r="B761" i="48" s="1"/>
  <c r="H760" i="48"/>
  <c r="G760" i="48"/>
  <c r="D760" i="48"/>
  <c r="C760" i="48"/>
  <c r="H760" i="47"/>
  <c r="G760" i="47"/>
  <c r="D760" i="47"/>
  <c r="C760" i="47"/>
  <c r="I760" i="47"/>
  <c r="B761" i="47" s="1"/>
  <c r="C709" i="35"/>
  <c r="D709" i="35"/>
  <c r="H709" i="35"/>
  <c r="G709" i="35"/>
  <c r="I709" i="35"/>
  <c r="B710" i="35" s="1"/>
  <c r="I762" i="55" l="1"/>
  <c r="B763" i="55" s="1"/>
  <c r="G762" i="55"/>
  <c r="H762" i="55"/>
  <c r="D762" i="55"/>
  <c r="C762" i="55"/>
  <c r="C762" i="54"/>
  <c r="I762" i="54"/>
  <c r="B763" i="54" s="1"/>
  <c r="H762" i="54"/>
  <c r="G762" i="54"/>
  <c r="D762" i="54"/>
  <c r="C762" i="53"/>
  <c r="I762" i="53"/>
  <c r="B763" i="53" s="1"/>
  <c r="G762" i="53"/>
  <c r="H762" i="53"/>
  <c r="D762" i="53"/>
  <c r="C762" i="52"/>
  <c r="I762" i="52"/>
  <c r="B763" i="52" s="1"/>
  <c r="H762" i="52"/>
  <c r="G762" i="52"/>
  <c r="D762" i="52"/>
  <c r="H762" i="51"/>
  <c r="G762" i="51"/>
  <c r="D762" i="51"/>
  <c r="C762" i="51"/>
  <c r="I762" i="51"/>
  <c r="B763" i="51" s="1"/>
  <c r="I761" i="50"/>
  <c r="B762" i="50" s="1"/>
  <c r="H761" i="50"/>
  <c r="G761" i="50"/>
  <c r="D761" i="50"/>
  <c r="C761" i="50"/>
  <c r="I761" i="49"/>
  <c r="B762" i="49" s="1"/>
  <c r="H761" i="49"/>
  <c r="G761" i="49"/>
  <c r="C761" i="49"/>
  <c r="D761" i="49"/>
  <c r="I761" i="48"/>
  <c r="B762" i="48" s="1"/>
  <c r="H761" i="48"/>
  <c r="G761" i="48"/>
  <c r="C761" i="48"/>
  <c r="D761" i="48"/>
  <c r="I761" i="47"/>
  <c r="B762" i="47" s="1"/>
  <c r="H761" i="47"/>
  <c r="D761" i="47"/>
  <c r="G761" i="47"/>
  <c r="C761" i="47"/>
  <c r="D710" i="35"/>
  <c r="G710" i="35"/>
  <c r="C710" i="35"/>
  <c r="H710" i="35"/>
  <c r="I710" i="35"/>
  <c r="B711" i="35" s="1"/>
  <c r="D763" i="55" l="1"/>
  <c r="I763" i="55"/>
  <c r="B764" i="55" s="1"/>
  <c r="H763" i="55"/>
  <c r="G763" i="55"/>
  <c r="C763" i="55"/>
  <c r="G763" i="54"/>
  <c r="D763" i="54"/>
  <c r="C763" i="54"/>
  <c r="I763" i="54"/>
  <c r="B764" i="54" s="1"/>
  <c r="H763" i="54"/>
  <c r="G763" i="53"/>
  <c r="D763" i="53"/>
  <c r="C763" i="53"/>
  <c r="I763" i="53"/>
  <c r="B764" i="53" s="1"/>
  <c r="H763" i="53"/>
  <c r="G763" i="52"/>
  <c r="D763" i="52"/>
  <c r="C763" i="52"/>
  <c r="I763" i="52"/>
  <c r="B764" i="52" s="1"/>
  <c r="H763" i="52"/>
  <c r="D763" i="51"/>
  <c r="C763" i="51"/>
  <c r="I763" i="51"/>
  <c r="B764" i="51" s="1"/>
  <c r="H763" i="51"/>
  <c r="G763" i="51"/>
  <c r="C762" i="50"/>
  <c r="I762" i="50"/>
  <c r="B763" i="50" s="1"/>
  <c r="H762" i="50"/>
  <c r="G762" i="50"/>
  <c r="D762" i="50"/>
  <c r="C762" i="49"/>
  <c r="I762" i="49"/>
  <c r="B763" i="49" s="1"/>
  <c r="G762" i="49"/>
  <c r="H762" i="49"/>
  <c r="D762" i="49"/>
  <c r="C762" i="48"/>
  <c r="I762" i="48"/>
  <c r="B763" i="48" s="1"/>
  <c r="G762" i="48"/>
  <c r="D762" i="48"/>
  <c r="H762" i="48"/>
  <c r="H762" i="47"/>
  <c r="I762" i="47"/>
  <c r="B763" i="47" s="1"/>
  <c r="G762" i="47"/>
  <c r="D762" i="47"/>
  <c r="C762" i="47"/>
  <c r="G711" i="35"/>
  <c r="I711" i="35"/>
  <c r="B712" i="35" s="1"/>
  <c r="D711" i="35"/>
  <c r="C711" i="35"/>
  <c r="H711" i="35"/>
  <c r="H764" i="55" l="1"/>
  <c r="D764" i="55"/>
  <c r="C764" i="55"/>
  <c r="I764" i="55"/>
  <c r="B765" i="55" s="1"/>
  <c r="G764" i="55"/>
  <c r="I764" i="54"/>
  <c r="B765" i="54" s="1"/>
  <c r="H764" i="54"/>
  <c r="G764" i="54"/>
  <c r="D764" i="54"/>
  <c r="C764" i="54"/>
  <c r="I764" i="53"/>
  <c r="B765" i="53" s="1"/>
  <c r="H764" i="53"/>
  <c r="G764" i="53"/>
  <c r="D764" i="53"/>
  <c r="C764" i="53"/>
  <c r="I764" i="52"/>
  <c r="B765" i="52" s="1"/>
  <c r="H764" i="52"/>
  <c r="G764" i="52"/>
  <c r="D764" i="52"/>
  <c r="C764" i="52"/>
  <c r="H764" i="51"/>
  <c r="G764" i="51"/>
  <c r="D764" i="51"/>
  <c r="I764" i="51"/>
  <c r="B765" i="51" s="1"/>
  <c r="C764" i="51"/>
  <c r="G763" i="50"/>
  <c r="D763" i="50"/>
  <c r="C763" i="50"/>
  <c r="I763" i="50"/>
  <c r="B764" i="50" s="1"/>
  <c r="H763" i="50"/>
  <c r="G763" i="49"/>
  <c r="C763" i="49"/>
  <c r="I763" i="49"/>
  <c r="B764" i="49" s="1"/>
  <c r="H763" i="49"/>
  <c r="D763" i="49"/>
  <c r="G763" i="48"/>
  <c r="D763" i="48"/>
  <c r="C763" i="48"/>
  <c r="I763" i="48"/>
  <c r="B764" i="48" s="1"/>
  <c r="H763" i="48"/>
  <c r="D763" i="47"/>
  <c r="C763" i="47"/>
  <c r="I763" i="47"/>
  <c r="B764" i="47" s="1"/>
  <c r="H763" i="47"/>
  <c r="G763" i="47"/>
  <c r="I712" i="35"/>
  <c r="B713" i="35" s="1"/>
  <c r="H712" i="35"/>
  <c r="G712" i="35"/>
  <c r="D712" i="35"/>
  <c r="C712" i="35"/>
  <c r="H765" i="55" l="1"/>
  <c r="G765" i="55"/>
  <c r="C765" i="55"/>
  <c r="D765" i="55"/>
  <c r="I765" i="55"/>
  <c r="B766" i="55" s="1"/>
  <c r="I765" i="54"/>
  <c r="B766" i="54" s="1"/>
  <c r="H765" i="54"/>
  <c r="G765" i="54"/>
  <c r="D765" i="54"/>
  <c r="C765" i="54"/>
  <c r="I765" i="53"/>
  <c r="B766" i="53" s="1"/>
  <c r="H765" i="53"/>
  <c r="G765" i="53"/>
  <c r="C765" i="53"/>
  <c r="D765" i="53"/>
  <c r="I765" i="52"/>
  <c r="B766" i="52" s="1"/>
  <c r="H765" i="52"/>
  <c r="G765" i="52"/>
  <c r="D765" i="52"/>
  <c r="C765" i="52"/>
  <c r="I765" i="51"/>
  <c r="B766" i="51" s="1"/>
  <c r="H765" i="51"/>
  <c r="D765" i="51"/>
  <c r="C765" i="51"/>
  <c r="G765" i="51"/>
  <c r="I764" i="50"/>
  <c r="B765" i="50" s="1"/>
  <c r="H764" i="50"/>
  <c r="G764" i="50"/>
  <c r="D764" i="50"/>
  <c r="C764" i="50"/>
  <c r="I764" i="49"/>
  <c r="B765" i="49" s="1"/>
  <c r="G764" i="49"/>
  <c r="D764" i="49"/>
  <c r="C764" i="49"/>
  <c r="H764" i="49"/>
  <c r="I764" i="48"/>
  <c r="B765" i="48" s="1"/>
  <c r="H764" i="48"/>
  <c r="G764" i="48"/>
  <c r="D764" i="48"/>
  <c r="C764" i="48"/>
  <c r="H764" i="47"/>
  <c r="G764" i="47"/>
  <c r="D764" i="47"/>
  <c r="C764" i="47"/>
  <c r="I764" i="47"/>
  <c r="B765" i="47" s="1"/>
  <c r="C713" i="35"/>
  <c r="D713" i="35"/>
  <c r="I713" i="35"/>
  <c r="B714" i="35" s="1"/>
  <c r="H713" i="35"/>
  <c r="G713" i="35"/>
  <c r="I766" i="55" l="1"/>
  <c r="B767" i="55" s="1"/>
  <c r="G766" i="55"/>
  <c r="H766" i="55"/>
  <c r="D766" i="55"/>
  <c r="C766" i="55"/>
  <c r="C766" i="54"/>
  <c r="I766" i="54"/>
  <c r="B767" i="54" s="1"/>
  <c r="H766" i="54"/>
  <c r="G766" i="54"/>
  <c r="D766" i="54"/>
  <c r="C766" i="53"/>
  <c r="I766" i="53"/>
  <c r="B767" i="53" s="1"/>
  <c r="G766" i="53"/>
  <c r="D766" i="53"/>
  <c r="H766" i="53"/>
  <c r="C766" i="52"/>
  <c r="I766" i="52"/>
  <c r="B767" i="52" s="1"/>
  <c r="H766" i="52"/>
  <c r="G766" i="52"/>
  <c r="D766" i="52"/>
  <c r="H766" i="51"/>
  <c r="G766" i="51"/>
  <c r="C766" i="51"/>
  <c r="I766" i="51"/>
  <c r="B767" i="51" s="1"/>
  <c r="D766" i="51"/>
  <c r="I765" i="50"/>
  <c r="B766" i="50" s="1"/>
  <c r="H765" i="50"/>
  <c r="G765" i="50"/>
  <c r="D765" i="50"/>
  <c r="C765" i="50"/>
  <c r="I765" i="49"/>
  <c r="B766" i="49" s="1"/>
  <c r="H765" i="49"/>
  <c r="G765" i="49"/>
  <c r="C765" i="49"/>
  <c r="D765" i="49"/>
  <c r="I765" i="48"/>
  <c r="B766" i="48" s="1"/>
  <c r="H765" i="48"/>
  <c r="G765" i="48"/>
  <c r="C765" i="48"/>
  <c r="D765" i="48"/>
  <c r="I765" i="47"/>
  <c r="B766" i="47" s="1"/>
  <c r="H765" i="47"/>
  <c r="D765" i="47"/>
  <c r="G765" i="47"/>
  <c r="C765" i="47"/>
  <c r="D714" i="35"/>
  <c r="C714" i="35"/>
  <c r="H714" i="35"/>
  <c r="G714" i="35"/>
  <c r="I714" i="35"/>
  <c r="B715" i="35" s="1"/>
  <c r="D767" i="55" l="1"/>
  <c r="I767" i="55"/>
  <c r="B768" i="55" s="1"/>
  <c r="H767" i="55"/>
  <c r="G767" i="55"/>
  <c r="C767" i="55"/>
  <c r="G767" i="54"/>
  <c r="D767" i="54"/>
  <c r="C767" i="54"/>
  <c r="I767" i="54"/>
  <c r="B768" i="54" s="1"/>
  <c r="H767" i="54"/>
  <c r="G767" i="53"/>
  <c r="D767" i="53"/>
  <c r="C767" i="53"/>
  <c r="I767" i="53"/>
  <c r="B768" i="53" s="1"/>
  <c r="H767" i="53"/>
  <c r="G767" i="52"/>
  <c r="D767" i="52"/>
  <c r="C767" i="52"/>
  <c r="I767" i="52"/>
  <c r="B768" i="52" s="1"/>
  <c r="H767" i="52"/>
  <c r="D767" i="51"/>
  <c r="C767" i="51"/>
  <c r="I767" i="51"/>
  <c r="B768" i="51" s="1"/>
  <c r="H767" i="51"/>
  <c r="G767" i="51"/>
  <c r="C766" i="50"/>
  <c r="I766" i="50"/>
  <c r="B767" i="50" s="1"/>
  <c r="H766" i="50"/>
  <c r="G766" i="50"/>
  <c r="D766" i="50"/>
  <c r="C766" i="49"/>
  <c r="I766" i="49"/>
  <c r="B767" i="49" s="1"/>
  <c r="G766" i="49"/>
  <c r="H766" i="49"/>
  <c r="D766" i="49"/>
  <c r="C766" i="48"/>
  <c r="I766" i="48"/>
  <c r="B767" i="48" s="1"/>
  <c r="G766" i="48"/>
  <c r="D766" i="48"/>
  <c r="H766" i="48"/>
  <c r="H766" i="47"/>
  <c r="I766" i="47"/>
  <c r="B767" i="47" s="1"/>
  <c r="G766" i="47"/>
  <c r="D766" i="47"/>
  <c r="C766" i="47"/>
  <c r="G715" i="35"/>
  <c r="D715" i="35"/>
  <c r="I715" i="35"/>
  <c r="B716" i="35" s="1"/>
  <c r="C715" i="35"/>
  <c r="H715" i="35"/>
  <c r="H768" i="55" l="1"/>
  <c r="D768" i="55"/>
  <c r="C768" i="55"/>
  <c r="I768" i="55"/>
  <c r="B769" i="55" s="1"/>
  <c r="G768" i="55"/>
  <c r="I768" i="54"/>
  <c r="B769" i="54" s="1"/>
  <c r="H768" i="54"/>
  <c r="G768" i="54"/>
  <c r="D768" i="54"/>
  <c r="C768" i="54"/>
  <c r="I768" i="53"/>
  <c r="B769" i="53" s="1"/>
  <c r="H768" i="53"/>
  <c r="G768" i="53"/>
  <c r="D768" i="53"/>
  <c r="C768" i="53"/>
  <c r="I768" i="52"/>
  <c r="B769" i="52" s="1"/>
  <c r="H768" i="52"/>
  <c r="G768" i="52"/>
  <c r="D768" i="52"/>
  <c r="C768" i="52"/>
  <c r="H768" i="51"/>
  <c r="G768" i="51"/>
  <c r="D768" i="51"/>
  <c r="I768" i="51"/>
  <c r="B769" i="51" s="1"/>
  <c r="C768" i="51"/>
  <c r="G767" i="50"/>
  <c r="D767" i="50"/>
  <c r="C767" i="50"/>
  <c r="I767" i="50"/>
  <c r="B768" i="50" s="1"/>
  <c r="H767" i="50"/>
  <c r="G767" i="49"/>
  <c r="C767" i="49"/>
  <c r="I767" i="49"/>
  <c r="B768" i="49" s="1"/>
  <c r="H767" i="49"/>
  <c r="D767" i="49"/>
  <c r="G767" i="48"/>
  <c r="D767" i="48"/>
  <c r="C767" i="48"/>
  <c r="I767" i="48"/>
  <c r="B768" i="48" s="1"/>
  <c r="H767" i="48"/>
  <c r="D767" i="47"/>
  <c r="C767" i="47"/>
  <c r="I767" i="47"/>
  <c r="B768" i="47" s="1"/>
  <c r="H767" i="47"/>
  <c r="G767" i="47"/>
  <c r="I716" i="35"/>
  <c r="B717" i="35" s="1"/>
  <c r="H716" i="35"/>
  <c r="D716" i="35"/>
  <c r="C716" i="35"/>
  <c r="G716" i="35"/>
  <c r="H769" i="55" l="1"/>
  <c r="G769" i="55"/>
  <c r="C769" i="55"/>
  <c r="I769" i="55"/>
  <c r="B770" i="55" s="1"/>
  <c r="D769" i="55"/>
  <c r="I769" i="54"/>
  <c r="B770" i="54" s="1"/>
  <c r="H769" i="54"/>
  <c r="G769" i="54"/>
  <c r="D769" i="54"/>
  <c r="C769" i="54"/>
  <c r="I769" i="53"/>
  <c r="B770" i="53" s="1"/>
  <c r="H769" i="53"/>
  <c r="G769" i="53"/>
  <c r="C769" i="53"/>
  <c r="D769" i="53"/>
  <c r="I769" i="52"/>
  <c r="B770" i="52" s="1"/>
  <c r="H769" i="52"/>
  <c r="G769" i="52"/>
  <c r="D769" i="52"/>
  <c r="C769" i="52"/>
  <c r="I769" i="51"/>
  <c r="B770" i="51" s="1"/>
  <c r="H769" i="51"/>
  <c r="D769" i="51"/>
  <c r="C769" i="51"/>
  <c r="G769" i="51"/>
  <c r="I768" i="50"/>
  <c r="B769" i="50" s="1"/>
  <c r="H768" i="50"/>
  <c r="G768" i="50"/>
  <c r="D768" i="50"/>
  <c r="C768" i="50"/>
  <c r="I768" i="49"/>
  <c r="B769" i="49" s="1"/>
  <c r="G768" i="49"/>
  <c r="D768" i="49"/>
  <c r="C768" i="49"/>
  <c r="H768" i="49"/>
  <c r="I768" i="48"/>
  <c r="B769" i="48" s="1"/>
  <c r="H768" i="48"/>
  <c r="G768" i="48"/>
  <c r="D768" i="48"/>
  <c r="C768" i="48"/>
  <c r="H768" i="47"/>
  <c r="G768" i="47"/>
  <c r="D768" i="47"/>
  <c r="C768" i="47"/>
  <c r="I768" i="47"/>
  <c r="B769" i="47" s="1"/>
  <c r="C717" i="35"/>
  <c r="D717" i="35"/>
  <c r="I717" i="35"/>
  <c r="B718" i="35" s="1"/>
  <c r="H717" i="35"/>
  <c r="G717" i="35"/>
  <c r="I770" i="55" l="1"/>
  <c r="B771" i="55" s="1"/>
  <c r="G770" i="55"/>
  <c r="H770" i="55"/>
  <c r="D770" i="55"/>
  <c r="C770" i="55"/>
  <c r="C770" i="54"/>
  <c r="I770" i="54"/>
  <c r="B771" i="54" s="1"/>
  <c r="H770" i="54"/>
  <c r="G770" i="54"/>
  <c r="D770" i="54"/>
  <c r="C770" i="53"/>
  <c r="I770" i="53"/>
  <c r="B771" i="53" s="1"/>
  <c r="G770" i="53"/>
  <c r="H770" i="53"/>
  <c r="D770" i="53"/>
  <c r="C770" i="52"/>
  <c r="I770" i="52"/>
  <c r="B771" i="52" s="1"/>
  <c r="H770" i="52"/>
  <c r="G770" i="52"/>
  <c r="D770" i="52"/>
  <c r="H770" i="51"/>
  <c r="G770" i="51"/>
  <c r="I770" i="51"/>
  <c r="B771" i="51" s="1"/>
  <c r="D770" i="51"/>
  <c r="C770" i="51"/>
  <c r="I769" i="50"/>
  <c r="B770" i="50" s="1"/>
  <c r="H769" i="50"/>
  <c r="G769" i="50"/>
  <c r="D769" i="50"/>
  <c r="C769" i="50"/>
  <c r="I769" i="49"/>
  <c r="B770" i="49" s="1"/>
  <c r="H769" i="49"/>
  <c r="G769" i="49"/>
  <c r="C769" i="49"/>
  <c r="D769" i="49"/>
  <c r="I769" i="48"/>
  <c r="B770" i="48" s="1"/>
  <c r="H769" i="48"/>
  <c r="G769" i="48"/>
  <c r="C769" i="48"/>
  <c r="D769" i="48"/>
  <c r="I769" i="47"/>
  <c r="B770" i="47" s="1"/>
  <c r="H769" i="47"/>
  <c r="D769" i="47"/>
  <c r="G769" i="47"/>
  <c r="C769" i="47"/>
  <c r="D718" i="35"/>
  <c r="C718" i="35"/>
  <c r="I718" i="35"/>
  <c r="B719" i="35" s="1"/>
  <c r="G718" i="35"/>
  <c r="H718" i="35"/>
  <c r="D771" i="55" l="1"/>
  <c r="I771" i="55"/>
  <c r="B772" i="55" s="1"/>
  <c r="H771" i="55"/>
  <c r="G771" i="55"/>
  <c r="C771" i="55"/>
  <c r="G771" i="54"/>
  <c r="D771" i="54"/>
  <c r="C771" i="54"/>
  <c r="I771" i="54"/>
  <c r="B772" i="54" s="1"/>
  <c r="H771" i="54"/>
  <c r="G771" i="53"/>
  <c r="D771" i="53"/>
  <c r="C771" i="53"/>
  <c r="I771" i="53"/>
  <c r="B772" i="53" s="1"/>
  <c r="H771" i="53"/>
  <c r="G771" i="52"/>
  <c r="D771" i="52"/>
  <c r="C771" i="52"/>
  <c r="I771" i="52"/>
  <c r="B772" i="52" s="1"/>
  <c r="H771" i="52"/>
  <c r="D771" i="51"/>
  <c r="C771" i="51"/>
  <c r="I771" i="51"/>
  <c r="B772" i="51" s="1"/>
  <c r="H771" i="51"/>
  <c r="G771" i="51"/>
  <c r="C770" i="50"/>
  <c r="I770" i="50"/>
  <c r="B771" i="50" s="1"/>
  <c r="H770" i="50"/>
  <c r="G770" i="50"/>
  <c r="D770" i="50"/>
  <c r="C770" i="49"/>
  <c r="I770" i="49"/>
  <c r="B771" i="49" s="1"/>
  <c r="G770" i="49"/>
  <c r="H770" i="49"/>
  <c r="D770" i="49"/>
  <c r="C770" i="48"/>
  <c r="I770" i="48"/>
  <c r="B771" i="48" s="1"/>
  <c r="G770" i="48"/>
  <c r="D770" i="48"/>
  <c r="H770" i="48"/>
  <c r="H770" i="47"/>
  <c r="I770" i="47"/>
  <c r="B771" i="47" s="1"/>
  <c r="G770" i="47"/>
  <c r="D770" i="47"/>
  <c r="C770" i="47"/>
  <c r="G719" i="35"/>
  <c r="D719" i="35"/>
  <c r="I719" i="35"/>
  <c r="B720" i="35" s="1"/>
  <c r="H719" i="35"/>
  <c r="C719" i="35"/>
  <c r="H772" i="55" l="1"/>
  <c r="D772" i="55"/>
  <c r="C772" i="55"/>
  <c r="I772" i="55"/>
  <c r="B773" i="55" s="1"/>
  <c r="G772" i="55"/>
  <c r="I772" i="54"/>
  <c r="B773" i="54" s="1"/>
  <c r="H772" i="54"/>
  <c r="G772" i="54"/>
  <c r="D772" i="54"/>
  <c r="C772" i="54"/>
  <c r="I772" i="53"/>
  <c r="B773" i="53" s="1"/>
  <c r="H772" i="53"/>
  <c r="G772" i="53"/>
  <c r="D772" i="53"/>
  <c r="C772" i="53"/>
  <c r="I772" i="52"/>
  <c r="B773" i="52" s="1"/>
  <c r="H772" i="52"/>
  <c r="G772" i="52"/>
  <c r="D772" i="52"/>
  <c r="C772" i="52"/>
  <c r="H772" i="51"/>
  <c r="G772" i="51"/>
  <c r="D772" i="51"/>
  <c r="I772" i="51"/>
  <c r="B773" i="51" s="1"/>
  <c r="C772" i="51"/>
  <c r="G771" i="50"/>
  <c r="D771" i="50"/>
  <c r="C771" i="50"/>
  <c r="I771" i="50"/>
  <c r="B772" i="50" s="1"/>
  <c r="H771" i="50"/>
  <c r="G771" i="49"/>
  <c r="C771" i="49"/>
  <c r="I771" i="49"/>
  <c r="B772" i="49" s="1"/>
  <c r="H771" i="49"/>
  <c r="D771" i="49"/>
  <c r="G771" i="48"/>
  <c r="D771" i="48"/>
  <c r="C771" i="48"/>
  <c r="I771" i="48"/>
  <c r="B772" i="48" s="1"/>
  <c r="H771" i="48"/>
  <c r="D771" i="47"/>
  <c r="C771" i="47"/>
  <c r="I771" i="47"/>
  <c r="B772" i="47" s="1"/>
  <c r="H771" i="47"/>
  <c r="G771" i="47"/>
  <c r="I720" i="35"/>
  <c r="B721" i="35" s="1"/>
  <c r="H720" i="35"/>
  <c r="C720" i="35"/>
  <c r="D720" i="35"/>
  <c r="G720" i="35"/>
  <c r="H773" i="55" l="1"/>
  <c r="G773" i="55"/>
  <c r="C773" i="55"/>
  <c r="D773" i="55"/>
  <c r="I773" i="55"/>
  <c r="B774" i="55" s="1"/>
  <c r="I773" i="54"/>
  <c r="B774" i="54" s="1"/>
  <c r="H773" i="54"/>
  <c r="G773" i="54"/>
  <c r="D773" i="54"/>
  <c r="C773" i="54"/>
  <c r="I773" i="53"/>
  <c r="B774" i="53" s="1"/>
  <c r="H773" i="53"/>
  <c r="G773" i="53"/>
  <c r="C773" i="53"/>
  <c r="D773" i="53"/>
  <c r="I773" i="52"/>
  <c r="B774" i="52" s="1"/>
  <c r="H773" i="52"/>
  <c r="G773" i="52"/>
  <c r="D773" i="52"/>
  <c r="C773" i="52"/>
  <c r="I773" i="51"/>
  <c r="B774" i="51" s="1"/>
  <c r="H773" i="51"/>
  <c r="D773" i="51"/>
  <c r="C773" i="51"/>
  <c r="G773" i="51"/>
  <c r="I772" i="50"/>
  <c r="B773" i="50" s="1"/>
  <c r="H772" i="50"/>
  <c r="G772" i="50"/>
  <c r="D772" i="50"/>
  <c r="C772" i="50"/>
  <c r="I772" i="49"/>
  <c r="B773" i="49" s="1"/>
  <c r="G772" i="49"/>
  <c r="D772" i="49"/>
  <c r="C772" i="49"/>
  <c r="H772" i="49"/>
  <c r="I772" i="48"/>
  <c r="B773" i="48" s="1"/>
  <c r="H772" i="48"/>
  <c r="G772" i="48"/>
  <c r="D772" i="48"/>
  <c r="C772" i="48"/>
  <c r="H772" i="47"/>
  <c r="G772" i="47"/>
  <c r="D772" i="47"/>
  <c r="C772" i="47"/>
  <c r="I772" i="47"/>
  <c r="B773" i="47" s="1"/>
  <c r="C721" i="35"/>
  <c r="D721" i="35"/>
  <c r="G721" i="35"/>
  <c r="I721" i="35"/>
  <c r="B722" i="35" s="1"/>
  <c r="H721" i="35"/>
  <c r="I774" i="55" l="1"/>
  <c r="B775" i="55" s="1"/>
  <c r="G774" i="55"/>
  <c r="H774" i="55"/>
  <c r="D774" i="55"/>
  <c r="C774" i="55"/>
  <c r="C774" i="54"/>
  <c r="I774" i="54"/>
  <c r="B775" i="54" s="1"/>
  <c r="H774" i="54"/>
  <c r="G774" i="54"/>
  <c r="D774" i="54"/>
  <c r="C774" i="53"/>
  <c r="I774" i="53"/>
  <c r="B775" i="53" s="1"/>
  <c r="G774" i="53"/>
  <c r="D774" i="53"/>
  <c r="H774" i="53"/>
  <c r="C774" i="52"/>
  <c r="I774" i="52"/>
  <c r="B775" i="52" s="1"/>
  <c r="H774" i="52"/>
  <c r="G774" i="52"/>
  <c r="D774" i="52"/>
  <c r="H774" i="51"/>
  <c r="G774" i="51"/>
  <c r="I774" i="51"/>
  <c r="B775" i="51" s="1"/>
  <c r="D774" i="51"/>
  <c r="C774" i="51"/>
  <c r="I773" i="50"/>
  <c r="B774" i="50" s="1"/>
  <c r="H773" i="50"/>
  <c r="G773" i="50"/>
  <c r="D773" i="50"/>
  <c r="C773" i="50"/>
  <c r="I773" i="49"/>
  <c r="B774" i="49" s="1"/>
  <c r="H773" i="49"/>
  <c r="G773" i="49"/>
  <c r="C773" i="49"/>
  <c r="D773" i="49"/>
  <c r="I773" i="48"/>
  <c r="B774" i="48" s="1"/>
  <c r="H773" i="48"/>
  <c r="G773" i="48"/>
  <c r="C773" i="48"/>
  <c r="D773" i="48"/>
  <c r="I773" i="47"/>
  <c r="B774" i="47" s="1"/>
  <c r="H773" i="47"/>
  <c r="D773" i="47"/>
  <c r="G773" i="47"/>
  <c r="C773" i="47"/>
  <c r="D722" i="35"/>
  <c r="C722" i="35"/>
  <c r="I722" i="35"/>
  <c r="B723" i="35" s="1"/>
  <c r="H722" i="35"/>
  <c r="G722" i="35"/>
  <c r="D775" i="55" l="1"/>
  <c r="C775" i="55"/>
  <c r="I775" i="55"/>
  <c r="B776" i="55" s="1"/>
  <c r="H775" i="55"/>
  <c r="G775" i="55"/>
  <c r="G775" i="54"/>
  <c r="D775" i="54"/>
  <c r="C775" i="54"/>
  <c r="I775" i="54"/>
  <c r="B776" i="54" s="1"/>
  <c r="H775" i="54"/>
  <c r="G775" i="53"/>
  <c r="D775" i="53"/>
  <c r="C775" i="53"/>
  <c r="I775" i="53"/>
  <c r="B776" i="53" s="1"/>
  <c r="H775" i="53"/>
  <c r="G775" i="52"/>
  <c r="D775" i="52"/>
  <c r="C775" i="52"/>
  <c r="I775" i="52"/>
  <c r="B776" i="52" s="1"/>
  <c r="H775" i="52"/>
  <c r="D775" i="51"/>
  <c r="C775" i="51"/>
  <c r="I775" i="51"/>
  <c r="B776" i="51" s="1"/>
  <c r="H775" i="51"/>
  <c r="G775" i="51"/>
  <c r="C774" i="50"/>
  <c r="I774" i="50"/>
  <c r="B775" i="50" s="1"/>
  <c r="H774" i="50"/>
  <c r="G774" i="50"/>
  <c r="D774" i="50"/>
  <c r="C774" i="49"/>
  <c r="I774" i="49"/>
  <c r="B775" i="49" s="1"/>
  <c r="G774" i="49"/>
  <c r="H774" i="49"/>
  <c r="D774" i="49"/>
  <c r="C774" i="48"/>
  <c r="I774" i="48"/>
  <c r="B775" i="48" s="1"/>
  <c r="G774" i="48"/>
  <c r="D774" i="48"/>
  <c r="H774" i="48"/>
  <c r="H774" i="47"/>
  <c r="I774" i="47"/>
  <c r="B775" i="47" s="1"/>
  <c r="G774" i="47"/>
  <c r="D774" i="47"/>
  <c r="C774" i="47"/>
  <c r="G723" i="35"/>
  <c r="D723" i="35"/>
  <c r="I723" i="35"/>
  <c r="B724" i="35" s="1"/>
  <c r="H723" i="35"/>
  <c r="C723" i="35"/>
  <c r="H776" i="55" l="1"/>
  <c r="G776" i="55"/>
  <c r="D776" i="55"/>
  <c r="C776" i="55"/>
  <c r="I776" i="55"/>
  <c r="B777" i="55" s="1"/>
  <c r="I776" i="54"/>
  <c r="B777" i="54" s="1"/>
  <c r="H776" i="54"/>
  <c r="G776" i="54"/>
  <c r="D776" i="54"/>
  <c r="C776" i="54"/>
  <c r="I776" i="53"/>
  <c r="B777" i="53" s="1"/>
  <c r="H776" i="53"/>
  <c r="G776" i="53"/>
  <c r="D776" i="53"/>
  <c r="C776" i="53"/>
  <c r="I776" i="52"/>
  <c r="B777" i="52" s="1"/>
  <c r="H776" i="52"/>
  <c r="G776" i="52"/>
  <c r="D776" i="52"/>
  <c r="C776" i="52"/>
  <c r="H776" i="51"/>
  <c r="G776" i="51"/>
  <c r="D776" i="51"/>
  <c r="I776" i="51"/>
  <c r="B777" i="51" s="1"/>
  <c r="C776" i="51"/>
  <c r="G775" i="50"/>
  <c r="D775" i="50"/>
  <c r="C775" i="50"/>
  <c r="I775" i="50"/>
  <c r="B776" i="50" s="1"/>
  <c r="H775" i="50"/>
  <c r="G775" i="49"/>
  <c r="C775" i="49"/>
  <c r="I775" i="49"/>
  <c r="B776" i="49" s="1"/>
  <c r="D775" i="49"/>
  <c r="H775" i="49"/>
  <c r="G775" i="48"/>
  <c r="D775" i="48"/>
  <c r="C775" i="48"/>
  <c r="I775" i="48"/>
  <c r="B776" i="48" s="1"/>
  <c r="H775" i="48"/>
  <c r="D775" i="47"/>
  <c r="C775" i="47"/>
  <c r="I775" i="47"/>
  <c r="B776" i="47" s="1"/>
  <c r="H775" i="47"/>
  <c r="G775" i="47"/>
  <c r="I724" i="35"/>
  <c r="B725" i="35" s="1"/>
  <c r="H724" i="35"/>
  <c r="D724" i="35"/>
  <c r="G724" i="35"/>
  <c r="C724" i="35"/>
  <c r="I777" i="55" l="1"/>
  <c r="B778" i="55" s="1"/>
  <c r="H777" i="55"/>
  <c r="G777" i="55"/>
  <c r="C777" i="55"/>
  <c r="D777" i="55"/>
  <c r="I777" i="54"/>
  <c r="B778" i="54" s="1"/>
  <c r="H777" i="54"/>
  <c r="G777" i="54"/>
  <c r="D777" i="54"/>
  <c r="C777" i="54"/>
  <c r="I777" i="53"/>
  <c r="B778" i="53" s="1"/>
  <c r="H777" i="53"/>
  <c r="G777" i="53"/>
  <c r="C777" i="53"/>
  <c r="D777" i="53"/>
  <c r="I777" i="52"/>
  <c r="B778" i="52" s="1"/>
  <c r="H777" i="52"/>
  <c r="G777" i="52"/>
  <c r="D777" i="52"/>
  <c r="C777" i="52"/>
  <c r="I777" i="51"/>
  <c r="B778" i="51" s="1"/>
  <c r="H777" i="51"/>
  <c r="D777" i="51"/>
  <c r="C777" i="51"/>
  <c r="G777" i="51"/>
  <c r="I776" i="50"/>
  <c r="B777" i="50" s="1"/>
  <c r="H776" i="50"/>
  <c r="G776" i="50"/>
  <c r="D776" i="50"/>
  <c r="C776" i="50"/>
  <c r="I776" i="49"/>
  <c r="B777" i="49" s="1"/>
  <c r="G776" i="49"/>
  <c r="D776" i="49"/>
  <c r="C776" i="49"/>
  <c r="H776" i="49"/>
  <c r="I776" i="48"/>
  <c r="B777" i="48" s="1"/>
  <c r="H776" i="48"/>
  <c r="G776" i="48"/>
  <c r="D776" i="48"/>
  <c r="C776" i="48"/>
  <c r="H776" i="47"/>
  <c r="G776" i="47"/>
  <c r="D776" i="47"/>
  <c r="C776" i="47"/>
  <c r="I776" i="47"/>
  <c r="B777" i="47" s="1"/>
  <c r="C725" i="35"/>
  <c r="D725" i="35"/>
  <c r="G725" i="35"/>
  <c r="H725" i="35"/>
  <c r="I725" i="35"/>
  <c r="B726" i="35" s="1"/>
  <c r="I778" i="55" l="1"/>
  <c r="B779" i="55" s="1"/>
  <c r="G778" i="55"/>
  <c r="H778" i="55"/>
  <c r="D778" i="55"/>
  <c r="C778" i="55"/>
  <c r="C778" i="54"/>
  <c r="I778" i="54"/>
  <c r="B779" i="54" s="1"/>
  <c r="H778" i="54"/>
  <c r="G778" i="54"/>
  <c r="D778" i="54"/>
  <c r="C778" i="53"/>
  <c r="I778" i="53"/>
  <c r="B779" i="53" s="1"/>
  <c r="G778" i="53"/>
  <c r="H778" i="53"/>
  <c r="D778" i="53"/>
  <c r="C778" i="52"/>
  <c r="I778" i="52"/>
  <c r="B779" i="52" s="1"/>
  <c r="H778" i="52"/>
  <c r="G778" i="52"/>
  <c r="D778" i="52"/>
  <c r="H778" i="51"/>
  <c r="G778" i="51"/>
  <c r="I778" i="51"/>
  <c r="B779" i="51" s="1"/>
  <c r="D778" i="51"/>
  <c r="C778" i="51"/>
  <c r="I777" i="50"/>
  <c r="B778" i="50" s="1"/>
  <c r="H777" i="50"/>
  <c r="G777" i="50"/>
  <c r="D777" i="50"/>
  <c r="C777" i="50"/>
  <c r="I777" i="49"/>
  <c r="B778" i="49" s="1"/>
  <c r="H777" i="49"/>
  <c r="G777" i="49"/>
  <c r="C777" i="49"/>
  <c r="D777" i="49"/>
  <c r="I777" i="48"/>
  <c r="B778" i="48" s="1"/>
  <c r="H777" i="48"/>
  <c r="G777" i="48"/>
  <c r="C777" i="48"/>
  <c r="D777" i="48"/>
  <c r="I777" i="47"/>
  <c r="B778" i="47" s="1"/>
  <c r="H777" i="47"/>
  <c r="D777" i="47"/>
  <c r="G777" i="47"/>
  <c r="C777" i="47"/>
  <c r="D726" i="35"/>
  <c r="H726" i="35"/>
  <c r="C726" i="35"/>
  <c r="I726" i="35"/>
  <c r="B727" i="35" s="1"/>
  <c r="G726" i="35"/>
  <c r="D779" i="55" l="1"/>
  <c r="C779" i="55"/>
  <c r="I779" i="55"/>
  <c r="B780" i="55" s="1"/>
  <c r="H779" i="55"/>
  <c r="G779" i="55"/>
  <c r="G779" i="54"/>
  <c r="D779" i="54"/>
  <c r="C779" i="54"/>
  <c r="I779" i="54"/>
  <c r="B780" i="54" s="1"/>
  <c r="H779" i="54"/>
  <c r="G779" i="53"/>
  <c r="D779" i="53"/>
  <c r="C779" i="53"/>
  <c r="I779" i="53"/>
  <c r="B780" i="53" s="1"/>
  <c r="H779" i="53"/>
  <c r="G779" i="52"/>
  <c r="D779" i="52"/>
  <c r="C779" i="52"/>
  <c r="I779" i="52"/>
  <c r="B780" i="52" s="1"/>
  <c r="H779" i="52"/>
  <c r="D779" i="51"/>
  <c r="C779" i="51"/>
  <c r="I779" i="51"/>
  <c r="B780" i="51" s="1"/>
  <c r="H779" i="51"/>
  <c r="G779" i="51"/>
  <c r="C778" i="50"/>
  <c r="I778" i="50"/>
  <c r="B779" i="50" s="1"/>
  <c r="H778" i="50"/>
  <c r="G778" i="50"/>
  <c r="D778" i="50"/>
  <c r="C778" i="49"/>
  <c r="I778" i="49"/>
  <c r="B779" i="49" s="1"/>
  <c r="G778" i="49"/>
  <c r="H778" i="49"/>
  <c r="D778" i="49"/>
  <c r="C778" i="48"/>
  <c r="I778" i="48"/>
  <c r="B779" i="48" s="1"/>
  <c r="G778" i="48"/>
  <c r="D778" i="48"/>
  <c r="H778" i="48"/>
  <c r="H778" i="47"/>
  <c r="I778" i="47"/>
  <c r="B779" i="47" s="1"/>
  <c r="G778" i="47"/>
  <c r="D778" i="47"/>
  <c r="C778" i="47"/>
  <c r="G727" i="35"/>
  <c r="D727" i="35"/>
  <c r="C727" i="35"/>
  <c r="I727" i="35"/>
  <c r="B728" i="35" s="1"/>
  <c r="H727" i="35"/>
  <c r="H780" i="55" l="1"/>
  <c r="G780" i="55"/>
  <c r="D780" i="55"/>
  <c r="C780" i="55"/>
  <c r="I780" i="55"/>
  <c r="B781" i="55" s="1"/>
  <c r="I780" i="54"/>
  <c r="B781" i="54" s="1"/>
  <c r="H780" i="54"/>
  <c r="G780" i="54"/>
  <c r="D780" i="54"/>
  <c r="C780" i="54"/>
  <c r="I780" i="53"/>
  <c r="B781" i="53" s="1"/>
  <c r="H780" i="53"/>
  <c r="G780" i="53"/>
  <c r="D780" i="53"/>
  <c r="C780" i="53"/>
  <c r="I780" i="52"/>
  <c r="B781" i="52" s="1"/>
  <c r="H780" i="52"/>
  <c r="G780" i="52"/>
  <c r="D780" i="52"/>
  <c r="C780" i="52"/>
  <c r="H780" i="51"/>
  <c r="G780" i="51"/>
  <c r="D780" i="51"/>
  <c r="C780" i="51"/>
  <c r="I780" i="51"/>
  <c r="B781" i="51" s="1"/>
  <c r="G779" i="50"/>
  <c r="D779" i="50"/>
  <c r="C779" i="50"/>
  <c r="I779" i="50"/>
  <c r="B780" i="50" s="1"/>
  <c r="H779" i="50"/>
  <c r="G779" i="49"/>
  <c r="C779" i="49"/>
  <c r="I779" i="49"/>
  <c r="B780" i="49" s="1"/>
  <c r="H779" i="49"/>
  <c r="D779" i="49"/>
  <c r="G779" i="48"/>
  <c r="D779" i="48"/>
  <c r="C779" i="48"/>
  <c r="I779" i="48"/>
  <c r="B780" i="48" s="1"/>
  <c r="H779" i="48"/>
  <c r="D779" i="47"/>
  <c r="C779" i="47"/>
  <c r="I779" i="47"/>
  <c r="B780" i="47" s="1"/>
  <c r="H779" i="47"/>
  <c r="G779" i="47"/>
  <c r="C728" i="35"/>
  <c r="I728" i="35"/>
  <c r="B729" i="35" s="1"/>
  <c r="G728" i="35"/>
  <c r="D728" i="35"/>
  <c r="H728" i="35"/>
  <c r="I781" i="55" l="1"/>
  <c r="B782" i="55" s="1"/>
  <c r="H781" i="55"/>
  <c r="G781" i="55"/>
  <c r="C781" i="55"/>
  <c r="D781" i="55"/>
  <c r="I781" i="54"/>
  <c r="B782" i="54" s="1"/>
  <c r="H781" i="54"/>
  <c r="G781" i="54"/>
  <c r="D781" i="54"/>
  <c r="C781" i="54"/>
  <c r="I781" i="53"/>
  <c r="B782" i="53" s="1"/>
  <c r="H781" i="53"/>
  <c r="G781" i="53"/>
  <c r="C781" i="53"/>
  <c r="D781" i="53"/>
  <c r="I781" i="52"/>
  <c r="B782" i="52" s="1"/>
  <c r="H781" i="52"/>
  <c r="G781" i="52"/>
  <c r="D781" i="52"/>
  <c r="C781" i="52"/>
  <c r="I781" i="51"/>
  <c r="B782" i="51" s="1"/>
  <c r="H781" i="51"/>
  <c r="D781" i="51"/>
  <c r="C781" i="51"/>
  <c r="G781" i="51"/>
  <c r="I780" i="50"/>
  <c r="B781" i="50" s="1"/>
  <c r="H780" i="50"/>
  <c r="G780" i="50"/>
  <c r="D780" i="50"/>
  <c r="C780" i="50"/>
  <c r="I780" i="49"/>
  <c r="B781" i="49" s="1"/>
  <c r="G780" i="49"/>
  <c r="D780" i="49"/>
  <c r="C780" i="49"/>
  <c r="H780" i="49"/>
  <c r="I780" i="48"/>
  <c r="B781" i="48" s="1"/>
  <c r="H780" i="48"/>
  <c r="G780" i="48"/>
  <c r="D780" i="48"/>
  <c r="C780" i="48"/>
  <c r="H780" i="47"/>
  <c r="G780" i="47"/>
  <c r="D780" i="47"/>
  <c r="C780" i="47"/>
  <c r="I780" i="47"/>
  <c r="B781" i="47" s="1"/>
  <c r="C729" i="35"/>
  <c r="G729" i="35"/>
  <c r="H729" i="35"/>
  <c r="I729" i="35"/>
  <c r="B730" i="35" s="1"/>
  <c r="D729" i="35"/>
  <c r="I782" i="55" l="1"/>
  <c r="B783" i="55" s="1"/>
  <c r="G782" i="55"/>
  <c r="H782" i="55"/>
  <c r="D782" i="55"/>
  <c r="C782" i="55"/>
  <c r="C782" i="54"/>
  <c r="I782" i="54"/>
  <c r="B783" i="54" s="1"/>
  <c r="H782" i="54"/>
  <c r="G782" i="54"/>
  <c r="D782" i="54"/>
  <c r="C782" i="53"/>
  <c r="I782" i="53"/>
  <c r="B783" i="53" s="1"/>
  <c r="G782" i="53"/>
  <c r="D782" i="53"/>
  <c r="H782" i="53"/>
  <c r="C782" i="52"/>
  <c r="I782" i="52"/>
  <c r="B783" i="52" s="1"/>
  <c r="H782" i="52"/>
  <c r="G782" i="52"/>
  <c r="D782" i="52"/>
  <c r="H782" i="51"/>
  <c r="G782" i="51"/>
  <c r="I782" i="51"/>
  <c r="B783" i="51" s="1"/>
  <c r="D782" i="51"/>
  <c r="C782" i="51"/>
  <c r="I781" i="50"/>
  <c r="B782" i="50" s="1"/>
  <c r="H781" i="50"/>
  <c r="G781" i="50"/>
  <c r="D781" i="50"/>
  <c r="C781" i="50"/>
  <c r="I781" i="49"/>
  <c r="B782" i="49" s="1"/>
  <c r="H781" i="49"/>
  <c r="G781" i="49"/>
  <c r="C781" i="49"/>
  <c r="D781" i="49"/>
  <c r="I781" i="48"/>
  <c r="B782" i="48" s="1"/>
  <c r="H781" i="48"/>
  <c r="G781" i="48"/>
  <c r="C781" i="48"/>
  <c r="D781" i="48"/>
  <c r="I781" i="47"/>
  <c r="B782" i="47" s="1"/>
  <c r="H781" i="47"/>
  <c r="D781" i="47"/>
  <c r="G781" i="47"/>
  <c r="C781" i="47"/>
  <c r="I730" i="35"/>
  <c r="B731" i="35" s="1"/>
  <c r="D730" i="35"/>
  <c r="G730" i="35"/>
  <c r="H730" i="35"/>
  <c r="C730" i="35"/>
  <c r="D783" i="55" l="1"/>
  <c r="C783" i="55"/>
  <c r="I783" i="55"/>
  <c r="B784" i="55" s="1"/>
  <c r="H783" i="55"/>
  <c r="G783" i="55"/>
  <c r="G783" i="54"/>
  <c r="D783" i="54"/>
  <c r="C783" i="54"/>
  <c r="I783" i="54"/>
  <c r="B784" i="54" s="1"/>
  <c r="H783" i="54"/>
  <c r="G783" i="53"/>
  <c r="D783" i="53"/>
  <c r="C783" i="53"/>
  <c r="I783" i="53"/>
  <c r="B784" i="53" s="1"/>
  <c r="H783" i="53"/>
  <c r="G783" i="52"/>
  <c r="D783" i="52"/>
  <c r="C783" i="52"/>
  <c r="I783" i="52"/>
  <c r="B784" i="52" s="1"/>
  <c r="H783" i="52"/>
  <c r="D783" i="51"/>
  <c r="C783" i="51"/>
  <c r="I783" i="51"/>
  <c r="B784" i="51" s="1"/>
  <c r="H783" i="51"/>
  <c r="G783" i="51"/>
  <c r="C782" i="50"/>
  <c r="I782" i="50"/>
  <c r="B783" i="50" s="1"/>
  <c r="H782" i="50"/>
  <c r="G782" i="50"/>
  <c r="D782" i="50"/>
  <c r="C782" i="49"/>
  <c r="I782" i="49"/>
  <c r="B783" i="49" s="1"/>
  <c r="G782" i="49"/>
  <c r="D782" i="49"/>
  <c r="H782" i="49"/>
  <c r="C782" i="48"/>
  <c r="I782" i="48"/>
  <c r="B783" i="48" s="1"/>
  <c r="G782" i="48"/>
  <c r="D782" i="48"/>
  <c r="H782" i="48"/>
  <c r="H782" i="47"/>
  <c r="I782" i="47"/>
  <c r="B783" i="47" s="1"/>
  <c r="G782" i="47"/>
  <c r="D782" i="47"/>
  <c r="C782" i="47"/>
  <c r="H731" i="35"/>
  <c r="G731" i="35"/>
  <c r="C731" i="35"/>
  <c r="I731" i="35"/>
  <c r="B732" i="35" s="1"/>
  <c r="D731" i="35"/>
  <c r="H784" i="55" l="1"/>
  <c r="G784" i="55"/>
  <c r="D784" i="55"/>
  <c r="C784" i="55"/>
  <c r="I784" i="55"/>
  <c r="B785" i="55" s="1"/>
  <c r="I784" i="54"/>
  <c r="B785" i="54" s="1"/>
  <c r="H784" i="54"/>
  <c r="G784" i="54"/>
  <c r="D784" i="54"/>
  <c r="C784" i="54"/>
  <c r="I784" i="53"/>
  <c r="B785" i="53" s="1"/>
  <c r="H784" i="53"/>
  <c r="G784" i="53"/>
  <c r="D784" i="53"/>
  <c r="C784" i="53"/>
  <c r="I784" i="52"/>
  <c r="B785" i="52" s="1"/>
  <c r="H784" i="52"/>
  <c r="G784" i="52"/>
  <c r="D784" i="52"/>
  <c r="C784" i="52"/>
  <c r="H784" i="51"/>
  <c r="G784" i="51"/>
  <c r="D784" i="51"/>
  <c r="I784" i="51"/>
  <c r="B785" i="51" s="1"/>
  <c r="C784" i="51"/>
  <c r="G783" i="50"/>
  <c r="D783" i="50"/>
  <c r="C783" i="50"/>
  <c r="I783" i="50"/>
  <c r="B784" i="50" s="1"/>
  <c r="H783" i="50"/>
  <c r="G783" i="49"/>
  <c r="C783" i="49"/>
  <c r="I783" i="49"/>
  <c r="B784" i="49" s="1"/>
  <c r="D783" i="49"/>
  <c r="H783" i="49"/>
  <c r="G783" i="48"/>
  <c r="D783" i="48"/>
  <c r="C783" i="48"/>
  <c r="I783" i="48"/>
  <c r="B784" i="48" s="1"/>
  <c r="H783" i="48"/>
  <c r="D783" i="47"/>
  <c r="C783" i="47"/>
  <c r="I783" i="47"/>
  <c r="B784" i="47" s="1"/>
  <c r="H783" i="47"/>
  <c r="G783" i="47"/>
  <c r="I732" i="35"/>
  <c r="B733" i="35" s="1"/>
  <c r="D732" i="35"/>
  <c r="C732" i="35"/>
  <c r="H732" i="35"/>
  <c r="G732" i="35"/>
  <c r="I785" i="55" l="1"/>
  <c r="B786" i="55" s="1"/>
  <c r="H785" i="55"/>
  <c r="G785" i="55"/>
  <c r="C785" i="55"/>
  <c r="D785" i="55"/>
  <c r="I785" i="54"/>
  <c r="B786" i="54" s="1"/>
  <c r="H785" i="54"/>
  <c r="G785" i="54"/>
  <c r="D785" i="54"/>
  <c r="C785" i="54"/>
  <c r="I785" i="53"/>
  <c r="B786" i="53" s="1"/>
  <c r="H785" i="53"/>
  <c r="G785" i="53"/>
  <c r="C785" i="53"/>
  <c r="D785" i="53"/>
  <c r="I785" i="52"/>
  <c r="B786" i="52" s="1"/>
  <c r="H785" i="52"/>
  <c r="G785" i="52"/>
  <c r="D785" i="52"/>
  <c r="C785" i="52"/>
  <c r="I785" i="51"/>
  <c r="B786" i="51" s="1"/>
  <c r="H785" i="51"/>
  <c r="D785" i="51"/>
  <c r="C785" i="51"/>
  <c r="G785" i="51"/>
  <c r="I784" i="50"/>
  <c r="B785" i="50" s="1"/>
  <c r="H784" i="50"/>
  <c r="G784" i="50"/>
  <c r="D784" i="50"/>
  <c r="C784" i="50"/>
  <c r="I784" i="49"/>
  <c r="B785" i="49" s="1"/>
  <c r="G784" i="49"/>
  <c r="D784" i="49"/>
  <c r="C784" i="49"/>
  <c r="H784" i="49"/>
  <c r="I784" i="48"/>
  <c r="B785" i="48" s="1"/>
  <c r="H784" i="48"/>
  <c r="G784" i="48"/>
  <c r="D784" i="48"/>
  <c r="C784" i="48"/>
  <c r="H784" i="47"/>
  <c r="G784" i="47"/>
  <c r="D784" i="47"/>
  <c r="C784" i="47"/>
  <c r="I784" i="47"/>
  <c r="B785" i="47" s="1"/>
  <c r="C733" i="35"/>
  <c r="G733" i="35"/>
  <c r="H733" i="35"/>
  <c r="I733" i="35"/>
  <c r="B734" i="35" s="1"/>
  <c r="D733" i="35"/>
  <c r="I786" i="55" l="1"/>
  <c r="B787" i="55" s="1"/>
  <c r="G786" i="55"/>
  <c r="H786" i="55"/>
  <c r="D786" i="55"/>
  <c r="C786" i="55"/>
  <c r="C786" i="54"/>
  <c r="I786" i="54"/>
  <c r="B787" i="54" s="1"/>
  <c r="H786" i="54"/>
  <c r="G786" i="54"/>
  <c r="D786" i="54"/>
  <c r="C786" i="53"/>
  <c r="I786" i="53"/>
  <c r="B787" i="53" s="1"/>
  <c r="G786" i="53"/>
  <c r="H786" i="53"/>
  <c r="D786" i="53"/>
  <c r="C786" i="52"/>
  <c r="I786" i="52"/>
  <c r="B787" i="52" s="1"/>
  <c r="H786" i="52"/>
  <c r="G786" i="52"/>
  <c r="D786" i="52"/>
  <c r="H786" i="51"/>
  <c r="G786" i="51"/>
  <c r="I786" i="51"/>
  <c r="B787" i="51" s="1"/>
  <c r="D786" i="51"/>
  <c r="C786" i="51"/>
  <c r="I785" i="50"/>
  <c r="B786" i="50" s="1"/>
  <c r="H785" i="50"/>
  <c r="G785" i="50"/>
  <c r="D785" i="50"/>
  <c r="C785" i="50"/>
  <c r="I785" i="49"/>
  <c r="B786" i="49" s="1"/>
  <c r="H785" i="49"/>
  <c r="G785" i="49"/>
  <c r="C785" i="49"/>
  <c r="D785" i="49"/>
  <c r="I785" i="48"/>
  <c r="B786" i="48" s="1"/>
  <c r="H785" i="48"/>
  <c r="G785" i="48"/>
  <c r="C785" i="48"/>
  <c r="D785" i="48"/>
  <c r="I785" i="47"/>
  <c r="B786" i="47" s="1"/>
  <c r="H785" i="47"/>
  <c r="D785" i="47"/>
  <c r="G785" i="47"/>
  <c r="C785" i="47"/>
  <c r="D734" i="35"/>
  <c r="G734" i="35"/>
  <c r="C734" i="35"/>
  <c r="I734" i="35"/>
  <c r="B735" i="35" s="1"/>
  <c r="H734" i="35"/>
  <c r="D787" i="55" l="1"/>
  <c r="C787" i="55"/>
  <c r="I787" i="55"/>
  <c r="B788" i="55" s="1"/>
  <c r="G787" i="55"/>
  <c r="H787" i="55"/>
  <c r="G787" i="54"/>
  <c r="D787" i="54"/>
  <c r="C787" i="54"/>
  <c r="I787" i="54"/>
  <c r="B788" i="54" s="1"/>
  <c r="H787" i="54"/>
  <c r="G787" i="53"/>
  <c r="D787" i="53"/>
  <c r="C787" i="53"/>
  <c r="I787" i="53"/>
  <c r="B788" i="53" s="1"/>
  <c r="H787" i="53"/>
  <c r="G787" i="52"/>
  <c r="D787" i="52"/>
  <c r="C787" i="52"/>
  <c r="I787" i="52"/>
  <c r="B788" i="52" s="1"/>
  <c r="H787" i="52"/>
  <c r="D787" i="51"/>
  <c r="C787" i="51"/>
  <c r="I787" i="51"/>
  <c r="B788" i="51" s="1"/>
  <c r="G787" i="51"/>
  <c r="H787" i="51"/>
  <c r="C786" i="50"/>
  <c r="I786" i="50"/>
  <c r="B787" i="50" s="1"/>
  <c r="H786" i="50"/>
  <c r="G786" i="50"/>
  <c r="D786" i="50"/>
  <c r="C786" i="49"/>
  <c r="I786" i="49"/>
  <c r="B787" i="49" s="1"/>
  <c r="G786" i="49"/>
  <c r="H786" i="49"/>
  <c r="D786" i="49"/>
  <c r="C786" i="48"/>
  <c r="I786" i="48"/>
  <c r="B787" i="48" s="1"/>
  <c r="G786" i="48"/>
  <c r="D786" i="48"/>
  <c r="H786" i="48"/>
  <c r="H786" i="47"/>
  <c r="I786" i="47"/>
  <c r="B787" i="47" s="1"/>
  <c r="G786" i="47"/>
  <c r="D786" i="47"/>
  <c r="C786" i="47"/>
  <c r="G735" i="35"/>
  <c r="H735" i="35"/>
  <c r="I735" i="35"/>
  <c r="B736" i="35" s="1"/>
  <c r="C735" i="35"/>
  <c r="D735" i="35"/>
  <c r="H788" i="55" l="1"/>
  <c r="G788" i="55"/>
  <c r="D788" i="55"/>
  <c r="C788" i="55"/>
  <c r="I788" i="55"/>
  <c r="B789" i="55" s="1"/>
  <c r="I788" i="54"/>
  <c r="B789" i="54" s="1"/>
  <c r="H788" i="54"/>
  <c r="G788" i="54"/>
  <c r="D788" i="54"/>
  <c r="C788" i="54"/>
  <c r="I788" i="53"/>
  <c r="B789" i="53" s="1"/>
  <c r="H788" i="53"/>
  <c r="G788" i="53"/>
  <c r="D788" i="53"/>
  <c r="C788" i="53"/>
  <c r="I788" i="52"/>
  <c r="B789" i="52" s="1"/>
  <c r="H788" i="52"/>
  <c r="G788" i="52"/>
  <c r="D788" i="52"/>
  <c r="C788" i="52"/>
  <c r="H788" i="51"/>
  <c r="G788" i="51"/>
  <c r="D788" i="51"/>
  <c r="I788" i="51"/>
  <c r="B789" i="51" s="1"/>
  <c r="C788" i="51"/>
  <c r="G787" i="50"/>
  <c r="D787" i="50"/>
  <c r="C787" i="50"/>
  <c r="I787" i="50"/>
  <c r="B788" i="50" s="1"/>
  <c r="H787" i="50"/>
  <c r="G787" i="49"/>
  <c r="C787" i="49"/>
  <c r="I787" i="49"/>
  <c r="B788" i="49" s="1"/>
  <c r="H787" i="49"/>
  <c r="D787" i="49"/>
  <c r="G787" i="48"/>
  <c r="D787" i="48"/>
  <c r="C787" i="48"/>
  <c r="I787" i="48"/>
  <c r="B788" i="48" s="1"/>
  <c r="H787" i="48"/>
  <c r="D787" i="47"/>
  <c r="C787" i="47"/>
  <c r="I787" i="47"/>
  <c r="B788" i="47" s="1"/>
  <c r="H787" i="47"/>
  <c r="G787" i="47"/>
  <c r="I736" i="35"/>
  <c r="B737" i="35" s="1"/>
  <c r="C736" i="35"/>
  <c r="G736" i="35"/>
  <c r="D736" i="35"/>
  <c r="H736" i="35"/>
  <c r="I789" i="55" l="1"/>
  <c r="B790" i="55" s="1"/>
  <c r="H789" i="55"/>
  <c r="G789" i="55"/>
  <c r="C789" i="55"/>
  <c r="D789" i="55"/>
  <c r="I789" i="54"/>
  <c r="B790" i="54" s="1"/>
  <c r="H789" i="54"/>
  <c r="G789" i="54"/>
  <c r="D789" i="54"/>
  <c r="C789" i="54"/>
  <c r="I789" i="53"/>
  <c r="B790" i="53" s="1"/>
  <c r="H789" i="53"/>
  <c r="G789" i="53"/>
  <c r="C789" i="53"/>
  <c r="D789" i="53"/>
  <c r="I789" i="52"/>
  <c r="B790" i="52" s="1"/>
  <c r="H789" i="52"/>
  <c r="G789" i="52"/>
  <c r="D789" i="52"/>
  <c r="C789" i="52"/>
  <c r="I789" i="51"/>
  <c r="B790" i="51" s="1"/>
  <c r="H789" i="51"/>
  <c r="D789" i="51"/>
  <c r="C789" i="51"/>
  <c r="G789" i="51"/>
  <c r="I788" i="50"/>
  <c r="B789" i="50" s="1"/>
  <c r="H788" i="50"/>
  <c r="G788" i="50"/>
  <c r="D788" i="50"/>
  <c r="C788" i="50"/>
  <c r="I788" i="49"/>
  <c r="B789" i="49" s="1"/>
  <c r="G788" i="49"/>
  <c r="D788" i="49"/>
  <c r="C788" i="49"/>
  <c r="H788" i="49"/>
  <c r="I788" i="48"/>
  <c r="B789" i="48" s="1"/>
  <c r="H788" i="48"/>
  <c r="G788" i="48"/>
  <c r="D788" i="48"/>
  <c r="C788" i="48"/>
  <c r="H788" i="47"/>
  <c r="G788" i="47"/>
  <c r="D788" i="47"/>
  <c r="C788" i="47"/>
  <c r="I788" i="47"/>
  <c r="B789" i="47" s="1"/>
  <c r="C737" i="35"/>
  <c r="G737" i="35"/>
  <c r="D737" i="35"/>
  <c r="H737" i="35"/>
  <c r="I737" i="35"/>
  <c r="B738" i="35" s="1"/>
  <c r="I790" i="55" l="1"/>
  <c r="B791" i="55" s="1"/>
  <c r="G790" i="55"/>
  <c r="H790" i="55"/>
  <c r="D790" i="55"/>
  <c r="C790" i="55"/>
  <c r="C790" i="54"/>
  <c r="I790" i="54"/>
  <c r="B791" i="54" s="1"/>
  <c r="H790" i="54"/>
  <c r="G790" i="54"/>
  <c r="D790" i="54"/>
  <c r="C790" i="53"/>
  <c r="I790" i="53"/>
  <c r="B791" i="53" s="1"/>
  <c r="G790" i="53"/>
  <c r="D790" i="53"/>
  <c r="H790" i="53"/>
  <c r="C790" i="52"/>
  <c r="I790" i="52"/>
  <c r="B791" i="52" s="1"/>
  <c r="H790" i="52"/>
  <c r="G790" i="52"/>
  <c r="D790" i="52"/>
  <c r="H790" i="51"/>
  <c r="G790" i="51"/>
  <c r="I790" i="51"/>
  <c r="B791" i="51" s="1"/>
  <c r="D790" i="51"/>
  <c r="C790" i="51"/>
  <c r="I789" i="50"/>
  <c r="B790" i="50" s="1"/>
  <c r="H789" i="50"/>
  <c r="G789" i="50"/>
  <c r="D789" i="50"/>
  <c r="C789" i="50"/>
  <c r="I789" i="49"/>
  <c r="B790" i="49" s="1"/>
  <c r="H789" i="49"/>
  <c r="G789" i="49"/>
  <c r="C789" i="49"/>
  <c r="D789" i="49"/>
  <c r="I789" i="48"/>
  <c r="B790" i="48" s="1"/>
  <c r="H789" i="48"/>
  <c r="G789" i="48"/>
  <c r="C789" i="48"/>
  <c r="D789" i="48"/>
  <c r="I789" i="47"/>
  <c r="B790" i="47" s="1"/>
  <c r="H789" i="47"/>
  <c r="D789" i="47"/>
  <c r="G789" i="47"/>
  <c r="C789" i="47"/>
  <c r="D738" i="35"/>
  <c r="C738" i="35"/>
  <c r="H738" i="35"/>
  <c r="G738" i="35"/>
  <c r="I738" i="35"/>
  <c r="B739" i="35" s="1"/>
  <c r="D791" i="55" l="1"/>
  <c r="C791" i="55"/>
  <c r="I791" i="55"/>
  <c r="B792" i="55" s="1"/>
  <c r="H791" i="55"/>
  <c r="G791" i="55"/>
  <c r="G791" i="54"/>
  <c r="D791" i="54"/>
  <c r="C791" i="54"/>
  <c r="I791" i="54"/>
  <c r="B792" i="54" s="1"/>
  <c r="H791" i="54"/>
  <c r="G791" i="53"/>
  <c r="D791" i="53"/>
  <c r="C791" i="53"/>
  <c r="I791" i="53"/>
  <c r="B792" i="53" s="1"/>
  <c r="H791" i="53"/>
  <c r="G791" i="52"/>
  <c r="D791" i="52"/>
  <c r="C791" i="52"/>
  <c r="I791" i="52"/>
  <c r="B792" i="52" s="1"/>
  <c r="H791" i="52"/>
  <c r="D791" i="51"/>
  <c r="C791" i="51"/>
  <c r="I791" i="51"/>
  <c r="B792" i="51" s="1"/>
  <c r="H791" i="51"/>
  <c r="G791" i="51"/>
  <c r="C790" i="50"/>
  <c r="I790" i="50"/>
  <c r="B791" i="50" s="1"/>
  <c r="H790" i="50"/>
  <c r="G790" i="50"/>
  <c r="D790" i="50"/>
  <c r="C790" i="49"/>
  <c r="I790" i="49"/>
  <c r="B791" i="49" s="1"/>
  <c r="G790" i="49"/>
  <c r="D790" i="49"/>
  <c r="H790" i="49"/>
  <c r="C790" i="48"/>
  <c r="I790" i="48"/>
  <c r="B791" i="48" s="1"/>
  <c r="G790" i="48"/>
  <c r="D790" i="48"/>
  <c r="H790" i="48"/>
  <c r="H790" i="47"/>
  <c r="I790" i="47"/>
  <c r="B791" i="47" s="1"/>
  <c r="G790" i="47"/>
  <c r="D790" i="47"/>
  <c r="C790" i="47"/>
  <c r="H739" i="35"/>
  <c r="G739" i="35"/>
  <c r="D739" i="35"/>
  <c r="I739" i="35"/>
  <c r="B740" i="35" s="1"/>
  <c r="C739" i="35"/>
  <c r="H792" i="55" l="1"/>
  <c r="G792" i="55"/>
  <c r="D792" i="55"/>
  <c r="C792" i="55"/>
  <c r="I792" i="55"/>
  <c r="B793" i="55" s="1"/>
  <c r="I792" i="54"/>
  <c r="B793" i="54" s="1"/>
  <c r="H792" i="54"/>
  <c r="G792" i="54"/>
  <c r="D792" i="54"/>
  <c r="C792" i="54"/>
  <c r="I792" i="53"/>
  <c r="B793" i="53" s="1"/>
  <c r="H792" i="53"/>
  <c r="G792" i="53"/>
  <c r="D792" i="53"/>
  <c r="C792" i="53"/>
  <c r="I792" i="52"/>
  <c r="B793" i="52" s="1"/>
  <c r="H792" i="52"/>
  <c r="G792" i="52"/>
  <c r="D792" i="52"/>
  <c r="C792" i="52"/>
  <c r="H792" i="51"/>
  <c r="G792" i="51"/>
  <c r="D792" i="51"/>
  <c r="I792" i="51"/>
  <c r="B793" i="51" s="1"/>
  <c r="C792" i="51"/>
  <c r="G791" i="50"/>
  <c r="D791" i="50"/>
  <c r="C791" i="50"/>
  <c r="I791" i="50"/>
  <c r="B792" i="50" s="1"/>
  <c r="H791" i="50"/>
  <c r="G791" i="49"/>
  <c r="C791" i="49"/>
  <c r="I791" i="49"/>
  <c r="B792" i="49" s="1"/>
  <c r="H791" i="49"/>
  <c r="D791" i="49"/>
  <c r="G791" i="48"/>
  <c r="D791" i="48"/>
  <c r="C791" i="48"/>
  <c r="I791" i="48"/>
  <c r="B792" i="48" s="1"/>
  <c r="H791" i="48"/>
  <c r="D791" i="47"/>
  <c r="C791" i="47"/>
  <c r="I791" i="47"/>
  <c r="B792" i="47" s="1"/>
  <c r="H791" i="47"/>
  <c r="G791" i="47"/>
  <c r="I740" i="35"/>
  <c r="B741" i="35" s="1"/>
  <c r="C740" i="35"/>
  <c r="G740" i="35"/>
  <c r="D740" i="35"/>
  <c r="H740" i="35"/>
  <c r="I793" i="55" l="1"/>
  <c r="B794" i="55" s="1"/>
  <c r="H793" i="55"/>
  <c r="G793" i="55"/>
  <c r="C793" i="55"/>
  <c r="D793" i="55"/>
  <c r="I793" i="54"/>
  <c r="B794" i="54" s="1"/>
  <c r="H793" i="54"/>
  <c r="G793" i="54"/>
  <c r="D793" i="54"/>
  <c r="C793" i="54"/>
  <c r="I793" i="53"/>
  <c r="B794" i="53" s="1"/>
  <c r="H793" i="53"/>
  <c r="G793" i="53"/>
  <c r="C793" i="53"/>
  <c r="D793" i="53"/>
  <c r="I793" i="52"/>
  <c r="B794" i="52" s="1"/>
  <c r="H793" i="52"/>
  <c r="G793" i="52"/>
  <c r="D793" i="52"/>
  <c r="C793" i="52"/>
  <c r="I793" i="51"/>
  <c r="B794" i="51" s="1"/>
  <c r="H793" i="51"/>
  <c r="D793" i="51"/>
  <c r="C793" i="51"/>
  <c r="G793" i="51"/>
  <c r="I792" i="50"/>
  <c r="B793" i="50" s="1"/>
  <c r="H792" i="50"/>
  <c r="G792" i="50"/>
  <c r="D792" i="50"/>
  <c r="C792" i="50"/>
  <c r="I792" i="49"/>
  <c r="B793" i="49" s="1"/>
  <c r="G792" i="49"/>
  <c r="D792" i="49"/>
  <c r="C792" i="49"/>
  <c r="H792" i="49"/>
  <c r="I792" i="48"/>
  <c r="B793" i="48" s="1"/>
  <c r="H792" i="48"/>
  <c r="G792" i="48"/>
  <c r="D792" i="48"/>
  <c r="C792" i="48"/>
  <c r="H792" i="47"/>
  <c r="G792" i="47"/>
  <c r="D792" i="47"/>
  <c r="C792" i="47"/>
  <c r="I792" i="47"/>
  <c r="B793" i="47" s="1"/>
  <c r="C741" i="35"/>
  <c r="G741" i="35"/>
  <c r="H741" i="35"/>
  <c r="I741" i="35"/>
  <c r="B742" i="35" s="1"/>
  <c r="D741" i="35"/>
  <c r="I794" i="55" l="1"/>
  <c r="B795" i="55" s="1"/>
  <c r="G794" i="55"/>
  <c r="D794" i="55"/>
  <c r="C794" i="55"/>
  <c r="H794" i="55"/>
  <c r="C794" i="54"/>
  <c r="I794" i="54"/>
  <c r="B795" i="54" s="1"/>
  <c r="H794" i="54"/>
  <c r="G794" i="54"/>
  <c r="D794" i="54"/>
  <c r="C794" i="53"/>
  <c r="I794" i="53"/>
  <c r="B795" i="53" s="1"/>
  <c r="G794" i="53"/>
  <c r="H794" i="53"/>
  <c r="D794" i="53"/>
  <c r="C794" i="52"/>
  <c r="I794" i="52"/>
  <c r="B795" i="52" s="1"/>
  <c r="H794" i="52"/>
  <c r="G794" i="52"/>
  <c r="D794" i="52"/>
  <c r="H794" i="51"/>
  <c r="G794" i="51"/>
  <c r="D794" i="51"/>
  <c r="C794" i="51"/>
  <c r="I794" i="51"/>
  <c r="B795" i="51" s="1"/>
  <c r="I793" i="50"/>
  <c r="B794" i="50" s="1"/>
  <c r="H793" i="50"/>
  <c r="G793" i="50"/>
  <c r="D793" i="50"/>
  <c r="C793" i="50"/>
  <c r="I793" i="49"/>
  <c r="B794" i="49" s="1"/>
  <c r="H793" i="49"/>
  <c r="G793" i="49"/>
  <c r="C793" i="49"/>
  <c r="D793" i="49"/>
  <c r="I793" i="48"/>
  <c r="B794" i="48" s="1"/>
  <c r="H793" i="48"/>
  <c r="G793" i="48"/>
  <c r="C793" i="48"/>
  <c r="D793" i="48"/>
  <c r="I793" i="47"/>
  <c r="B794" i="47" s="1"/>
  <c r="H793" i="47"/>
  <c r="D793" i="47"/>
  <c r="G793" i="47"/>
  <c r="C793" i="47"/>
  <c r="I742" i="35"/>
  <c r="B743" i="35" s="1"/>
  <c r="C742" i="35"/>
  <c r="H742" i="35"/>
  <c r="G742" i="35"/>
  <c r="D742" i="35"/>
  <c r="D795" i="55" l="1"/>
  <c r="C795" i="55"/>
  <c r="I795" i="55"/>
  <c r="B796" i="55" s="1"/>
  <c r="H795" i="55"/>
  <c r="G795" i="55"/>
  <c r="G795" i="54"/>
  <c r="D795" i="54"/>
  <c r="C795" i="54"/>
  <c r="I795" i="54"/>
  <c r="B796" i="54" s="1"/>
  <c r="H795" i="54"/>
  <c r="G795" i="53"/>
  <c r="D795" i="53"/>
  <c r="C795" i="53"/>
  <c r="I795" i="53"/>
  <c r="B796" i="53" s="1"/>
  <c r="H795" i="53"/>
  <c r="G795" i="52"/>
  <c r="D795" i="52"/>
  <c r="C795" i="52"/>
  <c r="I795" i="52"/>
  <c r="B796" i="52" s="1"/>
  <c r="H795" i="52"/>
  <c r="D795" i="51"/>
  <c r="C795" i="51"/>
  <c r="I795" i="51"/>
  <c r="B796" i="51" s="1"/>
  <c r="H795" i="51"/>
  <c r="G795" i="51"/>
  <c r="C794" i="50"/>
  <c r="I794" i="50"/>
  <c r="B795" i="50" s="1"/>
  <c r="H794" i="50"/>
  <c r="G794" i="50"/>
  <c r="D794" i="50"/>
  <c r="C794" i="49"/>
  <c r="I794" i="49"/>
  <c r="B795" i="49" s="1"/>
  <c r="G794" i="49"/>
  <c r="H794" i="49"/>
  <c r="D794" i="49"/>
  <c r="C794" i="48"/>
  <c r="I794" i="48"/>
  <c r="B795" i="48" s="1"/>
  <c r="G794" i="48"/>
  <c r="D794" i="48"/>
  <c r="H794" i="48"/>
  <c r="H794" i="47"/>
  <c r="I794" i="47"/>
  <c r="B795" i="47" s="1"/>
  <c r="G794" i="47"/>
  <c r="D794" i="47"/>
  <c r="C794" i="47"/>
  <c r="H743" i="35"/>
  <c r="G743" i="35"/>
  <c r="I743" i="35"/>
  <c r="B744" i="35" s="1"/>
  <c r="D743" i="35"/>
  <c r="C743" i="35"/>
  <c r="H796" i="55" l="1"/>
  <c r="G796" i="55"/>
  <c r="D796" i="55"/>
  <c r="C796" i="55"/>
  <c r="I796" i="55"/>
  <c r="B797" i="55" s="1"/>
  <c r="I796" i="54"/>
  <c r="B797" i="54" s="1"/>
  <c r="H796" i="54"/>
  <c r="G796" i="54"/>
  <c r="D796" i="54"/>
  <c r="C796" i="54"/>
  <c r="I796" i="53"/>
  <c r="B797" i="53" s="1"/>
  <c r="H796" i="53"/>
  <c r="G796" i="53"/>
  <c r="D796" i="53"/>
  <c r="C796" i="53"/>
  <c r="I796" i="52"/>
  <c r="B797" i="52" s="1"/>
  <c r="H796" i="52"/>
  <c r="G796" i="52"/>
  <c r="D796" i="52"/>
  <c r="C796" i="52"/>
  <c r="H796" i="51"/>
  <c r="G796" i="51"/>
  <c r="D796" i="51"/>
  <c r="I796" i="51"/>
  <c r="B797" i="51" s="1"/>
  <c r="C796" i="51"/>
  <c r="G795" i="50"/>
  <c r="D795" i="50"/>
  <c r="C795" i="50"/>
  <c r="I795" i="50"/>
  <c r="B796" i="50" s="1"/>
  <c r="H795" i="50"/>
  <c r="G795" i="49"/>
  <c r="C795" i="49"/>
  <c r="I795" i="49"/>
  <c r="B796" i="49" s="1"/>
  <c r="H795" i="49"/>
  <c r="D795" i="49"/>
  <c r="G795" i="48"/>
  <c r="D795" i="48"/>
  <c r="C795" i="48"/>
  <c r="I795" i="48"/>
  <c r="B796" i="48" s="1"/>
  <c r="H795" i="48"/>
  <c r="D795" i="47"/>
  <c r="C795" i="47"/>
  <c r="I795" i="47"/>
  <c r="B796" i="47" s="1"/>
  <c r="H795" i="47"/>
  <c r="G795" i="47"/>
  <c r="C744" i="35"/>
  <c r="I744" i="35"/>
  <c r="B745" i="35" s="1"/>
  <c r="H744" i="35"/>
  <c r="G744" i="35"/>
  <c r="D744" i="35"/>
  <c r="I797" i="55" l="1"/>
  <c r="B798" i="55" s="1"/>
  <c r="H797" i="55"/>
  <c r="G797" i="55"/>
  <c r="C797" i="55"/>
  <c r="D797" i="55"/>
  <c r="I797" i="54"/>
  <c r="B798" i="54" s="1"/>
  <c r="H797" i="54"/>
  <c r="G797" i="54"/>
  <c r="D797" i="54"/>
  <c r="C797" i="54"/>
  <c r="I797" i="53"/>
  <c r="B798" i="53" s="1"/>
  <c r="H797" i="53"/>
  <c r="G797" i="53"/>
  <c r="C797" i="53"/>
  <c r="D797" i="53"/>
  <c r="I797" i="52"/>
  <c r="B798" i="52" s="1"/>
  <c r="H797" i="52"/>
  <c r="G797" i="52"/>
  <c r="D797" i="52"/>
  <c r="C797" i="52"/>
  <c r="I797" i="51"/>
  <c r="B798" i="51" s="1"/>
  <c r="H797" i="51"/>
  <c r="D797" i="51"/>
  <c r="C797" i="51"/>
  <c r="G797" i="51"/>
  <c r="I796" i="50"/>
  <c r="B797" i="50" s="1"/>
  <c r="H796" i="50"/>
  <c r="G796" i="50"/>
  <c r="D796" i="50"/>
  <c r="C796" i="50"/>
  <c r="I796" i="49"/>
  <c r="B797" i="49" s="1"/>
  <c r="G796" i="49"/>
  <c r="D796" i="49"/>
  <c r="C796" i="49"/>
  <c r="H796" i="49"/>
  <c r="I796" i="48"/>
  <c r="B797" i="48" s="1"/>
  <c r="H796" i="48"/>
  <c r="G796" i="48"/>
  <c r="D796" i="48"/>
  <c r="C796" i="48"/>
  <c r="H796" i="47"/>
  <c r="G796" i="47"/>
  <c r="D796" i="47"/>
  <c r="C796" i="47"/>
  <c r="I796" i="47"/>
  <c r="B797" i="47" s="1"/>
  <c r="C745" i="35"/>
  <c r="G745" i="35"/>
  <c r="H745" i="35"/>
  <c r="D745" i="35"/>
  <c r="I745" i="35"/>
  <c r="B746" i="35" s="1"/>
  <c r="I798" i="55" l="1"/>
  <c r="B799" i="55" s="1"/>
  <c r="G798" i="55"/>
  <c r="C798" i="55"/>
  <c r="H798" i="55"/>
  <c r="D798" i="55"/>
  <c r="C798" i="54"/>
  <c r="I798" i="54"/>
  <c r="B799" i="54" s="1"/>
  <c r="H798" i="54"/>
  <c r="G798" i="54"/>
  <c r="D798" i="54"/>
  <c r="C798" i="53"/>
  <c r="I798" i="53"/>
  <c r="B799" i="53" s="1"/>
  <c r="G798" i="53"/>
  <c r="D798" i="53"/>
  <c r="H798" i="53"/>
  <c r="C798" i="52"/>
  <c r="I798" i="52"/>
  <c r="B799" i="52" s="1"/>
  <c r="H798" i="52"/>
  <c r="G798" i="52"/>
  <c r="D798" i="52"/>
  <c r="H798" i="51"/>
  <c r="G798" i="51"/>
  <c r="C798" i="51"/>
  <c r="I798" i="51"/>
  <c r="B799" i="51" s="1"/>
  <c r="D798" i="51"/>
  <c r="I797" i="50"/>
  <c r="B798" i="50" s="1"/>
  <c r="H797" i="50"/>
  <c r="G797" i="50"/>
  <c r="D797" i="50"/>
  <c r="C797" i="50"/>
  <c r="I797" i="49"/>
  <c r="B798" i="49" s="1"/>
  <c r="H797" i="49"/>
  <c r="G797" i="49"/>
  <c r="C797" i="49"/>
  <c r="D797" i="49"/>
  <c r="I797" i="48"/>
  <c r="B798" i="48" s="1"/>
  <c r="H797" i="48"/>
  <c r="G797" i="48"/>
  <c r="C797" i="48"/>
  <c r="D797" i="48"/>
  <c r="I797" i="47"/>
  <c r="B798" i="47" s="1"/>
  <c r="H797" i="47"/>
  <c r="D797" i="47"/>
  <c r="G797" i="47"/>
  <c r="C797" i="47"/>
  <c r="C746" i="35"/>
  <c r="D746" i="35"/>
  <c r="H746" i="35"/>
  <c r="G746" i="35"/>
  <c r="I746" i="35"/>
  <c r="B747" i="35" s="1"/>
  <c r="D799" i="55" l="1"/>
  <c r="C799" i="55"/>
  <c r="I799" i="55"/>
  <c r="B800" i="55" s="1"/>
  <c r="H799" i="55"/>
  <c r="G799" i="55"/>
  <c r="G799" i="54"/>
  <c r="D799" i="54"/>
  <c r="C799" i="54"/>
  <c r="I799" i="54"/>
  <c r="B800" i="54" s="1"/>
  <c r="H799" i="54"/>
  <c r="G799" i="53"/>
  <c r="D799" i="53"/>
  <c r="C799" i="53"/>
  <c r="I799" i="53"/>
  <c r="B800" i="53" s="1"/>
  <c r="H799" i="53"/>
  <c r="G799" i="52"/>
  <c r="D799" i="52"/>
  <c r="C799" i="52"/>
  <c r="I799" i="52"/>
  <c r="B800" i="52" s="1"/>
  <c r="H799" i="52"/>
  <c r="D799" i="51"/>
  <c r="C799" i="51"/>
  <c r="I799" i="51"/>
  <c r="B800" i="51" s="1"/>
  <c r="H799" i="51"/>
  <c r="G799" i="51"/>
  <c r="C798" i="50"/>
  <c r="I798" i="50"/>
  <c r="B799" i="50" s="1"/>
  <c r="H798" i="50"/>
  <c r="G798" i="50"/>
  <c r="D798" i="50"/>
  <c r="C798" i="49"/>
  <c r="I798" i="49"/>
  <c r="B799" i="49" s="1"/>
  <c r="G798" i="49"/>
  <c r="H798" i="49"/>
  <c r="D798" i="49"/>
  <c r="C798" i="48"/>
  <c r="I798" i="48"/>
  <c r="B799" i="48" s="1"/>
  <c r="G798" i="48"/>
  <c r="D798" i="48"/>
  <c r="H798" i="48"/>
  <c r="H798" i="47"/>
  <c r="I798" i="47"/>
  <c r="B799" i="47" s="1"/>
  <c r="G798" i="47"/>
  <c r="D798" i="47"/>
  <c r="C798" i="47"/>
  <c r="H747" i="35"/>
  <c r="G747" i="35"/>
  <c r="C747" i="35"/>
  <c r="I747" i="35"/>
  <c r="B748" i="35" s="1"/>
  <c r="D747" i="35"/>
  <c r="H800" i="55" l="1"/>
  <c r="G800" i="55"/>
  <c r="D800" i="55"/>
  <c r="C800" i="55"/>
  <c r="I800" i="55"/>
  <c r="B801" i="55" s="1"/>
  <c r="I800" i="54"/>
  <c r="B801" i="54" s="1"/>
  <c r="H800" i="54"/>
  <c r="G800" i="54"/>
  <c r="D800" i="54"/>
  <c r="C800" i="54"/>
  <c r="I800" i="53"/>
  <c r="B801" i="53" s="1"/>
  <c r="H800" i="53"/>
  <c r="G800" i="53"/>
  <c r="D800" i="53"/>
  <c r="C800" i="53"/>
  <c r="I800" i="52"/>
  <c r="B801" i="52" s="1"/>
  <c r="H800" i="52"/>
  <c r="G800" i="52"/>
  <c r="D800" i="52"/>
  <c r="C800" i="52"/>
  <c r="H800" i="51"/>
  <c r="G800" i="51"/>
  <c r="D800" i="51"/>
  <c r="I800" i="51"/>
  <c r="B801" i="51" s="1"/>
  <c r="C800" i="51"/>
  <c r="G799" i="50"/>
  <c r="D799" i="50"/>
  <c r="C799" i="50"/>
  <c r="I799" i="50"/>
  <c r="B800" i="50" s="1"/>
  <c r="H799" i="50"/>
  <c r="G799" i="49"/>
  <c r="C799" i="49"/>
  <c r="I799" i="49"/>
  <c r="B800" i="49" s="1"/>
  <c r="H799" i="49"/>
  <c r="D799" i="49"/>
  <c r="G799" i="48"/>
  <c r="D799" i="48"/>
  <c r="C799" i="48"/>
  <c r="I799" i="48"/>
  <c r="B800" i="48" s="1"/>
  <c r="H799" i="48"/>
  <c r="D799" i="47"/>
  <c r="C799" i="47"/>
  <c r="I799" i="47"/>
  <c r="B800" i="47" s="1"/>
  <c r="H799" i="47"/>
  <c r="G799" i="47"/>
  <c r="I748" i="35"/>
  <c r="B749" i="35" s="1"/>
  <c r="C748" i="35"/>
  <c r="G748" i="35"/>
  <c r="D748" i="35"/>
  <c r="H748" i="35"/>
  <c r="I801" i="55" l="1"/>
  <c r="B802" i="55" s="1"/>
  <c r="H801" i="55"/>
  <c r="G801" i="55"/>
  <c r="C801" i="55"/>
  <c r="D801" i="55"/>
  <c r="I801" i="54"/>
  <c r="B802" i="54" s="1"/>
  <c r="H801" i="54"/>
  <c r="G801" i="54"/>
  <c r="D801" i="54"/>
  <c r="C801" i="54"/>
  <c r="I801" i="53"/>
  <c r="B802" i="53" s="1"/>
  <c r="H801" i="53"/>
  <c r="G801" i="53"/>
  <c r="C801" i="53"/>
  <c r="D801" i="53"/>
  <c r="I801" i="52"/>
  <c r="B802" i="52" s="1"/>
  <c r="H801" i="52"/>
  <c r="G801" i="52"/>
  <c r="D801" i="52"/>
  <c r="C801" i="52"/>
  <c r="I801" i="51"/>
  <c r="B802" i="51" s="1"/>
  <c r="H801" i="51"/>
  <c r="D801" i="51"/>
  <c r="C801" i="51"/>
  <c r="G801" i="51"/>
  <c r="I800" i="50"/>
  <c r="B801" i="50" s="1"/>
  <c r="H800" i="50"/>
  <c r="G800" i="50"/>
  <c r="D800" i="50"/>
  <c r="C800" i="50"/>
  <c r="I800" i="49"/>
  <c r="B801" i="49" s="1"/>
  <c r="G800" i="49"/>
  <c r="D800" i="49"/>
  <c r="C800" i="49"/>
  <c r="H800" i="49"/>
  <c r="I800" i="48"/>
  <c r="B801" i="48" s="1"/>
  <c r="H800" i="48"/>
  <c r="G800" i="48"/>
  <c r="D800" i="48"/>
  <c r="C800" i="48"/>
  <c r="H800" i="47"/>
  <c r="G800" i="47"/>
  <c r="D800" i="47"/>
  <c r="C800" i="47"/>
  <c r="I800" i="47"/>
  <c r="B801" i="47" s="1"/>
  <c r="C749" i="35"/>
  <c r="G749" i="35"/>
  <c r="H749" i="35"/>
  <c r="I749" i="35"/>
  <c r="B750" i="35" s="1"/>
  <c r="D749" i="35"/>
  <c r="I802" i="55" l="1"/>
  <c r="B803" i="55" s="1"/>
  <c r="G802" i="55"/>
  <c r="H802" i="55"/>
  <c r="D802" i="55"/>
  <c r="C802" i="55"/>
  <c r="C802" i="54"/>
  <c r="I802" i="54"/>
  <c r="B803" i="54" s="1"/>
  <c r="H802" i="54"/>
  <c r="G802" i="54"/>
  <c r="D802" i="54"/>
  <c r="C802" i="53"/>
  <c r="I802" i="53"/>
  <c r="B803" i="53" s="1"/>
  <c r="G802" i="53"/>
  <c r="H802" i="53"/>
  <c r="D802" i="53"/>
  <c r="C802" i="52"/>
  <c r="I802" i="52"/>
  <c r="B803" i="52" s="1"/>
  <c r="H802" i="52"/>
  <c r="G802" i="52"/>
  <c r="D802" i="52"/>
  <c r="H802" i="51"/>
  <c r="G802" i="51"/>
  <c r="I802" i="51"/>
  <c r="B803" i="51" s="1"/>
  <c r="D802" i="51"/>
  <c r="C802" i="51"/>
  <c r="I801" i="50"/>
  <c r="B802" i="50" s="1"/>
  <c r="H801" i="50"/>
  <c r="G801" i="50"/>
  <c r="D801" i="50"/>
  <c r="C801" i="50"/>
  <c r="I801" i="49"/>
  <c r="B802" i="49" s="1"/>
  <c r="H801" i="49"/>
  <c r="G801" i="49"/>
  <c r="C801" i="49"/>
  <c r="D801" i="49"/>
  <c r="I801" i="48"/>
  <c r="B802" i="48" s="1"/>
  <c r="H801" i="48"/>
  <c r="G801" i="48"/>
  <c r="C801" i="48"/>
  <c r="D801" i="48"/>
  <c r="I801" i="47"/>
  <c r="B802" i="47" s="1"/>
  <c r="H801" i="47"/>
  <c r="D801" i="47"/>
  <c r="G801" i="47"/>
  <c r="C801" i="47"/>
  <c r="D750" i="35"/>
  <c r="C750" i="35"/>
  <c r="H750" i="35"/>
  <c r="G750" i="35"/>
  <c r="I750" i="35"/>
  <c r="B751" i="35" s="1"/>
  <c r="D803" i="55" l="1"/>
  <c r="C803" i="55"/>
  <c r="I803" i="55"/>
  <c r="B804" i="55" s="1"/>
  <c r="H803" i="55"/>
  <c r="G803" i="55"/>
  <c r="G803" i="54"/>
  <c r="D803" i="54"/>
  <c r="C803" i="54"/>
  <c r="I803" i="54"/>
  <c r="B804" i="54" s="1"/>
  <c r="H803" i="54"/>
  <c r="G803" i="53"/>
  <c r="D803" i="53"/>
  <c r="C803" i="53"/>
  <c r="I803" i="53"/>
  <c r="B804" i="53" s="1"/>
  <c r="H803" i="53"/>
  <c r="G803" i="52"/>
  <c r="D803" i="52"/>
  <c r="C803" i="52"/>
  <c r="I803" i="52"/>
  <c r="B804" i="52" s="1"/>
  <c r="H803" i="52"/>
  <c r="D803" i="51"/>
  <c r="C803" i="51"/>
  <c r="I803" i="51"/>
  <c r="B804" i="51" s="1"/>
  <c r="H803" i="51"/>
  <c r="G803" i="51"/>
  <c r="C802" i="50"/>
  <c r="I802" i="50"/>
  <c r="B803" i="50" s="1"/>
  <c r="H802" i="50"/>
  <c r="G802" i="50"/>
  <c r="D802" i="50"/>
  <c r="C802" i="49"/>
  <c r="I802" i="49"/>
  <c r="B803" i="49" s="1"/>
  <c r="G802" i="49"/>
  <c r="H802" i="49"/>
  <c r="D802" i="49"/>
  <c r="C802" i="48"/>
  <c r="I802" i="48"/>
  <c r="B803" i="48" s="1"/>
  <c r="G802" i="48"/>
  <c r="D802" i="48"/>
  <c r="H802" i="48"/>
  <c r="H802" i="47"/>
  <c r="I802" i="47"/>
  <c r="B803" i="47" s="1"/>
  <c r="G802" i="47"/>
  <c r="D802" i="47"/>
  <c r="C802" i="47"/>
  <c r="G751" i="35"/>
  <c r="H751" i="35"/>
  <c r="C751" i="35"/>
  <c r="I751" i="35"/>
  <c r="B752" i="35" s="1"/>
  <c r="D751" i="35"/>
  <c r="H804" i="55" l="1"/>
  <c r="G804" i="55"/>
  <c r="D804" i="55"/>
  <c r="C804" i="55"/>
  <c r="I804" i="55"/>
  <c r="B805" i="55" s="1"/>
  <c r="I804" i="54"/>
  <c r="B805" i="54" s="1"/>
  <c r="H804" i="54"/>
  <c r="G804" i="54"/>
  <c r="D804" i="54"/>
  <c r="C804" i="54"/>
  <c r="I804" i="53"/>
  <c r="B805" i="53" s="1"/>
  <c r="H804" i="53"/>
  <c r="G804" i="53"/>
  <c r="D804" i="53"/>
  <c r="C804" i="53"/>
  <c r="I804" i="52"/>
  <c r="B805" i="52" s="1"/>
  <c r="H804" i="52"/>
  <c r="G804" i="52"/>
  <c r="D804" i="52"/>
  <c r="C804" i="52"/>
  <c r="H804" i="51"/>
  <c r="G804" i="51"/>
  <c r="D804" i="51"/>
  <c r="I804" i="51"/>
  <c r="B805" i="51" s="1"/>
  <c r="C804" i="51"/>
  <c r="G803" i="50"/>
  <c r="D803" i="50"/>
  <c r="C803" i="50"/>
  <c r="I803" i="50"/>
  <c r="B804" i="50" s="1"/>
  <c r="H803" i="50"/>
  <c r="G803" i="49"/>
  <c r="C803" i="49"/>
  <c r="I803" i="49"/>
  <c r="B804" i="49" s="1"/>
  <c r="H803" i="49"/>
  <c r="D803" i="49"/>
  <c r="G803" i="48"/>
  <c r="D803" i="48"/>
  <c r="C803" i="48"/>
  <c r="I803" i="48"/>
  <c r="B804" i="48" s="1"/>
  <c r="H803" i="48"/>
  <c r="D803" i="47"/>
  <c r="C803" i="47"/>
  <c r="I803" i="47"/>
  <c r="B804" i="47" s="1"/>
  <c r="H803" i="47"/>
  <c r="G803" i="47"/>
  <c r="I752" i="35"/>
  <c r="B753" i="35" s="1"/>
  <c r="C752" i="35"/>
  <c r="G752" i="35"/>
  <c r="D752" i="35"/>
  <c r="H752" i="35"/>
  <c r="I805" i="55" l="1"/>
  <c r="B806" i="55" s="1"/>
  <c r="H805" i="55"/>
  <c r="G805" i="55"/>
  <c r="C805" i="55"/>
  <c r="D805" i="55"/>
  <c r="I805" i="54"/>
  <c r="B806" i="54" s="1"/>
  <c r="H805" i="54"/>
  <c r="G805" i="54"/>
  <c r="D805" i="54"/>
  <c r="C805" i="54"/>
  <c r="I805" i="53"/>
  <c r="B806" i="53" s="1"/>
  <c r="H805" i="53"/>
  <c r="G805" i="53"/>
  <c r="C805" i="53"/>
  <c r="D805" i="53"/>
  <c r="I805" i="52"/>
  <c r="B806" i="52" s="1"/>
  <c r="H805" i="52"/>
  <c r="G805" i="52"/>
  <c r="D805" i="52"/>
  <c r="C805" i="52"/>
  <c r="I805" i="51"/>
  <c r="B806" i="51" s="1"/>
  <c r="H805" i="51"/>
  <c r="D805" i="51"/>
  <c r="C805" i="51"/>
  <c r="G805" i="51"/>
  <c r="I804" i="50"/>
  <c r="B805" i="50" s="1"/>
  <c r="H804" i="50"/>
  <c r="G804" i="50"/>
  <c r="D804" i="50"/>
  <c r="C804" i="50"/>
  <c r="I804" i="49"/>
  <c r="B805" i="49" s="1"/>
  <c r="G804" i="49"/>
  <c r="D804" i="49"/>
  <c r="C804" i="49"/>
  <c r="H804" i="49"/>
  <c r="I804" i="48"/>
  <c r="B805" i="48" s="1"/>
  <c r="H804" i="48"/>
  <c r="G804" i="48"/>
  <c r="D804" i="48"/>
  <c r="C804" i="48"/>
  <c r="H804" i="47"/>
  <c r="G804" i="47"/>
  <c r="D804" i="47"/>
  <c r="C804" i="47"/>
  <c r="I804" i="47"/>
  <c r="B805" i="47" s="1"/>
  <c r="C753" i="35"/>
  <c r="D753" i="35"/>
  <c r="G753" i="35"/>
  <c r="I753" i="35"/>
  <c r="B754" i="35" s="1"/>
  <c r="H753" i="35"/>
  <c r="I806" i="55" l="1"/>
  <c r="B807" i="55" s="1"/>
  <c r="G806" i="55"/>
  <c r="H806" i="55"/>
  <c r="D806" i="55"/>
  <c r="C806" i="55"/>
  <c r="C806" i="54"/>
  <c r="I806" i="54"/>
  <c r="B807" i="54" s="1"/>
  <c r="H806" i="54"/>
  <c r="G806" i="54"/>
  <c r="D806" i="54"/>
  <c r="C806" i="53"/>
  <c r="I806" i="53"/>
  <c r="B807" i="53" s="1"/>
  <c r="G806" i="53"/>
  <c r="D806" i="53"/>
  <c r="H806" i="53"/>
  <c r="C806" i="52"/>
  <c r="I806" i="52"/>
  <c r="B807" i="52" s="1"/>
  <c r="H806" i="52"/>
  <c r="G806" i="52"/>
  <c r="D806" i="52"/>
  <c r="H806" i="51"/>
  <c r="G806" i="51"/>
  <c r="I806" i="51"/>
  <c r="B807" i="51" s="1"/>
  <c r="D806" i="51"/>
  <c r="C806" i="51"/>
  <c r="I805" i="50"/>
  <c r="B806" i="50" s="1"/>
  <c r="H805" i="50"/>
  <c r="G805" i="50"/>
  <c r="D805" i="50"/>
  <c r="C805" i="50"/>
  <c r="I805" i="49"/>
  <c r="B806" i="49" s="1"/>
  <c r="H805" i="49"/>
  <c r="G805" i="49"/>
  <c r="C805" i="49"/>
  <c r="D805" i="49"/>
  <c r="I805" i="48"/>
  <c r="B806" i="48" s="1"/>
  <c r="H805" i="48"/>
  <c r="G805" i="48"/>
  <c r="C805" i="48"/>
  <c r="D805" i="48"/>
  <c r="I805" i="47"/>
  <c r="B806" i="47" s="1"/>
  <c r="H805" i="47"/>
  <c r="D805" i="47"/>
  <c r="G805" i="47"/>
  <c r="C805" i="47"/>
  <c r="D754" i="35"/>
  <c r="G754" i="35"/>
  <c r="C754" i="35"/>
  <c r="I754" i="35"/>
  <c r="B755" i="35" s="1"/>
  <c r="H754" i="35"/>
  <c r="D807" i="55" l="1"/>
  <c r="C807" i="55"/>
  <c r="I807" i="55"/>
  <c r="B808" i="55" s="1"/>
  <c r="H807" i="55"/>
  <c r="G807" i="55"/>
  <c r="G807" i="54"/>
  <c r="D807" i="54"/>
  <c r="C807" i="54"/>
  <c r="I807" i="54"/>
  <c r="B808" i="54" s="1"/>
  <c r="H807" i="54"/>
  <c r="G807" i="53"/>
  <c r="D807" i="53"/>
  <c r="C807" i="53"/>
  <c r="I807" i="53"/>
  <c r="B808" i="53" s="1"/>
  <c r="H807" i="53"/>
  <c r="G807" i="52"/>
  <c r="D807" i="52"/>
  <c r="C807" i="52"/>
  <c r="I807" i="52"/>
  <c r="B808" i="52" s="1"/>
  <c r="H807" i="52"/>
  <c r="D807" i="51"/>
  <c r="C807" i="51"/>
  <c r="I807" i="51"/>
  <c r="B808" i="51" s="1"/>
  <c r="H807" i="51"/>
  <c r="G807" i="51"/>
  <c r="C806" i="50"/>
  <c r="I806" i="50"/>
  <c r="B807" i="50" s="1"/>
  <c r="H806" i="50"/>
  <c r="G806" i="50"/>
  <c r="D806" i="50"/>
  <c r="C806" i="49"/>
  <c r="I806" i="49"/>
  <c r="B807" i="49" s="1"/>
  <c r="G806" i="49"/>
  <c r="H806" i="49"/>
  <c r="D806" i="49"/>
  <c r="C806" i="48"/>
  <c r="I806" i="48"/>
  <c r="B807" i="48" s="1"/>
  <c r="G806" i="48"/>
  <c r="D806" i="48"/>
  <c r="H806" i="48"/>
  <c r="H806" i="47"/>
  <c r="I806" i="47"/>
  <c r="B807" i="47" s="1"/>
  <c r="G806" i="47"/>
  <c r="D806" i="47"/>
  <c r="C806" i="47"/>
  <c r="H755" i="35"/>
  <c r="G755" i="35"/>
  <c r="I755" i="35"/>
  <c r="B756" i="35" s="1"/>
  <c r="C755" i="35"/>
  <c r="D755" i="35"/>
  <c r="H808" i="55" l="1"/>
  <c r="G808" i="55"/>
  <c r="D808" i="55"/>
  <c r="C808" i="55"/>
  <c r="I808" i="55"/>
  <c r="B809" i="55" s="1"/>
  <c r="I808" i="54"/>
  <c r="B809" i="54" s="1"/>
  <c r="H808" i="54"/>
  <c r="G808" i="54"/>
  <c r="D808" i="54"/>
  <c r="C808" i="54"/>
  <c r="I808" i="53"/>
  <c r="B809" i="53" s="1"/>
  <c r="H808" i="53"/>
  <c r="G808" i="53"/>
  <c r="D808" i="53"/>
  <c r="C808" i="53"/>
  <c r="I808" i="52"/>
  <c r="B809" i="52" s="1"/>
  <c r="H808" i="52"/>
  <c r="G808" i="52"/>
  <c r="D808" i="52"/>
  <c r="C808" i="52"/>
  <c r="H808" i="51"/>
  <c r="G808" i="51"/>
  <c r="D808" i="51"/>
  <c r="I808" i="51"/>
  <c r="B809" i="51" s="1"/>
  <c r="C808" i="51"/>
  <c r="G807" i="50"/>
  <c r="D807" i="50"/>
  <c r="C807" i="50"/>
  <c r="I807" i="50"/>
  <c r="B808" i="50" s="1"/>
  <c r="H807" i="50"/>
  <c r="G807" i="49"/>
  <c r="C807" i="49"/>
  <c r="I807" i="49"/>
  <c r="B808" i="49" s="1"/>
  <c r="D807" i="49"/>
  <c r="H807" i="49"/>
  <c r="G807" i="48"/>
  <c r="D807" i="48"/>
  <c r="C807" i="48"/>
  <c r="I807" i="48"/>
  <c r="B808" i="48" s="1"/>
  <c r="H807" i="48"/>
  <c r="D807" i="47"/>
  <c r="C807" i="47"/>
  <c r="I807" i="47"/>
  <c r="B808" i="47" s="1"/>
  <c r="H807" i="47"/>
  <c r="G807" i="47"/>
  <c r="I756" i="35"/>
  <c r="B757" i="35" s="1"/>
  <c r="C756" i="35"/>
  <c r="G756" i="35"/>
  <c r="D756" i="35"/>
  <c r="H756" i="35"/>
  <c r="I809" i="55" l="1"/>
  <c r="B810" i="55" s="1"/>
  <c r="H809" i="55"/>
  <c r="G809" i="55"/>
  <c r="C809" i="55"/>
  <c r="D809" i="55"/>
  <c r="I809" i="54"/>
  <c r="B810" i="54" s="1"/>
  <c r="H809" i="54"/>
  <c r="G809" i="54"/>
  <c r="D809" i="54"/>
  <c r="C809" i="54"/>
  <c r="I809" i="53"/>
  <c r="B810" i="53" s="1"/>
  <c r="H809" i="53"/>
  <c r="G809" i="53"/>
  <c r="C809" i="53"/>
  <c r="D809" i="53"/>
  <c r="I809" i="52"/>
  <c r="B810" i="52" s="1"/>
  <c r="H809" i="52"/>
  <c r="G809" i="52"/>
  <c r="D809" i="52"/>
  <c r="C809" i="52"/>
  <c r="I809" i="51"/>
  <c r="B810" i="51" s="1"/>
  <c r="H809" i="51"/>
  <c r="D809" i="51"/>
  <c r="C809" i="51"/>
  <c r="G809" i="51"/>
  <c r="I808" i="50"/>
  <c r="B809" i="50" s="1"/>
  <c r="H808" i="50"/>
  <c r="G808" i="50"/>
  <c r="D808" i="50"/>
  <c r="C808" i="50"/>
  <c r="I808" i="49"/>
  <c r="B809" i="49" s="1"/>
  <c r="G808" i="49"/>
  <c r="D808" i="49"/>
  <c r="C808" i="49"/>
  <c r="H808" i="49"/>
  <c r="I808" i="48"/>
  <c r="B809" i="48" s="1"/>
  <c r="H808" i="48"/>
  <c r="G808" i="48"/>
  <c r="D808" i="48"/>
  <c r="C808" i="48"/>
  <c r="H808" i="47"/>
  <c r="G808" i="47"/>
  <c r="D808" i="47"/>
  <c r="C808" i="47"/>
  <c r="I808" i="47"/>
  <c r="B809" i="47" s="1"/>
  <c r="C757" i="35"/>
  <c r="G757" i="35"/>
  <c r="H757" i="35"/>
  <c r="D757" i="35"/>
  <c r="I757" i="35"/>
  <c r="B758" i="35" s="1"/>
  <c r="I810" i="55" l="1"/>
  <c r="B811" i="55" s="1"/>
  <c r="G810" i="55"/>
  <c r="H810" i="55"/>
  <c r="D810" i="55"/>
  <c r="C810" i="55"/>
  <c r="C810" i="54"/>
  <c r="I810" i="54"/>
  <c r="B811" i="54" s="1"/>
  <c r="H810" i="54"/>
  <c r="G810" i="54"/>
  <c r="D810" i="54"/>
  <c r="C810" i="53"/>
  <c r="I810" i="53"/>
  <c r="B811" i="53" s="1"/>
  <c r="G810" i="53"/>
  <c r="H810" i="53"/>
  <c r="D810" i="53"/>
  <c r="C810" i="52"/>
  <c r="I810" i="52"/>
  <c r="B811" i="52" s="1"/>
  <c r="H810" i="52"/>
  <c r="G810" i="52"/>
  <c r="D810" i="52"/>
  <c r="H810" i="51"/>
  <c r="G810" i="51"/>
  <c r="I810" i="51"/>
  <c r="B811" i="51" s="1"/>
  <c r="D810" i="51"/>
  <c r="C810" i="51"/>
  <c r="I809" i="50"/>
  <c r="B810" i="50" s="1"/>
  <c r="H809" i="50"/>
  <c r="G809" i="50"/>
  <c r="D809" i="50"/>
  <c r="C809" i="50"/>
  <c r="I809" i="49"/>
  <c r="B810" i="49" s="1"/>
  <c r="H809" i="49"/>
  <c r="G809" i="49"/>
  <c r="C809" i="49"/>
  <c r="D809" i="49"/>
  <c r="I809" i="48"/>
  <c r="B810" i="48" s="1"/>
  <c r="H809" i="48"/>
  <c r="G809" i="48"/>
  <c r="C809" i="48"/>
  <c r="D809" i="48"/>
  <c r="I809" i="47"/>
  <c r="B810" i="47" s="1"/>
  <c r="H809" i="47"/>
  <c r="D809" i="47"/>
  <c r="G809" i="47"/>
  <c r="C809" i="47"/>
  <c r="C758" i="35"/>
  <c r="I758" i="35"/>
  <c r="B759" i="35" s="1"/>
  <c r="H758" i="35"/>
  <c r="G758" i="35"/>
  <c r="D758" i="35"/>
  <c r="D811" i="55" l="1"/>
  <c r="C811" i="55"/>
  <c r="I811" i="55"/>
  <c r="B812" i="55" s="1"/>
  <c r="H811" i="55"/>
  <c r="G811" i="55"/>
  <c r="G811" i="54"/>
  <c r="D811" i="54"/>
  <c r="C811" i="54"/>
  <c r="I811" i="54"/>
  <c r="B812" i="54" s="1"/>
  <c r="H811" i="54"/>
  <c r="G811" i="53"/>
  <c r="D811" i="53"/>
  <c r="C811" i="53"/>
  <c r="I811" i="53"/>
  <c r="B812" i="53" s="1"/>
  <c r="H811" i="53"/>
  <c r="G811" i="52"/>
  <c r="D811" i="52"/>
  <c r="C811" i="52"/>
  <c r="I811" i="52"/>
  <c r="B812" i="52" s="1"/>
  <c r="H811" i="52"/>
  <c r="D811" i="51"/>
  <c r="C811" i="51"/>
  <c r="I811" i="51"/>
  <c r="B812" i="51" s="1"/>
  <c r="H811" i="51"/>
  <c r="G811" i="51"/>
  <c r="C810" i="50"/>
  <c r="I810" i="50"/>
  <c r="B811" i="50" s="1"/>
  <c r="H810" i="50"/>
  <c r="G810" i="50"/>
  <c r="D810" i="50"/>
  <c r="C810" i="49"/>
  <c r="I810" i="49"/>
  <c r="B811" i="49" s="1"/>
  <c r="G810" i="49"/>
  <c r="H810" i="49"/>
  <c r="D810" i="49"/>
  <c r="C810" i="48"/>
  <c r="I810" i="48"/>
  <c r="B811" i="48" s="1"/>
  <c r="G810" i="48"/>
  <c r="D810" i="48"/>
  <c r="H810" i="48"/>
  <c r="H810" i="47"/>
  <c r="I810" i="47"/>
  <c r="B811" i="47" s="1"/>
  <c r="G810" i="47"/>
  <c r="D810" i="47"/>
  <c r="C810" i="47"/>
  <c r="H759" i="35"/>
  <c r="G759" i="35"/>
  <c r="C759" i="35"/>
  <c r="I759" i="35"/>
  <c r="B760" i="35" s="1"/>
  <c r="D759" i="35"/>
  <c r="H812" i="55" l="1"/>
  <c r="G812" i="55"/>
  <c r="D812" i="55"/>
  <c r="C812" i="55"/>
  <c r="I812" i="55"/>
  <c r="B813" i="55" s="1"/>
  <c r="I812" i="54"/>
  <c r="B813" i="54" s="1"/>
  <c r="H812" i="54"/>
  <c r="G812" i="54"/>
  <c r="D812" i="54"/>
  <c r="C812" i="54"/>
  <c r="I812" i="53"/>
  <c r="B813" i="53" s="1"/>
  <c r="H812" i="53"/>
  <c r="G812" i="53"/>
  <c r="D812" i="53"/>
  <c r="C812" i="53"/>
  <c r="I812" i="52"/>
  <c r="B813" i="52" s="1"/>
  <c r="H812" i="52"/>
  <c r="G812" i="52"/>
  <c r="D812" i="52"/>
  <c r="C812" i="52"/>
  <c r="H812" i="51"/>
  <c r="G812" i="51"/>
  <c r="D812" i="51"/>
  <c r="C812" i="51"/>
  <c r="I812" i="51"/>
  <c r="B813" i="51" s="1"/>
  <c r="G811" i="50"/>
  <c r="D811" i="50"/>
  <c r="C811" i="50"/>
  <c r="I811" i="50"/>
  <c r="B812" i="50" s="1"/>
  <c r="H811" i="50"/>
  <c r="G811" i="49"/>
  <c r="C811" i="49"/>
  <c r="I811" i="49"/>
  <c r="B812" i="49" s="1"/>
  <c r="H811" i="49"/>
  <c r="D811" i="49"/>
  <c r="G811" i="48"/>
  <c r="D811" i="48"/>
  <c r="C811" i="48"/>
  <c r="I811" i="48"/>
  <c r="B812" i="48" s="1"/>
  <c r="H811" i="48"/>
  <c r="D811" i="47"/>
  <c r="C811" i="47"/>
  <c r="I811" i="47"/>
  <c r="B812" i="47" s="1"/>
  <c r="H811" i="47"/>
  <c r="G811" i="47"/>
  <c r="C760" i="35"/>
  <c r="I760" i="35"/>
  <c r="B761" i="35" s="1"/>
  <c r="D760" i="35"/>
  <c r="H760" i="35"/>
  <c r="G760" i="35"/>
  <c r="I813" i="55" l="1"/>
  <c r="B814" i="55" s="1"/>
  <c r="H813" i="55"/>
  <c r="G813" i="55"/>
  <c r="C813" i="55"/>
  <c r="D813" i="55"/>
  <c r="I813" i="54"/>
  <c r="B814" i="54" s="1"/>
  <c r="H813" i="54"/>
  <c r="G813" i="54"/>
  <c r="D813" i="54"/>
  <c r="C813" i="54"/>
  <c r="I813" i="53"/>
  <c r="B814" i="53" s="1"/>
  <c r="H813" i="53"/>
  <c r="G813" i="53"/>
  <c r="C813" i="53"/>
  <c r="D813" i="53"/>
  <c r="I813" i="52"/>
  <c r="B814" i="52" s="1"/>
  <c r="H813" i="52"/>
  <c r="G813" i="52"/>
  <c r="D813" i="52"/>
  <c r="C813" i="52"/>
  <c r="I813" i="51"/>
  <c r="B814" i="51" s="1"/>
  <c r="H813" i="51"/>
  <c r="D813" i="51"/>
  <c r="C813" i="51"/>
  <c r="G813" i="51"/>
  <c r="I812" i="50"/>
  <c r="B813" i="50" s="1"/>
  <c r="H812" i="50"/>
  <c r="G812" i="50"/>
  <c r="D812" i="50"/>
  <c r="C812" i="50"/>
  <c r="I812" i="49"/>
  <c r="B813" i="49" s="1"/>
  <c r="G812" i="49"/>
  <c r="D812" i="49"/>
  <c r="C812" i="49"/>
  <c r="H812" i="49"/>
  <c r="I812" i="48"/>
  <c r="B813" i="48" s="1"/>
  <c r="H812" i="48"/>
  <c r="G812" i="48"/>
  <c r="D812" i="48"/>
  <c r="C812" i="48"/>
  <c r="H812" i="47"/>
  <c r="G812" i="47"/>
  <c r="D812" i="47"/>
  <c r="C812" i="47"/>
  <c r="I812" i="47"/>
  <c r="B813" i="47" s="1"/>
  <c r="C761" i="35"/>
  <c r="G761" i="35"/>
  <c r="H761" i="35"/>
  <c r="I761" i="35"/>
  <c r="B762" i="35" s="1"/>
  <c r="D761" i="35"/>
  <c r="I814" i="55" l="1"/>
  <c r="B815" i="55" s="1"/>
  <c r="G814" i="55"/>
  <c r="H814" i="55"/>
  <c r="D814" i="55"/>
  <c r="C814" i="55"/>
  <c r="C814" i="54"/>
  <c r="I814" i="54"/>
  <c r="B815" i="54" s="1"/>
  <c r="H814" i="54"/>
  <c r="G814" i="54"/>
  <c r="D814" i="54"/>
  <c r="C814" i="53"/>
  <c r="I814" i="53"/>
  <c r="B815" i="53" s="1"/>
  <c r="G814" i="53"/>
  <c r="D814" i="53"/>
  <c r="H814" i="53"/>
  <c r="C814" i="52"/>
  <c r="I814" i="52"/>
  <c r="B815" i="52" s="1"/>
  <c r="H814" i="52"/>
  <c r="G814" i="52"/>
  <c r="D814" i="52"/>
  <c r="H814" i="51"/>
  <c r="G814" i="51"/>
  <c r="I814" i="51"/>
  <c r="B815" i="51" s="1"/>
  <c r="D814" i="51"/>
  <c r="C814" i="51"/>
  <c r="I813" i="50"/>
  <c r="B814" i="50" s="1"/>
  <c r="H813" i="50"/>
  <c r="G813" i="50"/>
  <c r="D813" i="50"/>
  <c r="C813" i="50"/>
  <c r="I813" i="49"/>
  <c r="B814" i="49" s="1"/>
  <c r="H813" i="49"/>
  <c r="G813" i="49"/>
  <c r="C813" i="49"/>
  <c r="D813" i="49"/>
  <c r="I813" i="48"/>
  <c r="B814" i="48" s="1"/>
  <c r="H813" i="48"/>
  <c r="G813" i="48"/>
  <c r="C813" i="48"/>
  <c r="D813" i="48"/>
  <c r="I813" i="47"/>
  <c r="B814" i="47" s="1"/>
  <c r="H813" i="47"/>
  <c r="D813" i="47"/>
  <c r="G813" i="47"/>
  <c r="C813" i="47"/>
  <c r="I762" i="35"/>
  <c r="B763" i="35" s="1"/>
  <c r="D762" i="35"/>
  <c r="H762" i="35"/>
  <c r="G762" i="35"/>
  <c r="C762" i="35"/>
  <c r="D815" i="55" l="1"/>
  <c r="C815" i="55"/>
  <c r="I815" i="55"/>
  <c r="B816" i="55" s="1"/>
  <c r="H815" i="55"/>
  <c r="G815" i="55"/>
  <c r="G815" i="54"/>
  <c r="D815" i="54"/>
  <c r="C815" i="54"/>
  <c r="I815" i="54"/>
  <c r="B816" i="54" s="1"/>
  <c r="H815" i="54"/>
  <c r="G815" i="53"/>
  <c r="D815" i="53"/>
  <c r="C815" i="53"/>
  <c r="I815" i="53"/>
  <c r="B816" i="53" s="1"/>
  <c r="H815" i="53"/>
  <c r="G815" i="52"/>
  <c r="D815" i="52"/>
  <c r="C815" i="52"/>
  <c r="I815" i="52"/>
  <c r="B816" i="52" s="1"/>
  <c r="H815" i="52"/>
  <c r="D815" i="51"/>
  <c r="C815" i="51"/>
  <c r="I815" i="51"/>
  <c r="B816" i="51" s="1"/>
  <c r="H815" i="51"/>
  <c r="G815" i="51"/>
  <c r="C814" i="50"/>
  <c r="I814" i="50"/>
  <c r="B815" i="50" s="1"/>
  <c r="H814" i="50"/>
  <c r="G814" i="50"/>
  <c r="D814" i="50"/>
  <c r="C814" i="49"/>
  <c r="I814" i="49"/>
  <c r="B815" i="49" s="1"/>
  <c r="G814" i="49"/>
  <c r="D814" i="49"/>
  <c r="H814" i="49"/>
  <c r="C814" i="48"/>
  <c r="I814" i="48"/>
  <c r="B815" i="48" s="1"/>
  <c r="G814" i="48"/>
  <c r="D814" i="48"/>
  <c r="H814" i="48"/>
  <c r="H814" i="47"/>
  <c r="I814" i="47"/>
  <c r="B815" i="47" s="1"/>
  <c r="G814" i="47"/>
  <c r="D814" i="47"/>
  <c r="C814" i="47"/>
  <c r="H763" i="35"/>
  <c r="G763" i="35"/>
  <c r="C763" i="35"/>
  <c r="D763" i="35"/>
  <c r="I763" i="35"/>
  <c r="B764" i="35" s="1"/>
  <c r="H816" i="55" l="1"/>
  <c r="G816" i="55"/>
  <c r="D816" i="55"/>
  <c r="C816" i="55"/>
  <c r="I816" i="55"/>
  <c r="B817" i="55" s="1"/>
  <c r="I816" i="54"/>
  <c r="B817" i="54" s="1"/>
  <c r="H816" i="54"/>
  <c r="G816" i="54"/>
  <c r="D816" i="54"/>
  <c r="C816" i="54"/>
  <c r="I816" i="53"/>
  <c r="B817" i="53" s="1"/>
  <c r="H816" i="53"/>
  <c r="G816" i="53"/>
  <c r="D816" i="53"/>
  <c r="C816" i="53"/>
  <c r="I816" i="52"/>
  <c r="B817" i="52" s="1"/>
  <c r="H816" i="52"/>
  <c r="G816" i="52"/>
  <c r="D816" i="52"/>
  <c r="C816" i="52"/>
  <c r="H816" i="51"/>
  <c r="G816" i="51"/>
  <c r="D816" i="51"/>
  <c r="I816" i="51"/>
  <c r="B817" i="51" s="1"/>
  <c r="C816" i="51"/>
  <c r="G815" i="50"/>
  <c r="D815" i="50"/>
  <c r="C815" i="50"/>
  <c r="I815" i="50"/>
  <c r="B816" i="50" s="1"/>
  <c r="H815" i="50"/>
  <c r="G815" i="49"/>
  <c r="C815" i="49"/>
  <c r="I815" i="49"/>
  <c r="B816" i="49" s="1"/>
  <c r="D815" i="49"/>
  <c r="H815" i="49"/>
  <c r="G815" i="48"/>
  <c r="D815" i="48"/>
  <c r="C815" i="48"/>
  <c r="I815" i="48"/>
  <c r="B816" i="48" s="1"/>
  <c r="H815" i="48"/>
  <c r="D815" i="47"/>
  <c r="C815" i="47"/>
  <c r="I815" i="47"/>
  <c r="B816" i="47" s="1"/>
  <c r="H815" i="47"/>
  <c r="G815" i="47"/>
  <c r="I764" i="35"/>
  <c r="B765" i="35" s="1"/>
  <c r="D764" i="35"/>
  <c r="C764" i="35"/>
  <c r="G764" i="35"/>
  <c r="H764" i="35"/>
  <c r="I817" i="55" l="1"/>
  <c r="B818" i="55" s="1"/>
  <c r="H817" i="55"/>
  <c r="G817" i="55"/>
  <c r="C817" i="55"/>
  <c r="D817" i="55"/>
  <c r="I817" i="54"/>
  <c r="B818" i="54" s="1"/>
  <c r="H817" i="54"/>
  <c r="G817" i="54"/>
  <c r="D817" i="54"/>
  <c r="C817" i="54"/>
  <c r="I817" i="53"/>
  <c r="B818" i="53" s="1"/>
  <c r="H817" i="53"/>
  <c r="G817" i="53"/>
  <c r="C817" i="53"/>
  <c r="D817" i="53"/>
  <c r="I817" i="52"/>
  <c r="B818" i="52" s="1"/>
  <c r="H817" i="52"/>
  <c r="G817" i="52"/>
  <c r="D817" i="52"/>
  <c r="C817" i="52"/>
  <c r="I817" i="51"/>
  <c r="B818" i="51" s="1"/>
  <c r="H817" i="51"/>
  <c r="D817" i="51"/>
  <c r="C817" i="51"/>
  <c r="G817" i="51"/>
  <c r="I816" i="50"/>
  <c r="B817" i="50" s="1"/>
  <c r="H816" i="50"/>
  <c r="G816" i="50"/>
  <c r="D816" i="50"/>
  <c r="C816" i="50"/>
  <c r="I816" i="49"/>
  <c r="B817" i="49" s="1"/>
  <c r="G816" i="49"/>
  <c r="D816" i="49"/>
  <c r="C816" i="49"/>
  <c r="H816" i="49"/>
  <c r="I816" i="48"/>
  <c r="B817" i="48" s="1"/>
  <c r="H816" i="48"/>
  <c r="G816" i="48"/>
  <c r="D816" i="48"/>
  <c r="C816" i="48"/>
  <c r="H816" i="47"/>
  <c r="G816" i="47"/>
  <c r="D816" i="47"/>
  <c r="C816" i="47"/>
  <c r="I816" i="47"/>
  <c r="B817" i="47" s="1"/>
  <c r="C765" i="35"/>
  <c r="G765" i="35"/>
  <c r="I765" i="35"/>
  <c r="B766" i="35" s="1"/>
  <c r="D765" i="35"/>
  <c r="H765" i="35"/>
  <c r="I818" i="55" l="1"/>
  <c r="B819" i="55" s="1"/>
  <c r="G818" i="55"/>
  <c r="H818" i="55"/>
  <c r="D818" i="55"/>
  <c r="C818" i="55"/>
  <c r="C818" i="54"/>
  <c r="I818" i="54"/>
  <c r="B819" i="54" s="1"/>
  <c r="H818" i="54"/>
  <c r="G818" i="54"/>
  <c r="D818" i="54"/>
  <c r="C818" i="53"/>
  <c r="I818" i="53"/>
  <c r="B819" i="53" s="1"/>
  <c r="G818" i="53"/>
  <c r="H818" i="53"/>
  <c r="D818" i="53"/>
  <c r="C818" i="52"/>
  <c r="I818" i="52"/>
  <c r="B819" i="52" s="1"/>
  <c r="H818" i="52"/>
  <c r="G818" i="52"/>
  <c r="D818" i="52"/>
  <c r="H818" i="51"/>
  <c r="G818" i="51"/>
  <c r="I818" i="51"/>
  <c r="B819" i="51" s="1"/>
  <c r="D818" i="51"/>
  <c r="C818" i="51"/>
  <c r="I817" i="50"/>
  <c r="B818" i="50" s="1"/>
  <c r="H817" i="50"/>
  <c r="G817" i="50"/>
  <c r="D817" i="50"/>
  <c r="C817" i="50"/>
  <c r="I817" i="49"/>
  <c r="B818" i="49" s="1"/>
  <c r="H817" i="49"/>
  <c r="G817" i="49"/>
  <c r="C817" i="49"/>
  <c r="D817" i="49"/>
  <c r="I817" i="48"/>
  <c r="B818" i="48" s="1"/>
  <c r="H817" i="48"/>
  <c r="G817" i="48"/>
  <c r="C817" i="48"/>
  <c r="D817" i="48"/>
  <c r="I817" i="47"/>
  <c r="B818" i="47" s="1"/>
  <c r="H817" i="47"/>
  <c r="D817" i="47"/>
  <c r="G817" i="47"/>
  <c r="C817" i="47"/>
  <c r="D766" i="35"/>
  <c r="I766" i="35"/>
  <c r="B767" i="35" s="1"/>
  <c r="C766" i="35"/>
  <c r="G766" i="35"/>
  <c r="H766" i="35"/>
  <c r="D819" i="55" l="1"/>
  <c r="C819" i="55"/>
  <c r="I819" i="55"/>
  <c r="B820" i="55" s="1"/>
  <c r="G819" i="55"/>
  <c r="H819" i="55"/>
  <c r="G819" i="54"/>
  <c r="D819" i="54"/>
  <c r="C819" i="54"/>
  <c r="I819" i="54"/>
  <c r="B820" i="54" s="1"/>
  <c r="H819" i="54"/>
  <c r="G819" i="53"/>
  <c r="D819" i="53"/>
  <c r="C819" i="53"/>
  <c r="I819" i="53"/>
  <c r="B820" i="53" s="1"/>
  <c r="H819" i="53"/>
  <c r="G819" i="52"/>
  <c r="D819" i="52"/>
  <c r="C819" i="52"/>
  <c r="I819" i="52"/>
  <c r="B820" i="52" s="1"/>
  <c r="H819" i="52"/>
  <c r="D819" i="51"/>
  <c r="C819" i="51"/>
  <c r="I819" i="51"/>
  <c r="B820" i="51" s="1"/>
  <c r="G819" i="51"/>
  <c r="H819" i="51"/>
  <c r="C818" i="50"/>
  <c r="I818" i="50"/>
  <c r="B819" i="50" s="1"/>
  <c r="H818" i="50"/>
  <c r="G818" i="50"/>
  <c r="D818" i="50"/>
  <c r="C818" i="49"/>
  <c r="I818" i="49"/>
  <c r="B819" i="49" s="1"/>
  <c r="G818" i="49"/>
  <c r="H818" i="49"/>
  <c r="D818" i="49"/>
  <c r="C818" i="48"/>
  <c r="I818" i="48"/>
  <c r="B819" i="48" s="1"/>
  <c r="G818" i="48"/>
  <c r="D818" i="48"/>
  <c r="H818" i="48"/>
  <c r="H818" i="47"/>
  <c r="I818" i="47"/>
  <c r="B819" i="47" s="1"/>
  <c r="G818" i="47"/>
  <c r="D818" i="47"/>
  <c r="C818" i="47"/>
  <c r="G767" i="35"/>
  <c r="H767" i="35"/>
  <c r="I767" i="35"/>
  <c r="B768" i="35" s="1"/>
  <c r="C767" i="35"/>
  <c r="D767" i="35"/>
  <c r="H820" i="55" l="1"/>
  <c r="G820" i="55"/>
  <c r="D820" i="55"/>
  <c r="C820" i="55"/>
  <c r="I820" i="55"/>
  <c r="B821" i="55" s="1"/>
  <c r="I820" i="54"/>
  <c r="B821" i="54" s="1"/>
  <c r="H820" i="54"/>
  <c r="G820" i="54"/>
  <c r="D820" i="54"/>
  <c r="C820" i="54"/>
  <c r="I820" i="53"/>
  <c r="B821" i="53" s="1"/>
  <c r="H820" i="53"/>
  <c r="G820" i="53"/>
  <c r="D820" i="53"/>
  <c r="C820" i="53"/>
  <c r="I820" i="52"/>
  <c r="B821" i="52" s="1"/>
  <c r="H820" i="52"/>
  <c r="G820" i="52"/>
  <c r="D820" i="52"/>
  <c r="C820" i="52"/>
  <c r="H820" i="51"/>
  <c r="G820" i="51"/>
  <c r="D820" i="51"/>
  <c r="I820" i="51"/>
  <c r="B821" i="51" s="1"/>
  <c r="C820" i="51"/>
  <c r="G819" i="50"/>
  <c r="D819" i="50"/>
  <c r="C819" i="50"/>
  <c r="I819" i="50"/>
  <c r="B820" i="50" s="1"/>
  <c r="H819" i="50"/>
  <c r="G819" i="49"/>
  <c r="C819" i="49"/>
  <c r="I819" i="49"/>
  <c r="B820" i="49" s="1"/>
  <c r="H819" i="49"/>
  <c r="D819" i="49"/>
  <c r="G819" i="48"/>
  <c r="D819" i="48"/>
  <c r="C819" i="48"/>
  <c r="I819" i="48"/>
  <c r="B820" i="48" s="1"/>
  <c r="H819" i="48"/>
  <c r="D819" i="47"/>
  <c r="C819" i="47"/>
  <c r="I819" i="47"/>
  <c r="B820" i="47" s="1"/>
  <c r="H819" i="47"/>
  <c r="G819" i="47"/>
  <c r="I768" i="35"/>
  <c r="B769" i="35" s="1"/>
  <c r="C768" i="35"/>
  <c r="D768" i="35"/>
  <c r="H768" i="35"/>
  <c r="G768" i="35"/>
  <c r="I821" i="55" l="1"/>
  <c r="B822" i="55" s="1"/>
  <c r="H821" i="55"/>
  <c r="G821" i="55"/>
  <c r="C821" i="55"/>
  <c r="D821" i="55"/>
  <c r="I821" i="54"/>
  <c r="B822" i="54" s="1"/>
  <c r="H821" i="54"/>
  <c r="G821" i="54"/>
  <c r="D821" i="54"/>
  <c r="C821" i="54"/>
  <c r="I821" i="53"/>
  <c r="B822" i="53" s="1"/>
  <c r="H821" i="53"/>
  <c r="G821" i="53"/>
  <c r="C821" i="53"/>
  <c r="D821" i="53"/>
  <c r="I821" i="52"/>
  <c r="B822" i="52" s="1"/>
  <c r="H821" i="52"/>
  <c r="G821" i="52"/>
  <c r="D821" i="52"/>
  <c r="C821" i="52"/>
  <c r="I821" i="51"/>
  <c r="B822" i="51" s="1"/>
  <c r="H821" i="51"/>
  <c r="D821" i="51"/>
  <c r="C821" i="51"/>
  <c r="G821" i="51"/>
  <c r="I820" i="50"/>
  <c r="B821" i="50" s="1"/>
  <c r="H820" i="50"/>
  <c r="G820" i="50"/>
  <c r="D820" i="50"/>
  <c r="C820" i="50"/>
  <c r="I820" i="49"/>
  <c r="B821" i="49" s="1"/>
  <c r="G820" i="49"/>
  <c r="D820" i="49"/>
  <c r="C820" i="49"/>
  <c r="H820" i="49"/>
  <c r="I820" i="48"/>
  <c r="B821" i="48" s="1"/>
  <c r="H820" i="48"/>
  <c r="G820" i="48"/>
  <c r="D820" i="48"/>
  <c r="C820" i="48"/>
  <c r="H820" i="47"/>
  <c r="G820" i="47"/>
  <c r="D820" i="47"/>
  <c r="I820" i="47"/>
  <c r="B821" i="47" s="1"/>
  <c r="C820" i="47"/>
  <c r="C769" i="35"/>
  <c r="G769" i="35"/>
  <c r="H769" i="35"/>
  <c r="I769" i="35"/>
  <c r="B770" i="35" s="1"/>
  <c r="D769" i="35"/>
  <c r="I822" i="55" l="1"/>
  <c r="B823" i="55" s="1"/>
  <c r="G822" i="55"/>
  <c r="H822" i="55"/>
  <c r="D822" i="55"/>
  <c r="C822" i="55"/>
  <c r="C822" i="54"/>
  <c r="I822" i="54"/>
  <c r="B823" i="54" s="1"/>
  <c r="H822" i="54"/>
  <c r="G822" i="54"/>
  <c r="D822" i="54"/>
  <c r="C822" i="53"/>
  <c r="I822" i="53"/>
  <c r="B823" i="53" s="1"/>
  <c r="G822" i="53"/>
  <c r="D822" i="53"/>
  <c r="H822" i="53"/>
  <c r="C822" i="52"/>
  <c r="I822" i="52"/>
  <c r="B823" i="52" s="1"/>
  <c r="H822" i="52"/>
  <c r="G822" i="52"/>
  <c r="D822" i="52"/>
  <c r="H822" i="51"/>
  <c r="G822" i="51"/>
  <c r="I822" i="51"/>
  <c r="B823" i="51" s="1"/>
  <c r="D822" i="51"/>
  <c r="C822" i="51"/>
  <c r="I821" i="50"/>
  <c r="B822" i="50" s="1"/>
  <c r="H821" i="50"/>
  <c r="G821" i="50"/>
  <c r="D821" i="50"/>
  <c r="C821" i="50"/>
  <c r="I821" i="49"/>
  <c r="B822" i="49" s="1"/>
  <c r="H821" i="49"/>
  <c r="G821" i="49"/>
  <c r="C821" i="49"/>
  <c r="D821" i="49"/>
  <c r="I821" i="48"/>
  <c r="B822" i="48" s="1"/>
  <c r="H821" i="48"/>
  <c r="G821" i="48"/>
  <c r="C821" i="48"/>
  <c r="D821" i="48"/>
  <c r="I821" i="47"/>
  <c r="B822" i="47" s="1"/>
  <c r="H821" i="47"/>
  <c r="D821" i="47"/>
  <c r="C821" i="47"/>
  <c r="G821" i="47"/>
  <c r="D770" i="35"/>
  <c r="I770" i="35"/>
  <c r="B771" i="35" s="1"/>
  <c r="C770" i="35"/>
  <c r="H770" i="35"/>
  <c r="G770" i="35"/>
  <c r="D823" i="55" l="1"/>
  <c r="C823" i="55"/>
  <c r="I823" i="55"/>
  <c r="B824" i="55" s="1"/>
  <c r="H823" i="55"/>
  <c r="G823" i="55"/>
  <c r="G823" i="54"/>
  <c r="D823" i="54"/>
  <c r="C823" i="54"/>
  <c r="I823" i="54"/>
  <c r="B824" i="54" s="1"/>
  <c r="H823" i="54"/>
  <c r="G823" i="53"/>
  <c r="D823" i="53"/>
  <c r="C823" i="53"/>
  <c r="I823" i="53"/>
  <c r="B824" i="53" s="1"/>
  <c r="H823" i="53"/>
  <c r="G823" i="52"/>
  <c r="D823" i="52"/>
  <c r="C823" i="52"/>
  <c r="I823" i="52"/>
  <c r="B824" i="52" s="1"/>
  <c r="H823" i="52"/>
  <c r="D823" i="51"/>
  <c r="C823" i="51"/>
  <c r="I823" i="51"/>
  <c r="B824" i="51" s="1"/>
  <c r="H823" i="51"/>
  <c r="G823" i="51"/>
  <c r="C822" i="50"/>
  <c r="I822" i="50"/>
  <c r="B823" i="50" s="1"/>
  <c r="H822" i="50"/>
  <c r="G822" i="50"/>
  <c r="D822" i="50"/>
  <c r="C822" i="49"/>
  <c r="I822" i="49"/>
  <c r="B823" i="49" s="1"/>
  <c r="G822" i="49"/>
  <c r="D822" i="49"/>
  <c r="H822" i="49"/>
  <c r="C822" i="48"/>
  <c r="I822" i="48"/>
  <c r="B823" i="48" s="1"/>
  <c r="G822" i="48"/>
  <c r="D822" i="48"/>
  <c r="H822" i="48"/>
  <c r="H822" i="47"/>
  <c r="G822" i="47"/>
  <c r="D822" i="47"/>
  <c r="C822" i="47"/>
  <c r="I822" i="47"/>
  <c r="B823" i="47" s="1"/>
  <c r="H771" i="35"/>
  <c r="G771" i="35"/>
  <c r="C771" i="35"/>
  <c r="I771" i="35"/>
  <c r="B772" i="35" s="1"/>
  <c r="D771" i="35"/>
  <c r="H824" i="55" l="1"/>
  <c r="G824" i="55"/>
  <c r="D824" i="55"/>
  <c r="C824" i="55"/>
  <c r="I824" i="55"/>
  <c r="B825" i="55" s="1"/>
  <c r="I824" i="54"/>
  <c r="B825" i="54" s="1"/>
  <c r="H824" i="54"/>
  <c r="G824" i="54"/>
  <c r="D824" i="54"/>
  <c r="C824" i="54"/>
  <c r="I824" i="53"/>
  <c r="B825" i="53" s="1"/>
  <c r="H824" i="53"/>
  <c r="G824" i="53"/>
  <c r="D824" i="53"/>
  <c r="C824" i="53"/>
  <c r="I824" i="52"/>
  <c r="B825" i="52" s="1"/>
  <c r="H824" i="52"/>
  <c r="G824" i="52"/>
  <c r="D824" i="52"/>
  <c r="C824" i="52"/>
  <c r="H824" i="51"/>
  <c r="G824" i="51"/>
  <c r="D824" i="51"/>
  <c r="I824" i="51"/>
  <c r="B825" i="51" s="1"/>
  <c r="C824" i="51"/>
  <c r="G823" i="50"/>
  <c r="D823" i="50"/>
  <c r="C823" i="50"/>
  <c r="I823" i="50"/>
  <c r="B824" i="50" s="1"/>
  <c r="H823" i="50"/>
  <c r="G823" i="49"/>
  <c r="C823" i="49"/>
  <c r="I823" i="49"/>
  <c r="B824" i="49" s="1"/>
  <c r="H823" i="49"/>
  <c r="D823" i="49"/>
  <c r="G823" i="48"/>
  <c r="D823" i="48"/>
  <c r="C823" i="48"/>
  <c r="I823" i="48"/>
  <c r="B824" i="48" s="1"/>
  <c r="H823" i="48"/>
  <c r="D823" i="47"/>
  <c r="C823" i="47"/>
  <c r="I823" i="47"/>
  <c r="B824" i="47" s="1"/>
  <c r="H823" i="47"/>
  <c r="G823" i="47"/>
  <c r="I772" i="35"/>
  <c r="B773" i="35" s="1"/>
  <c r="C772" i="35"/>
  <c r="G772" i="35"/>
  <c r="H772" i="35"/>
  <c r="D772" i="35"/>
  <c r="I825" i="55" l="1"/>
  <c r="B826" i="55" s="1"/>
  <c r="H825" i="55"/>
  <c r="G825" i="55"/>
  <c r="C825" i="55"/>
  <c r="D825" i="55"/>
  <c r="I825" i="54"/>
  <c r="B826" i="54" s="1"/>
  <c r="H825" i="54"/>
  <c r="G825" i="54"/>
  <c r="D825" i="54"/>
  <c r="C825" i="54"/>
  <c r="I825" i="53"/>
  <c r="B826" i="53" s="1"/>
  <c r="H825" i="53"/>
  <c r="G825" i="53"/>
  <c r="C825" i="53"/>
  <c r="D825" i="53"/>
  <c r="I825" i="52"/>
  <c r="B826" i="52" s="1"/>
  <c r="H825" i="52"/>
  <c r="G825" i="52"/>
  <c r="D825" i="52"/>
  <c r="C825" i="52"/>
  <c r="I825" i="51"/>
  <c r="B826" i="51" s="1"/>
  <c r="H825" i="51"/>
  <c r="D825" i="51"/>
  <c r="C825" i="51"/>
  <c r="G825" i="51"/>
  <c r="I824" i="50"/>
  <c r="B825" i="50" s="1"/>
  <c r="H824" i="50"/>
  <c r="G824" i="50"/>
  <c r="D824" i="50"/>
  <c r="C824" i="50"/>
  <c r="I824" i="49"/>
  <c r="B825" i="49" s="1"/>
  <c r="G824" i="49"/>
  <c r="D824" i="49"/>
  <c r="C824" i="49"/>
  <c r="H824" i="49"/>
  <c r="I824" i="48"/>
  <c r="B825" i="48" s="1"/>
  <c r="H824" i="48"/>
  <c r="G824" i="48"/>
  <c r="D824" i="48"/>
  <c r="C824" i="48"/>
  <c r="H824" i="47"/>
  <c r="G824" i="47"/>
  <c r="D824" i="47"/>
  <c r="C824" i="47"/>
  <c r="I824" i="47"/>
  <c r="B825" i="47" s="1"/>
  <c r="C773" i="35"/>
  <c r="G773" i="35"/>
  <c r="D773" i="35"/>
  <c r="I773" i="35"/>
  <c r="B774" i="35" s="1"/>
  <c r="H773" i="35"/>
  <c r="I826" i="55" l="1"/>
  <c r="B827" i="55" s="1"/>
  <c r="G826" i="55"/>
  <c r="D826" i="55"/>
  <c r="C826" i="55"/>
  <c r="H826" i="55"/>
  <c r="C826" i="54"/>
  <c r="I826" i="54"/>
  <c r="B827" i="54" s="1"/>
  <c r="H826" i="54"/>
  <c r="G826" i="54"/>
  <c r="D826" i="54"/>
  <c r="C826" i="53"/>
  <c r="I826" i="53"/>
  <c r="B827" i="53" s="1"/>
  <c r="G826" i="53"/>
  <c r="H826" i="53"/>
  <c r="D826" i="53"/>
  <c r="C826" i="52"/>
  <c r="I826" i="52"/>
  <c r="B827" i="52" s="1"/>
  <c r="H826" i="52"/>
  <c r="G826" i="52"/>
  <c r="D826" i="52"/>
  <c r="H826" i="51"/>
  <c r="G826" i="51"/>
  <c r="D826" i="51"/>
  <c r="C826" i="51"/>
  <c r="I826" i="51"/>
  <c r="B827" i="51" s="1"/>
  <c r="I825" i="50"/>
  <c r="B826" i="50" s="1"/>
  <c r="H825" i="50"/>
  <c r="G825" i="50"/>
  <c r="D825" i="50"/>
  <c r="C825" i="50"/>
  <c r="I825" i="49"/>
  <c r="B826" i="49" s="1"/>
  <c r="H825" i="49"/>
  <c r="G825" i="49"/>
  <c r="C825" i="49"/>
  <c r="D825" i="49"/>
  <c r="I825" i="48"/>
  <c r="B826" i="48" s="1"/>
  <c r="H825" i="48"/>
  <c r="G825" i="48"/>
  <c r="C825" i="48"/>
  <c r="D825" i="48"/>
  <c r="I825" i="47"/>
  <c r="B826" i="47" s="1"/>
  <c r="H825" i="47"/>
  <c r="D825" i="47"/>
  <c r="C825" i="47"/>
  <c r="G825" i="47"/>
  <c r="I774" i="35"/>
  <c r="B775" i="35" s="1"/>
  <c r="C774" i="35"/>
  <c r="H774" i="35"/>
  <c r="G774" i="35"/>
  <c r="D774" i="35"/>
  <c r="D827" i="55" l="1"/>
  <c r="C827" i="55"/>
  <c r="I827" i="55"/>
  <c r="B828" i="55" s="1"/>
  <c r="H827" i="55"/>
  <c r="G827" i="55"/>
  <c r="G827" i="54"/>
  <c r="D827" i="54"/>
  <c r="C827" i="54"/>
  <c r="I827" i="54"/>
  <c r="B828" i="54" s="1"/>
  <c r="H827" i="54"/>
  <c r="G827" i="53"/>
  <c r="D827" i="53"/>
  <c r="C827" i="53"/>
  <c r="I827" i="53"/>
  <c r="B828" i="53" s="1"/>
  <c r="H827" i="53"/>
  <c r="G827" i="52"/>
  <c r="D827" i="52"/>
  <c r="C827" i="52"/>
  <c r="I827" i="52"/>
  <c r="B828" i="52" s="1"/>
  <c r="H827" i="52"/>
  <c r="D827" i="51"/>
  <c r="C827" i="51"/>
  <c r="I827" i="51"/>
  <c r="B828" i="51" s="1"/>
  <c r="H827" i="51"/>
  <c r="G827" i="51"/>
  <c r="C826" i="50"/>
  <c r="I826" i="50"/>
  <c r="B827" i="50" s="1"/>
  <c r="H826" i="50"/>
  <c r="G826" i="50"/>
  <c r="D826" i="50"/>
  <c r="C826" i="49"/>
  <c r="I826" i="49"/>
  <c r="B827" i="49" s="1"/>
  <c r="G826" i="49"/>
  <c r="H826" i="49"/>
  <c r="D826" i="49"/>
  <c r="C826" i="48"/>
  <c r="I826" i="48"/>
  <c r="B827" i="48" s="1"/>
  <c r="G826" i="48"/>
  <c r="D826" i="48"/>
  <c r="H826" i="48"/>
  <c r="H826" i="47"/>
  <c r="G826" i="47"/>
  <c r="C826" i="47"/>
  <c r="I826" i="47"/>
  <c r="B827" i="47" s="1"/>
  <c r="D826" i="47"/>
  <c r="H775" i="35"/>
  <c r="G775" i="35"/>
  <c r="C775" i="35"/>
  <c r="D775" i="35"/>
  <c r="I775" i="35"/>
  <c r="B776" i="35" s="1"/>
  <c r="H828" i="55" l="1"/>
  <c r="G828" i="55"/>
  <c r="D828" i="55"/>
  <c r="C828" i="55"/>
  <c r="I828" i="55"/>
  <c r="B829" i="55" s="1"/>
  <c r="I828" i="54"/>
  <c r="B829" i="54" s="1"/>
  <c r="H828" i="54"/>
  <c r="G828" i="54"/>
  <c r="D828" i="54"/>
  <c r="C828" i="54"/>
  <c r="I828" i="53"/>
  <c r="B829" i="53" s="1"/>
  <c r="H828" i="53"/>
  <c r="G828" i="53"/>
  <c r="D828" i="53"/>
  <c r="C828" i="53"/>
  <c r="I828" i="52"/>
  <c r="B829" i="52" s="1"/>
  <c r="H828" i="52"/>
  <c r="G828" i="52"/>
  <c r="D828" i="52"/>
  <c r="C828" i="52"/>
  <c r="H828" i="51"/>
  <c r="G828" i="51"/>
  <c r="D828" i="51"/>
  <c r="I828" i="51"/>
  <c r="B829" i="51" s="1"/>
  <c r="C828" i="51"/>
  <c r="G827" i="50"/>
  <c r="D827" i="50"/>
  <c r="C827" i="50"/>
  <c r="I827" i="50"/>
  <c r="B828" i="50" s="1"/>
  <c r="H827" i="50"/>
  <c r="G827" i="49"/>
  <c r="C827" i="49"/>
  <c r="I827" i="49"/>
  <c r="B828" i="49" s="1"/>
  <c r="H827" i="49"/>
  <c r="D827" i="49"/>
  <c r="G827" i="48"/>
  <c r="D827" i="48"/>
  <c r="C827" i="48"/>
  <c r="I827" i="48"/>
  <c r="B828" i="48" s="1"/>
  <c r="H827" i="48"/>
  <c r="D827" i="47"/>
  <c r="C827" i="47"/>
  <c r="I827" i="47"/>
  <c r="B828" i="47" s="1"/>
  <c r="H827" i="47"/>
  <c r="G827" i="47"/>
  <c r="C776" i="35"/>
  <c r="I776" i="35"/>
  <c r="B777" i="35" s="1"/>
  <c r="G776" i="35"/>
  <c r="H776" i="35"/>
  <c r="D776" i="35"/>
  <c r="I829" i="55" l="1"/>
  <c r="B830" i="55" s="1"/>
  <c r="H829" i="55"/>
  <c r="G829" i="55"/>
  <c r="C829" i="55"/>
  <c r="D829" i="55"/>
  <c r="I829" i="54"/>
  <c r="B830" i="54" s="1"/>
  <c r="H829" i="54"/>
  <c r="G829" i="54"/>
  <c r="D829" i="54"/>
  <c r="C829" i="54"/>
  <c r="I829" i="53"/>
  <c r="B830" i="53" s="1"/>
  <c r="H829" i="53"/>
  <c r="G829" i="53"/>
  <c r="C829" i="53"/>
  <c r="D829" i="53"/>
  <c r="I829" i="52"/>
  <c r="B830" i="52" s="1"/>
  <c r="H829" i="52"/>
  <c r="G829" i="52"/>
  <c r="D829" i="52"/>
  <c r="C829" i="52"/>
  <c r="I829" i="51"/>
  <c r="B830" i="51" s="1"/>
  <c r="H829" i="51"/>
  <c r="D829" i="51"/>
  <c r="C829" i="51"/>
  <c r="G829" i="51"/>
  <c r="I828" i="50"/>
  <c r="B829" i="50" s="1"/>
  <c r="H828" i="50"/>
  <c r="G828" i="50"/>
  <c r="D828" i="50"/>
  <c r="C828" i="50"/>
  <c r="I828" i="49"/>
  <c r="B829" i="49" s="1"/>
  <c r="G828" i="49"/>
  <c r="D828" i="49"/>
  <c r="C828" i="49"/>
  <c r="H828" i="49"/>
  <c r="I828" i="48"/>
  <c r="B829" i="48" s="1"/>
  <c r="H828" i="48"/>
  <c r="G828" i="48"/>
  <c r="D828" i="48"/>
  <c r="C828" i="48"/>
  <c r="H828" i="47"/>
  <c r="G828" i="47"/>
  <c r="D828" i="47"/>
  <c r="I828" i="47"/>
  <c r="B829" i="47" s="1"/>
  <c r="C828" i="47"/>
  <c r="C777" i="35"/>
  <c r="G777" i="35"/>
  <c r="H777" i="35"/>
  <c r="D777" i="35"/>
  <c r="I777" i="35"/>
  <c r="B778" i="35" s="1"/>
  <c r="I830" i="55" l="1"/>
  <c r="B831" i="55" s="1"/>
  <c r="G830" i="55"/>
  <c r="C830" i="55"/>
  <c r="H830" i="55"/>
  <c r="D830" i="55"/>
  <c r="C830" i="54"/>
  <c r="I830" i="54"/>
  <c r="B831" i="54" s="1"/>
  <c r="H830" i="54"/>
  <c r="G830" i="54"/>
  <c r="D830" i="54"/>
  <c r="C830" i="53"/>
  <c r="I830" i="53"/>
  <c r="B831" i="53" s="1"/>
  <c r="G830" i="53"/>
  <c r="D830" i="53"/>
  <c r="H830" i="53"/>
  <c r="C830" i="52"/>
  <c r="I830" i="52"/>
  <c r="B831" i="52" s="1"/>
  <c r="H830" i="52"/>
  <c r="G830" i="52"/>
  <c r="D830" i="52"/>
  <c r="H830" i="51"/>
  <c r="G830" i="51"/>
  <c r="C830" i="51"/>
  <c r="I830" i="51"/>
  <c r="B831" i="51" s="1"/>
  <c r="D830" i="51"/>
  <c r="I829" i="50"/>
  <c r="B830" i="50" s="1"/>
  <c r="H829" i="50"/>
  <c r="G829" i="50"/>
  <c r="D829" i="50"/>
  <c r="C829" i="50"/>
  <c r="I829" i="49"/>
  <c r="B830" i="49" s="1"/>
  <c r="H829" i="49"/>
  <c r="G829" i="49"/>
  <c r="C829" i="49"/>
  <c r="D829" i="49"/>
  <c r="I829" i="48"/>
  <c r="B830" i="48" s="1"/>
  <c r="H829" i="48"/>
  <c r="G829" i="48"/>
  <c r="C829" i="48"/>
  <c r="D829" i="48"/>
  <c r="I829" i="47"/>
  <c r="B830" i="47" s="1"/>
  <c r="H829" i="47"/>
  <c r="D829" i="47"/>
  <c r="C829" i="47"/>
  <c r="G829" i="47"/>
  <c r="C778" i="35"/>
  <c r="D778" i="35"/>
  <c r="H778" i="35"/>
  <c r="I778" i="35"/>
  <c r="B779" i="35" s="1"/>
  <c r="G778" i="35"/>
  <c r="D831" i="55" l="1"/>
  <c r="C831" i="55"/>
  <c r="I831" i="55"/>
  <c r="B832" i="55" s="1"/>
  <c r="H831" i="55"/>
  <c r="G831" i="55"/>
  <c r="G831" i="54"/>
  <c r="D831" i="54"/>
  <c r="C831" i="54"/>
  <c r="I831" i="54"/>
  <c r="B832" i="54" s="1"/>
  <c r="H831" i="54"/>
  <c r="G831" i="53"/>
  <c r="D831" i="53"/>
  <c r="C831" i="53"/>
  <c r="I831" i="53"/>
  <c r="B832" i="53" s="1"/>
  <c r="H831" i="53"/>
  <c r="G831" i="52"/>
  <c r="D831" i="52"/>
  <c r="C831" i="52"/>
  <c r="I831" i="52"/>
  <c r="B832" i="52" s="1"/>
  <c r="H831" i="52"/>
  <c r="D831" i="51"/>
  <c r="C831" i="51"/>
  <c r="I831" i="51"/>
  <c r="B832" i="51" s="1"/>
  <c r="H831" i="51"/>
  <c r="G831" i="51"/>
  <c r="C830" i="50"/>
  <c r="I830" i="50"/>
  <c r="B831" i="50" s="1"/>
  <c r="H830" i="50"/>
  <c r="G830" i="50"/>
  <c r="D830" i="50"/>
  <c r="C830" i="49"/>
  <c r="I830" i="49"/>
  <c r="B831" i="49" s="1"/>
  <c r="G830" i="49"/>
  <c r="H830" i="49"/>
  <c r="D830" i="49"/>
  <c r="C830" i="48"/>
  <c r="I830" i="48"/>
  <c r="B831" i="48" s="1"/>
  <c r="G830" i="48"/>
  <c r="D830" i="48"/>
  <c r="H830" i="48"/>
  <c r="H830" i="47"/>
  <c r="G830" i="47"/>
  <c r="I830" i="47"/>
  <c r="B831" i="47" s="1"/>
  <c r="D830" i="47"/>
  <c r="C830" i="47"/>
  <c r="H779" i="35"/>
  <c r="G779" i="35"/>
  <c r="D779" i="35"/>
  <c r="I779" i="35"/>
  <c r="B780" i="35" s="1"/>
  <c r="C779" i="35"/>
  <c r="H832" i="55" l="1"/>
  <c r="G832" i="55"/>
  <c r="D832" i="55"/>
  <c r="C832" i="55"/>
  <c r="I832" i="55"/>
  <c r="B833" i="55" s="1"/>
  <c r="I832" i="54"/>
  <c r="B833" i="54" s="1"/>
  <c r="H832" i="54"/>
  <c r="G832" i="54"/>
  <c r="D832" i="54"/>
  <c r="C832" i="54"/>
  <c r="I832" i="53"/>
  <c r="B833" i="53" s="1"/>
  <c r="H832" i="53"/>
  <c r="G832" i="53"/>
  <c r="D832" i="53"/>
  <c r="C832" i="53"/>
  <c r="I832" i="52"/>
  <c r="B833" i="52" s="1"/>
  <c r="H832" i="52"/>
  <c r="G832" i="52"/>
  <c r="D832" i="52"/>
  <c r="C832" i="52"/>
  <c r="H832" i="51"/>
  <c r="G832" i="51"/>
  <c r="D832" i="51"/>
  <c r="I832" i="51"/>
  <c r="B833" i="51" s="1"/>
  <c r="C832" i="51"/>
  <c r="G831" i="50"/>
  <c r="D831" i="50"/>
  <c r="C831" i="50"/>
  <c r="I831" i="50"/>
  <c r="B832" i="50" s="1"/>
  <c r="H831" i="50"/>
  <c r="G831" i="49"/>
  <c r="C831" i="49"/>
  <c r="I831" i="49"/>
  <c r="B832" i="49" s="1"/>
  <c r="H831" i="49"/>
  <c r="D831" i="49"/>
  <c r="G831" i="48"/>
  <c r="D831" i="48"/>
  <c r="C831" i="48"/>
  <c r="I831" i="48"/>
  <c r="B832" i="48" s="1"/>
  <c r="H831" i="48"/>
  <c r="D831" i="47"/>
  <c r="C831" i="47"/>
  <c r="I831" i="47"/>
  <c r="B832" i="47" s="1"/>
  <c r="G831" i="47"/>
  <c r="H831" i="47"/>
  <c r="I780" i="35"/>
  <c r="B781" i="35" s="1"/>
  <c r="C780" i="35"/>
  <c r="D780" i="35"/>
  <c r="H780" i="35"/>
  <c r="G780" i="35"/>
  <c r="I833" i="55" l="1"/>
  <c r="B834" i="55" s="1"/>
  <c r="H833" i="55"/>
  <c r="G833" i="55"/>
  <c r="C833" i="55"/>
  <c r="D833" i="55"/>
  <c r="I833" i="54"/>
  <c r="B834" i="54" s="1"/>
  <c r="H833" i="54"/>
  <c r="G833" i="54"/>
  <c r="D833" i="54"/>
  <c r="C833" i="54"/>
  <c r="I833" i="53"/>
  <c r="B834" i="53" s="1"/>
  <c r="H833" i="53"/>
  <c r="G833" i="53"/>
  <c r="C833" i="53"/>
  <c r="D833" i="53"/>
  <c r="I833" i="52"/>
  <c r="B834" i="52" s="1"/>
  <c r="H833" i="52"/>
  <c r="G833" i="52"/>
  <c r="D833" i="52"/>
  <c r="C833" i="52"/>
  <c r="I833" i="51"/>
  <c r="B834" i="51" s="1"/>
  <c r="H833" i="51"/>
  <c r="D833" i="51"/>
  <c r="C833" i="51"/>
  <c r="G833" i="51"/>
  <c r="I832" i="50"/>
  <c r="B833" i="50" s="1"/>
  <c r="H832" i="50"/>
  <c r="G832" i="50"/>
  <c r="D832" i="50"/>
  <c r="C832" i="50"/>
  <c r="I832" i="49"/>
  <c r="B833" i="49" s="1"/>
  <c r="G832" i="49"/>
  <c r="D832" i="49"/>
  <c r="C832" i="49"/>
  <c r="H832" i="49"/>
  <c r="I832" i="48"/>
  <c r="B833" i="48" s="1"/>
  <c r="H832" i="48"/>
  <c r="G832" i="48"/>
  <c r="D832" i="48"/>
  <c r="C832" i="48"/>
  <c r="H832" i="47"/>
  <c r="G832" i="47"/>
  <c r="D832" i="47"/>
  <c r="I832" i="47"/>
  <c r="B833" i="47" s="1"/>
  <c r="C832" i="47"/>
  <c r="C781" i="35"/>
  <c r="G781" i="35"/>
  <c r="H781" i="35"/>
  <c r="D781" i="35"/>
  <c r="I781" i="35"/>
  <c r="B782" i="35" s="1"/>
  <c r="I834" i="55" l="1"/>
  <c r="B835" i="55" s="1"/>
  <c r="G834" i="55"/>
  <c r="H834" i="55"/>
  <c r="D834" i="55"/>
  <c r="C834" i="55"/>
  <c r="C834" i="54"/>
  <c r="I834" i="54"/>
  <c r="B835" i="54" s="1"/>
  <c r="H834" i="54"/>
  <c r="G834" i="54"/>
  <c r="D834" i="54"/>
  <c r="C834" i="53"/>
  <c r="I834" i="53"/>
  <c r="B835" i="53" s="1"/>
  <c r="G834" i="53"/>
  <c r="H834" i="53"/>
  <c r="D834" i="53"/>
  <c r="C834" i="52"/>
  <c r="I834" i="52"/>
  <c r="B835" i="52" s="1"/>
  <c r="H834" i="52"/>
  <c r="G834" i="52"/>
  <c r="D834" i="52"/>
  <c r="H834" i="51"/>
  <c r="G834" i="51"/>
  <c r="I834" i="51"/>
  <c r="B835" i="51" s="1"/>
  <c r="D834" i="51"/>
  <c r="C834" i="51"/>
  <c r="I833" i="50"/>
  <c r="B834" i="50" s="1"/>
  <c r="H833" i="50"/>
  <c r="G833" i="50"/>
  <c r="D833" i="50"/>
  <c r="C833" i="50"/>
  <c r="I833" i="49"/>
  <c r="B834" i="49" s="1"/>
  <c r="H833" i="49"/>
  <c r="G833" i="49"/>
  <c r="C833" i="49"/>
  <c r="D833" i="49"/>
  <c r="I833" i="48"/>
  <c r="B834" i="48" s="1"/>
  <c r="H833" i="48"/>
  <c r="G833" i="48"/>
  <c r="C833" i="48"/>
  <c r="D833" i="48"/>
  <c r="I833" i="47"/>
  <c r="B834" i="47" s="1"/>
  <c r="H833" i="47"/>
  <c r="D833" i="47"/>
  <c r="C833" i="47"/>
  <c r="G833" i="47"/>
  <c r="D782" i="35"/>
  <c r="C782" i="35"/>
  <c r="H782" i="35"/>
  <c r="G782" i="35"/>
  <c r="I782" i="35"/>
  <c r="B783" i="35" s="1"/>
  <c r="D835" i="55" l="1"/>
  <c r="C835" i="55"/>
  <c r="I835" i="55"/>
  <c r="B836" i="55" s="1"/>
  <c r="H835" i="55"/>
  <c r="G835" i="55"/>
  <c r="G835" i="54"/>
  <c r="D835" i="54"/>
  <c r="C835" i="54"/>
  <c r="I835" i="54"/>
  <c r="B836" i="54" s="1"/>
  <c r="H835" i="54"/>
  <c r="G835" i="53"/>
  <c r="D835" i="53"/>
  <c r="C835" i="53"/>
  <c r="I835" i="53"/>
  <c r="B836" i="53" s="1"/>
  <c r="H835" i="53"/>
  <c r="G835" i="52"/>
  <c r="D835" i="52"/>
  <c r="C835" i="52"/>
  <c r="I835" i="52"/>
  <c r="B836" i="52" s="1"/>
  <c r="H835" i="52"/>
  <c r="D835" i="51"/>
  <c r="C835" i="51"/>
  <c r="I835" i="51"/>
  <c r="B836" i="51" s="1"/>
  <c r="H835" i="51"/>
  <c r="G835" i="51"/>
  <c r="C834" i="50"/>
  <c r="I834" i="50"/>
  <c r="B835" i="50" s="1"/>
  <c r="H834" i="50"/>
  <c r="G834" i="50"/>
  <c r="D834" i="50"/>
  <c r="C834" i="49"/>
  <c r="I834" i="49"/>
  <c r="B835" i="49" s="1"/>
  <c r="G834" i="49"/>
  <c r="H834" i="49"/>
  <c r="D834" i="49"/>
  <c r="C834" i="48"/>
  <c r="I834" i="48"/>
  <c r="B835" i="48" s="1"/>
  <c r="G834" i="48"/>
  <c r="D834" i="48"/>
  <c r="H834" i="48"/>
  <c r="H834" i="47"/>
  <c r="G834" i="47"/>
  <c r="I834" i="47"/>
  <c r="B835" i="47" s="1"/>
  <c r="D834" i="47"/>
  <c r="C834" i="47"/>
  <c r="G783" i="35"/>
  <c r="H783" i="35"/>
  <c r="C783" i="35"/>
  <c r="I783" i="35"/>
  <c r="B784" i="35" s="1"/>
  <c r="D783" i="35"/>
  <c r="H836" i="55" l="1"/>
  <c r="G836" i="55"/>
  <c r="D836" i="55"/>
  <c r="C836" i="55"/>
  <c r="I836" i="55"/>
  <c r="B837" i="55" s="1"/>
  <c r="I836" i="54"/>
  <c r="B837" i="54" s="1"/>
  <c r="H836" i="54"/>
  <c r="G836" i="54"/>
  <c r="D836" i="54"/>
  <c r="C836" i="54"/>
  <c r="I836" i="53"/>
  <c r="B837" i="53" s="1"/>
  <c r="H836" i="53"/>
  <c r="G836" i="53"/>
  <c r="D836" i="53"/>
  <c r="C836" i="53"/>
  <c r="I836" i="52"/>
  <c r="B837" i="52" s="1"/>
  <c r="H836" i="52"/>
  <c r="G836" i="52"/>
  <c r="D836" i="52"/>
  <c r="C836" i="52"/>
  <c r="H836" i="51"/>
  <c r="G836" i="51"/>
  <c r="D836" i="51"/>
  <c r="I836" i="51"/>
  <c r="B837" i="51" s="1"/>
  <c r="C836" i="51"/>
  <c r="G835" i="50"/>
  <c r="D835" i="50"/>
  <c r="C835" i="50"/>
  <c r="I835" i="50"/>
  <c r="B836" i="50" s="1"/>
  <c r="H835" i="50"/>
  <c r="G835" i="49"/>
  <c r="C835" i="49"/>
  <c r="I835" i="49"/>
  <c r="B836" i="49" s="1"/>
  <c r="H835" i="49"/>
  <c r="D835" i="49"/>
  <c r="G835" i="48"/>
  <c r="D835" i="48"/>
  <c r="C835" i="48"/>
  <c r="I835" i="48"/>
  <c r="B836" i="48" s="1"/>
  <c r="H835" i="48"/>
  <c r="D835" i="47"/>
  <c r="C835" i="47"/>
  <c r="I835" i="47"/>
  <c r="B836" i="47" s="1"/>
  <c r="H835" i="47"/>
  <c r="G835" i="47"/>
  <c r="I784" i="35"/>
  <c r="B785" i="35" s="1"/>
  <c r="C784" i="35"/>
  <c r="G784" i="35"/>
  <c r="D784" i="35"/>
  <c r="H784" i="35"/>
  <c r="I837" i="55" l="1"/>
  <c r="B838" i="55" s="1"/>
  <c r="H837" i="55"/>
  <c r="G837" i="55"/>
  <c r="C837" i="55"/>
  <c r="D837" i="55"/>
  <c r="I837" i="54"/>
  <c r="B838" i="54" s="1"/>
  <c r="H837" i="54"/>
  <c r="G837" i="54"/>
  <c r="D837" i="54"/>
  <c r="C837" i="54"/>
  <c r="I837" i="53"/>
  <c r="B838" i="53" s="1"/>
  <c r="H837" i="53"/>
  <c r="G837" i="53"/>
  <c r="C837" i="53"/>
  <c r="D837" i="53"/>
  <c r="I837" i="52"/>
  <c r="B838" i="52" s="1"/>
  <c r="H837" i="52"/>
  <c r="G837" i="52"/>
  <c r="D837" i="52"/>
  <c r="C837" i="52"/>
  <c r="I837" i="51"/>
  <c r="B838" i="51" s="1"/>
  <c r="H837" i="51"/>
  <c r="D837" i="51"/>
  <c r="C837" i="51"/>
  <c r="G837" i="51"/>
  <c r="I836" i="50"/>
  <c r="B837" i="50" s="1"/>
  <c r="H836" i="50"/>
  <c r="G836" i="50"/>
  <c r="D836" i="50"/>
  <c r="C836" i="50"/>
  <c r="I836" i="49"/>
  <c r="B837" i="49" s="1"/>
  <c r="G836" i="49"/>
  <c r="D836" i="49"/>
  <c r="C836" i="49"/>
  <c r="H836" i="49"/>
  <c r="I836" i="48"/>
  <c r="B837" i="48" s="1"/>
  <c r="H836" i="48"/>
  <c r="G836" i="48"/>
  <c r="D836" i="48"/>
  <c r="C836" i="48"/>
  <c r="H836" i="47"/>
  <c r="G836" i="47"/>
  <c r="D836" i="47"/>
  <c r="I836" i="47"/>
  <c r="B837" i="47" s="1"/>
  <c r="C836" i="47"/>
  <c r="C785" i="35"/>
  <c r="G785" i="35"/>
  <c r="I785" i="35"/>
  <c r="B786" i="35" s="1"/>
  <c r="H785" i="35"/>
  <c r="D785" i="35"/>
  <c r="I838" i="55" l="1"/>
  <c r="B839" i="55" s="1"/>
  <c r="G838" i="55"/>
  <c r="H838" i="55"/>
  <c r="D838" i="55"/>
  <c r="C838" i="55"/>
  <c r="C838" i="54"/>
  <c r="I838" i="54"/>
  <c r="B839" i="54" s="1"/>
  <c r="H838" i="54"/>
  <c r="G838" i="54"/>
  <c r="D838" i="54"/>
  <c r="C838" i="53"/>
  <c r="I838" i="53"/>
  <c r="B839" i="53" s="1"/>
  <c r="G838" i="53"/>
  <c r="D838" i="53"/>
  <c r="H838" i="53"/>
  <c r="C838" i="52"/>
  <c r="I838" i="52"/>
  <c r="B839" i="52" s="1"/>
  <c r="H838" i="52"/>
  <c r="G838" i="52"/>
  <c r="D838" i="52"/>
  <c r="H838" i="51"/>
  <c r="G838" i="51"/>
  <c r="I838" i="51"/>
  <c r="B839" i="51" s="1"/>
  <c r="D838" i="51"/>
  <c r="C838" i="51"/>
  <c r="I837" i="50"/>
  <c r="B838" i="50" s="1"/>
  <c r="H837" i="50"/>
  <c r="G837" i="50"/>
  <c r="D837" i="50"/>
  <c r="C837" i="50"/>
  <c r="I837" i="49"/>
  <c r="B838" i="49" s="1"/>
  <c r="H837" i="49"/>
  <c r="G837" i="49"/>
  <c r="C837" i="49"/>
  <c r="D837" i="49"/>
  <c r="I837" i="48"/>
  <c r="B838" i="48" s="1"/>
  <c r="H837" i="48"/>
  <c r="G837" i="48"/>
  <c r="C837" i="48"/>
  <c r="D837" i="48"/>
  <c r="I837" i="47"/>
  <c r="B838" i="47" s="1"/>
  <c r="H837" i="47"/>
  <c r="D837" i="47"/>
  <c r="C837" i="47"/>
  <c r="G837" i="47"/>
  <c r="D786" i="35"/>
  <c r="C786" i="35"/>
  <c r="I786" i="35"/>
  <c r="B787" i="35" s="1"/>
  <c r="G786" i="35"/>
  <c r="H786" i="35"/>
  <c r="D839" i="55" l="1"/>
  <c r="C839" i="55"/>
  <c r="I839" i="55"/>
  <c r="B840" i="55" s="1"/>
  <c r="H839" i="55"/>
  <c r="G839" i="55"/>
  <c r="G839" i="54"/>
  <c r="D839" i="54"/>
  <c r="C839" i="54"/>
  <c r="I839" i="54"/>
  <c r="B840" i="54" s="1"/>
  <c r="H839" i="54"/>
  <c r="G839" i="53"/>
  <c r="D839" i="53"/>
  <c r="C839" i="53"/>
  <c r="I839" i="53"/>
  <c r="B840" i="53" s="1"/>
  <c r="H839" i="53"/>
  <c r="G839" i="52"/>
  <c r="D839" i="52"/>
  <c r="C839" i="52"/>
  <c r="I839" i="52"/>
  <c r="B840" i="52" s="1"/>
  <c r="H839" i="52"/>
  <c r="D839" i="51"/>
  <c r="C839" i="51"/>
  <c r="I839" i="51"/>
  <c r="B840" i="51" s="1"/>
  <c r="H839" i="51"/>
  <c r="G839" i="51"/>
  <c r="C838" i="50"/>
  <c r="I838" i="50"/>
  <c r="B839" i="50" s="1"/>
  <c r="H838" i="50"/>
  <c r="G838" i="50"/>
  <c r="D838" i="50"/>
  <c r="C838" i="49"/>
  <c r="I838" i="49"/>
  <c r="B839" i="49" s="1"/>
  <c r="G838" i="49"/>
  <c r="H838" i="49"/>
  <c r="D838" i="49"/>
  <c r="C838" i="48"/>
  <c r="I838" i="48"/>
  <c r="B839" i="48" s="1"/>
  <c r="G838" i="48"/>
  <c r="D838" i="48"/>
  <c r="H838" i="48"/>
  <c r="H838" i="47"/>
  <c r="G838" i="47"/>
  <c r="D838" i="47"/>
  <c r="I838" i="47"/>
  <c r="B839" i="47" s="1"/>
  <c r="C838" i="47"/>
  <c r="H787" i="35"/>
  <c r="G787" i="35"/>
  <c r="C787" i="35"/>
  <c r="I787" i="35"/>
  <c r="B788" i="35" s="1"/>
  <c r="D787" i="35"/>
  <c r="H840" i="55" l="1"/>
  <c r="G840" i="55"/>
  <c r="D840" i="55"/>
  <c r="C840" i="55"/>
  <c r="I840" i="55"/>
  <c r="I10" i="55" s="1"/>
  <c r="I840" i="54"/>
  <c r="I10" i="54" s="1"/>
  <c r="H840" i="54"/>
  <c r="G840" i="54"/>
  <c r="D840" i="54"/>
  <c r="C840" i="54"/>
  <c r="I840" i="53"/>
  <c r="I10" i="53" s="1"/>
  <c r="H840" i="53"/>
  <c r="G840" i="53"/>
  <c r="D840" i="53"/>
  <c r="C840" i="53"/>
  <c r="I840" i="52"/>
  <c r="I10" i="52" s="1"/>
  <c r="H840" i="52"/>
  <c r="G840" i="52"/>
  <c r="D840" i="52"/>
  <c r="C840" i="52"/>
  <c r="H840" i="51"/>
  <c r="G840" i="51"/>
  <c r="D840" i="51"/>
  <c r="I840" i="51"/>
  <c r="I10" i="51" s="1"/>
  <c r="C840" i="51"/>
  <c r="G839" i="50"/>
  <c r="D839" i="50"/>
  <c r="C839" i="50"/>
  <c r="I839" i="50"/>
  <c r="B840" i="50" s="1"/>
  <c r="H839" i="50"/>
  <c r="G839" i="49"/>
  <c r="C839" i="49"/>
  <c r="I839" i="49"/>
  <c r="B840" i="49" s="1"/>
  <c r="D839" i="49"/>
  <c r="H839" i="49"/>
  <c r="G839" i="48"/>
  <c r="D839" i="48"/>
  <c r="C839" i="48"/>
  <c r="I839" i="48"/>
  <c r="B840" i="48" s="1"/>
  <c r="H839" i="48"/>
  <c r="D839" i="47"/>
  <c r="C839" i="47"/>
  <c r="I839" i="47"/>
  <c r="B840" i="47" s="1"/>
  <c r="H839" i="47"/>
  <c r="G839" i="47"/>
  <c r="I788" i="35"/>
  <c r="B789" i="35" s="1"/>
  <c r="C788" i="35"/>
  <c r="G788" i="35"/>
  <c r="D788" i="35"/>
  <c r="H788" i="35"/>
  <c r="G26" i="55" l="1"/>
  <c r="G27" i="55" s="1"/>
  <c r="G28" i="55" s="1"/>
  <c r="D26" i="55"/>
  <c r="M33" i="3" s="1"/>
  <c r="E26" i="55"/>
  <c r="H26" i="55"/>
  <c r="H27" i="55" s="1"/>
  <c r="I7" i="55"/>
  <c r="I8" i="55"/>
  <c r="G26" i="54"/>
  <c r="E26" i="54"/>
  <c r="E27" i="54" s="1"/>
  <c r="H26" i="54"/>
  <c r="H27" i="54" s="1"/>
  <c r="D26" i="54"/>
  <c r="L30" i="3" s="1"/>
  <c r="I7" i="54"/>
  <c r="I8" i="54"/>
  <c r="G26" i="53"/>
  <c r="G27" i="53" s="1"/>
  <c r="H26" i="53"/>
  <c r="E26" i="53"/>
  <c r="E27" i="53" s="1"/>
  <c r="D26" i="53"/>
  <c r="K27" i="3" s="1"/>
  <c r="I8" i="53"/>
  <c r="I7" i="53"/>
  <c r="H26" i="52"/>
  <c r="H27" i="52" s="1"/>
  <c r="D26" i="52"/>
  <c r="J24" i="3" s="1"/>
  <c r="G26" i="52"/>
  <c r="G27" i="52" s="1"/>
  <c r="E26" i="52"/>
  <c r="E27" i="52" s="1"/>
  <c r="I7" i="52"/>
  <c r="I8" i="52"/>
  <c r="H26" i="51"/>
  <c r="D26" i="51"/>
  <c r="I21" i="3" s="1"/>
  <c r="G26" i="51"/>
  <c r="G27" i="51" s="1"/>
  <c r="G28" i="51" s="1"/>
  <c r="E26" i="51"/>
  <c r="E27" i="51" s="1"/>
  <c r="I8" i="51"/>
  <c r="I7" i="51"/>
  <c r="I840" i="50"/>
  <c r="I10" i="50" s="1"/>
  <c r="H840" i="50"/>
  <c r="G840" i="50"/>
  <c r="D840" i="50"/>
  <c r="C840" i="50"/>
  <c r="I840" i="49"/>
  <c r="I10" i="49" s="1"/>
  <c r="G840" i="49"/>
  <c r="D840" i="49"/>
  <c r="C840" i="49"/>
  <c r="H840" i="49"/>
  <c r="I840" i="48"/>
  <c r="I10" i="48" s="1"/>
  <c r="H840" i="48"/>
  <c r="G840" i="48"/>
  <c r="D840" i="48"/>
  <c r="C840" i="48"/>
  <c r="H840" i="47"/>
  <c r="G840" i="47"/>
  <c r="D840" i="47"/>
  <c r="C840" i="47"/>
  <c r="I840" i="47"/>
  <c r="I10" i="47" s="1"/>
  <c r="C789" i="35"/>
  <c r="G789" i="35"/>
  <c r="H789" i="35"/>
  <c r="I789" i="35"/>
  <c r="B790" i="35" s="1"/>
  <c r="D789" i="35"/>
  <c r="D27" i="55" l="1"/>
  <c r="D28" i="55" s="1"/>
  <c r="D29" i="55" s="1"/>
  <c r="D30" i="55" s="1"/>
  <c r="L26" i="55"/>
  <c r="D27" i="54"/>
  <c r="D27" i="52"/>
  <c r="D27" i="51"/>
  <c r="E27" i="55"/>
  <c r="E28" i="55" s="1"/>
  <c r="H28" i="55"/>
  <c r="H29" i="55" s="1"/>
  <c r="G29" i="55"/>
  <c r="G30" i="55" s="1"/>
  <c r="G31" i="55" s="1"/>
  <c r="I26" i="55"/>
  <c r="I27" i="55" s="1"/>
  <c r="K26" i="55"/>
  <c r="K27" i="55" s="1"/>
  <c r="E28" i="53"/>
  <c r="E29" i="53" s="1"/>
  <c r="E30" i="53" s="1"/>
  <c r="E28" i="54"/>
  <c r="E29" i="54" s="1"/>
  <c r="G27" i="54"/>
  <c r="G28" i="54" s="1"/>
  <c r="D28" i="54"/>
  <c r="K26" i="54"/>
  <c r="K27" i="54" s="1"/>
  <c r="I26" i="54"/>
  <c r="I27" i="54" s="1"/>
  <c r="G28" i="53"/>
  <c r="G29" i="53" s="1"/>
  <c r="H28" i="54"/>
  <c r="D27" i="53"/>
  <c r="L27" i="3" s="1"/>
  <c r="I26" i="53"/>
  <c r="K26" i="53"/>
  <c r="H27" i="53"/>
  <c r="E28" i="52"/>
  <c r="E29" i="52" s="1"/>
  <c r="H28" i="52"/>
  <c r="H29" i="52" s="1"/>
  <c r="G28" i="52"/>
  <c r="G29" i="52" s="1"/>
  <c r="I26" i="52"/>
  <c r="I27" i="52" s="1"/>
  <c r="K26" i="52"/>
  <c r="K27" i="52" s="1"/>
  <c r="E28" i="51"/>
  <c r="H27" i="51"/>
  <c r="G29" i="51"/>
  <c r="I26" i="51"/>
  <c r="K26" i="51"/>
  <c r="E26" i="50"/>
  <c r="E27" i="50" s="1"/>
  <c r="H26" i="50"/>
  <c r="H27" i="50" s="1"/>
  <c r="G26" i="50"/>
  <c r="G27" i="50" s="1"/>
  <c r="D26" i="50"/>
  <c r="H18" i="3" s="1"/>
  <c r="I7" i="50"/>
  <c r="I8" i="50"/>
  <c r="E26" i="49"/>
  <c r="E27" i="49" s="1"/>
  <c r="H26" i="49"/>
  <c r="D26" i="49"/>
  <c r="G26" i="49"/>
  <c r="G27" i="49" s="1"/>
  <c r="I8" i="49"/>
  <c r="I7" i="49"/>
  <c r="D26" i="48"/>
  <c r="F12" i="3" s="1"/>
  <c r="E26" i="48"/>
  <c r="E27" i="48" s="1"/>
  <c r="H26" i="48"/>
  <c r="G26" i="48"/>
  <c r="G27" i="48" s="1"/>
  <c r="I7" i="48"/>
  <c r="I8" i="48"/>
  <c r="D26" i="47"/>
  <c r="G26" i="47"/>
  <c r="G27" i="47" s="1"/>
  <c r="E26" i="47"/>
  <c r="E27" i="47" s="1"/>
  <c r="H26" i="47"/>
  <c r="I8" i="47"/>
  <c r="I7" i="47"/>
  <c r="C790" i="35"/>
  <c r="D790" i="35"/>
  <c r="I790" i="35"/>
  <c r="B791" i="35" s="1"/>
  <c r="H790" i="35"/>
  <c r="G790" i="35"/>
  <c r="L27" i="54" l="1"/>
  <c r="M30" i="3"/>
  <c r="D28" i="52"/>
  <c r="K24" i="3"/>
  <c r="D28" i="51"/>
  <c r="K21" i="3" s="1"/>
  <c r="J21" i="3"/>
  <c r="G15" i="3"/>
  <c r="E9" i="3"/>
  <c r="N33" i="3"/>
  <c r="D27" i="48"/>
  <c r="H30" i="55"/>
  <c r="H31" i="55" s="1"/>
  <c r="H32" i="55" s="1"/>
  <c r="K28" i="55"/>
  <c r="K29" i="55" s="1"/>
  <c r="I28" i="55"/>
  <c r="I29" i="55" s="1"/>
  <c r="E29" i="55"/>
  <c r="K28" i="54"/>
  <c r="G30" i="53"/>
  <c r="G31" i="53" s="1"/>
  <c r="G32" i="55"/>
  <c r="D31" i="55"/>
  <c r="E31" i="53"/>
  <c r="G29" i="54"/>
  <c r="G30" i="54" s="1"/>
  <c r="H29" i="54"/>
  <c r="H30" i="54" s="1"/>
  <c r="K28" i="52"/>
  <c r="K29" i="52" s="1"/>
  <c r="I28" i="54"/>
  <c r="I28" i="52"/>
  <c r="I29" i="52" s="1"/>
  <c r="E30" i="54"/>
  <c r="D29" i="54"/>
  <c r="E30" i="52"/>
  <c r="E31" i="52" s="1"/>
  <c r="E32" i="52" s="1"/>
  <c r="I27" i="53"/>
  <c r="D28" i="53"/>
  <c r="H28" i="53"/>
  <c r="H29" i="53" s="1"/>
  <c r="K27" i="53"/>
  <c r="G30" i="52"/>
  <c r="H30" i="52"/>
  <c r="K27" i="51"/>
  <c r="I27" i="51"/>
  <c r="E29" i="51"/>
  <c r="E30" i="51" s="1"/>
  <c r="D27" i="50"/>
  <c r="I18" i="3" s="1"/>
  <c r="H28" i="51"/>
  <c r="G30" i="51"/>
  <c r="G28" i="50"/>
  <c r="G29" i="50" s="1"/>
  <c r="E28" i="50"/>
  <c r="H28" i="50"/>
  <c r="I26" i="50"/>
  <c r="I27" i="50" s="1"/>
  <c r="K26" i="50"/>
  <c r="K27" i="50" s="1"/>
  <c r="G28" i="49"/>
  <c r="D27" i="49"/>
  <c r="H15" i="3" s="1"/>
  <c r="E28" i="49"/>
  <c r="H27" i="49"/>
  <c r="K26" i="49"/>
  <c r="I26" i="49"/>
  <c r="E28" i="48"/>
  <c r="E29" i="48" s="1"/>
  <c r="G28" i="48"/>
  <c r="I26" i="48"/>
  <c r="K26" i="48"/>
  <c r="H27" i="48"/>
  <c r="H28" i="48" s="1"/>
  <c r="E28" i="47"/>
  <c r="G28" i="47"/>
  <c r="G29" i="47" s="1"/>
  <c r="I26" i="47"/>
  <c r="K26" i="47"/>
  <c r="H27" i="47"/>
  <c r="D27" i="47"/>
  <c r="H791" i="35"/>
  <c r="G791" i="35"/>
  <c r="I791" i="35"/>
  <c r="B792" i="35" s="1"/>
  <c r="C791" i="35"/>
  <c r="D791" i="35"/>
  <c r="D28" i="48" l="1"/>
  <c r="H12" i="3" s="1"/>
  <c r="G12" i="3"/>
  <c r="D29" i="51"/>
  <c r="L21" i="3" s="1"/>
  <c r="D29" i="53"/>
  <c r="D30" i="53" s="1"/>
  <c r="M27" i="3"/>
  <c r="D29" i="52"/>
  <c r="L24" i="3"/>
  <c r="F9" i="3"/>
  <c r="N30" i="3"/>
  <c r="I30" i="55"/>
  <c r="I31" i="55" s="1"/>
  <c r="I32" i="55" s="1"/>
  <c r="L28" i="53"/>
  <c r="G32" i="53"/>
  <c r="G33" i="53" s="1"/>
  <c r="K30" i="55"/>
  <c r="K31" i="55" s="1"/>
  <c r="K32" i="55" s="1"/>
  <c r="K30" i="52"/>
  <c r="E30" i="55"/>
  <c r="H31" i="52"/>
  <c r="H33" i="55"/>
  <c r="H34" i="55" s="1"/>
  <c r="G33" i="55"/>
  <c r="G34" i="55" s="1"/>
  <c r="G35" i="55" s="1"/>
  <c r="D32" i="55"/>
  <c r="I29" i="54"/>
  <c r="I30" i="54" s="1"/>
  <c r="K28" i="53"/>
  <c r="K29" i="53" s="1"/>
  <c r="E31" i="54"/>
  <c r="H31" i="54"/>
  <c r="K29" i="54"/>
  <c r="K30" i="54" s="1"/>
  <c r="E32" i="53"/>
  <c r="E33" i="53" s="1"/>
  <c r="G31" i="54"/>
  <c r="D30" i="54"/>
  <c r="H30" i="53"/>
  <c r="I28" i="53"/>
  <c r="I29" i="53" s="1"/>
  <c r="G31" i="52"/>
  <c r="E33" i="52"/>
  <c r="I30" i="52"/>
  <c r="D28" i="50"/>
  <c r="K28" i="51"/>
  <c r="H29" i="51"/>
  <c r="E31" i="51"/>
  <c r="G31" i="51"/>
  <c r="I28" i="51"/>
  <c r="G30" i="50"/>
  <c r="G31" i="50" s="1"/>
  <c r="G32" i="50" s="1"/>
  <c r="E29" i="50"/>
  <c r="E30" i="50" s="1"/>
  <c r="H29" i="50"/>
  <c r="K28" i="50"/>
  <c r="I28" i="50"/>
  <c r="E29" i="49"/>
  <c r="E30" i="49" s="1"/>
  <c r="K27" i="49"/>
  <c r="D28" i="49"/>
  <c r="I15" i="3" s="1"/>
  <c r="I27" i="49"/>
  <c r="H28" i="49"/>
  <c r="G29" i="49"/>
  <c r="E30" i="48"/>
  <c r="E31" i="48" s="1"/>
  <c r="K27" i="48"/>
  <c r="K28" i="48" s="1"/>
  <c r="I27" i="48"/>
  <c r="I28" i="48" s="1"/>
  <c r="H29" i="48"/>
  <c r="H30" i="48" s="1"/>
  <c r="G29" i="48"/>
  <c r="K27" i="47"/>
  <c r="D28" i="47"/>
  <c r="I27" i="47"/>
  <c r="E29" i="47"/>
  <c r="H28" i="47"/>
  <c r="G30" i="47"/>
  <c r="C792" i="35"/>
  <c r="I792" i="35"/>
  <c r="B793" i="35" s="1"/>
  <c r="H792" i="35"/>
  <c r="G792" i="35"/>
  <c r="D792" i="35"/>
  <c r="D29" i="48" l="1"/>
  <c r="D30" i="48" s="1"/>
  <c r="K31" i="52"/>
  <c r="D30" i="51"/>
  <c r="M21" i="3" s="1"/>
  <c r="M24" i="3"/>
  <c r="D30" i="52"/>
  <c r="D31" i="52" s="1"/>
  <c r="D32" i="52" s="1"/>
  <c r="L29" i="52"/>
  <c r="D29" i="50"/>
  <c r="K18" i="3" s="1"/>
  <c r="J18" i="3"/>
  <c r="N27" i="3"/>
  <c r="D29" i="47"/>
  <c r="D30" i="47" s="1"/>
  <c r="G9" i="3"/>
  <c r="G34" i="53"/>
  <c r="G35" i="53" s="1"/>
  <c r="G36" i="53" s="1"/>
  <c r="H32" i="52"/>
  <c r="K32" i="52" s="1"/>
  <c r="K33" i="55"/>
  <c r="K34" i="55" s="1"/>
  <c r="I31" i="52"/>
  <c r="I33" i="55"/>
  <c r="I34" i="55" s="1"/>
  <c r="H35" i="55"/>
  <c r="H36" i="55" s="1"/>
  <c r="H37" i="55" s="1"/>
  <c r="H38" i="55" s="1"/>
  <c r="H39" i="55" s="1"/>
  <c r="H40" i="55" s="1"/>
  <c r="H41" i="55" s="1"/>
  <c r="H42" i="55" s="1"/>
  <c r="H43" i="55" s="1"/>
  <c r="H44" i="55" s="1"/>
  <c r="H45" i="55" s="1"/>
  <c r="H46" i="55" s="1"/>
  <c r="H47" i="55" s="1"/>
  <c r="H48" i="55" s="1"/>
  <c r="H49" i="55" s="1"/>
  <c r="H50" i="55" s="1"/>
  <c r="H51" i="55" s="1"/>
  <c r="H52" i="55" s="1"/>
  <c r="H53" i="55" s="1"/>
  <c r="H54" i="55" s="1"/>
  <c r="H55" i="55" s="1"/>
  <c r="H56" i="55" s="1"/>
  <c r="E31" i="55"/>
  <c r="G36" i="55"/>
  <c r="G37" i="55" s="1"/>
  <c r="K31" i="54"/>
  <c r="E32" i="54"/>
  <c r="E33" i="54" s="1"/>
  <c r="D33" i="55"/>
  <c r="G32" i="54"/>
  <c r="E34" i="53"/>
  <c r="E35" i="53" s="1"/>
  <c r="E36" i="53" s="1"/>
  <c r="E37" i="53" s="1"/>
  <c r="D31" i="54"/>
  <c r="I31" i="54"/>
  <c r="H32" i="54"/>
  <c r="I29" i="51"/>
  <c r="H31" i="53"/>
  <c r="D31" i="53"/>
  <c r="D32" i="53" s="1"/>
  <c r="I30" i="53"/>
  <c r="K30" i="53"/>
  <c r="E34" i="52"/>
  <c r="G32" i="52"/>
  <c r="G33" i="52" s="1"/>
  <c r="I29" i="50"/>
  <c r="K29" i="50"/>
  <c r="G32" i="51"/>
  <c r="H30" i="51"/>
  <c r="H31" i="51" s="1"/>
  <c r="K29" i="51"/>
  <c r="E32" i="51"/>
  <c r="E31" i="50"/>
  <c r="E32" i="50" s="1"/>
  <c r="H30" i="50"/>
  <c r="G33" i="50"/>
  <c r="I28" i="49"/>
  <c r="H29" i="49"/>
  <c r="D29" i="49"/>
  <c r="J15" i="3" s="1"/>
  <c r="K28" i="49"/>
  <c r="G30" i="49"/>
  <c r="E31" i="49"/>
  <c r="I29" i="48"/>
  <c r="I30" i="48" s="1"/>
  <c r="K29" i="48"/>
  <c r="K30" i="48" s="1"/>
  <c r="G30" i="48"/>
  <c r="E32" i="48"/>
  <c r="H31" i="48"/>
  <c r="I28" i="47"/>
  <c r="K28" i="47"/>
  <c r="H29" i="47"/>
  <c r="E30" i="47"/>
  <c r="G31" i="47"/>
  <c r="C793" i="35"/>
  <c r="G793" i="35"/>
  <c r="H793" i="35"/>
  <c r="D793" i="35"/>
  <c r="I793" i="35"/>
  <c r="B794" i="35" s="1"/>
  <c r="I12" i="3" l="1"/>
  <c r="D31" i="51"/>
  <c r="D32" i="51" s="1"/>
  <c r="D33" i="51" s="1"/>
  <c r="L30" i="51"/>
  <c r="D31" i="48"/>
  <c r="J12" i="3"/>
  <c r="H33" i="52"/>
  <c r="H34" i="52" s="1"/>
  <c r="H35" i="52" s="1"/>
  <c r="D30" i="50"/>
  <c r="H9" i="3"/>
  <c r="N24" i="3"/>
  <c r="N21" i="3"/>
  <c r="D31" i="47"/>
  <c r="I9" i="3"/>
  <c r="I32" i="52"/>
  <c r="E32" i="55"/>
  <c r="E33" i="55" s="1"/>
  <c r="K35" i="55"/>
  <c r="K36" i="55" s="1"/>
  <c r="K37" i="55" s="1"/>
  <c r="K38" i="55" s="1"/>
  <c r="K39" i="55" s="1"/>
  <c r="K40" i="55" s="1"/>
  <c r="K41" i="55" s="1"/>
  <c r="K42" i="55" s="1"/>
  <c r="K43" i="55" s="1"/>
  <c r="K44" i="55" s="1"/>
  <c r="K45" i="55" s="1"/>
  <c r="K46" i="55" s="1"/>
  <c r="K47" i="55" s="1"/>
  <c r="K48" i="55" s="1"/>
  <c r="K49" i="55" s="1"/>
  <c r="K50" i="55" s="1"/>
  <c r="K51" i="55" s="1"/>
  <c r="K52" i="55" s="1"/>
  <c r="K53" i="55" s="1"/>
  <c r="K54" i="55" s="1"/>
  <c r="I35" i="55"/>
  <c r="I36" i="55" s="1"/>
  <c r="I37" i="55" s="1"/>
  <c r="I38" i="55" s="1"/>
  <c r="I39" i="55" s="1"/>
  <c r="I40" i="55" s="1"/>
  <c r="I41" i="55" s="1"/>
  <c r="I42" i="55" s="1"/>
  <c r="I43" i="55" s="1"/>
  <c r="I44" i="55" s="1"/>
  <c r="I45" i="55" s="1"/>
  <c r="I46" i="55" s="1"/>
  <c r="I47" i="55" s="1"/>
  <c r="I48" i="55" s="1"/>
  <c r="I49" i="55" s="1"/>
  <c r="I50" i="55" s="1"/>
  <c r="I51" i="55" s="1"/>
  <c r="I52" i="55" s="1"/>
  <c r="I53" i="55" s="1"/>
  <c r="I54" i="55" s="1"/>
  <c r="I55" i="55" s="1"/>
  <c r="I56" i="55" s="1"/>
  <c r="E34" i="54"/>
  <c r="E35" i="54" s="1"/>
  <c r="E36" i="54" s="1"/>
  <c r="G38" i="55"/>
  <c r="G39" i="55" s="1"/>
  <c r="G40" i="55" s="1"/>
  <c r="I31" i="53"/>
  <c r="D34" i="55"/>
  <c r="D35" i="55" s="1"/>
  <c r="H33" i="54"/>
  <c r="H34" i="54" s="1"/>
  <c r="K31" i="53"/>
  <c r="D32" i="54"/>
  <c r="K32" i="54"/>
  <c r="I32" i="54"/>
  <c r="G33" i="54"/>
  <c r="G34" i="54" s="1"/>
  <c r="G35" i="54" s="1"/>
  <c r="E38" i="53"/>
  <c r="E39" i="53" s="1"/>
  <c r="K30" i="51"/>
  <c r="K31" i="51" s="1"/>
  <c r="D33" i="53"/>
  <c r="D34" i="53" s="1"/>
  <c r="H32" i="53"/>
  <c r="I30" i="51"/>
  <c r="I31" i="51" s="1"/>
  <c r="G37" i="53"/>
  <c r="G38" i="53" s="1"/>
  <c r="G39" i="53" s="1"/>
  <c r="G40" i="53" s="1"/>
  <c r="G41" i="53" s="1"/>
  <c r="G42" i="53" s="1"/>
  <c r="G43" i="53" s="1"/>
  <c r="G44" i="53" s="1"/>
  <c r="G45" i="53" s="1"/>
  <c r="G46" i="53" s="1"/>
  <c r="G47" i="53" s="1"/>
  <c r="G48" i="53" s="1"/>
  <c r="G49" i="53" s="1"/>
  <c r="G50" i="53" s="1"/>
  <c r="G51" i="53" s="1"/>
  <c r="G52" i="53" s="1"/>
  <c r="G53" i="53" s="1"/>
  <c r="G54" i="53" s="1"/>
  <c r="G55" i="53" s="1"/>
  <c r="G56" i="53" s="1"/>
  <c r="G34" i="52"/>
  <c r="G35" i="52" s="1"/>
  <c r="E35" i="52"/>
  <c r="D33" i="52"/>
  <c r="E33" i="51"/>
  <c r="E34" i="51" s="1"/>
  <c r="E35" i="51" s="1"/>
  <c r="E36" i="51" s="1"/>
  <c r="E37" i="51" s="1"/>
  <c r="H32" i="51"/>
  <c r="G33" i="51"/>
  <c r="K29" i="49"/>
  <c r="K30" i="50"/>
  <c r="I30" i="50"/>
  <c r="H31" i="50"/>
  <c r="H32" i="50" s="1"/>
  <c r="G34" i="50"/>
  <c r="E33" i="50"/>
  <c r="E32" i="49"/>
  <c r="E33" i="49" s="1"/>
  <c r="I29" i="49"/>
  <c r="G31" i="49"/>
  <c r="G32" i="49" s="1"/>
  <c r="G33" i="49" s="1"/>
  <c r="H30" i="49"/>
  <c r="D30" i="49"/>
  <c r="K15" i="3" s="1"/>
  <c r="H32" i="48"/>
  <c r="H33" i="48" s="1"/>
  <c r="H34" i="48" s="1"/>
  <c r="H35" i="48" s="1"/>
  <c r="H36" i="48" s="1"/>
  <c r="G31" i="48"/>
  <c r="G32" i="48" s="1"/>
  <c r="E33" i="48"/>
  <c r="E34" i="48" s="1"/>
  <c r="E35" i="48" s="1"/>
  <c r="E36" i="48" s="1"/>
  <c r="E37" i="48" s="1"/>
  <c r="K31" i="48"/>
  <c r="I31" i="48"/>
  <c r="G32" i="47"/>
  <c r="G33" i="47" s="1"/>
  <c r="G34" i="47" s="1"/>
  <c r="D32" i="47"/>
  <c r="H30" i="47"/>
  <c r="H31" i="47" s="1"/>
  <c r="E31" i="47"/>
  <c r="I29" i="47"/>
  <c r="K29" i="47"/>
  <c r="I794" i="35"/>
  <c r="B795" i="35" s="1"/>
  <c r="D794" i="35"/>
  <c r="H794" i="35"/>
  <c r="G794" i="35"/>
  <c r="C794" i="35"/>
  <c r="I33" i="52" l="1"/>
  <c r="I34" i="52" s="1"/>
  <c r="I35" i="52" s="1"/>
  <c r="D34" i="51"/>
  <c r="K12" i="3"/>
  <c r="D32" i="48"/>
  <c r="K33" i="52"/>
  <c r="K34" i="52" s="1"/>
  <c r="K35" i="52" s="1"/>
  <c r="D31" i="50"/>
  <c r="L18" i="3"/>
  <c r="K9" i="3"/>
  <c r="J9" i="3"/>
  <c r="H36" i="52"/>
  <c r="H37" i="52" s="1"/>
  <c r="H38" i="52" s="1"/>
  <c r="H39" i="52" s="1"/>
  <c r="H40" i="52" s="1"/>
  <c r="H41" i="52" s="1"/>
  <c r="H42" i="52" s="1"/>
  <c r="H43" i="52" s="1"/>
  <c r="H44" i="52" s="1"/>
  <c r="H45" i="52" s="1"/>
  <c r="H46" i="52" s="1"/>
  <c r="H47" i="52" s="1"/>
  <c r="H48" i="52" s="1"/>
  <c r="H49" i="52" s="1"/>
  <c r="H50" i="52" s="1"/>
  <c r="H51" i="52" s="1"/>
  <c r="H52" i="52" s="1"/>
  <c r="H53" i="52" s="1"/>
  <c r="H54" i="52" s="1"/>
  <c r="H55" i="52" s="1"/>
  <c r="H56" i="52" s="1"/>
  <c r="K33" i="54"/>
  <c r="K34" i="54" s="1"/>
  <c r="I33" i="54"/>
  <c r="I34" i="54" s="1"/>
  <c r="E34" i="55"/>
  <c r="D36" i="55"/>
  <c r="G41" i="55"/>
  <c r="G42" i="55" s="1"/>
  <c r="G43" i="55" s="1"/>
  <c r="G44" i="55" s="1"/>
  <c r="G45" i="55" s="1"/>
  <c r="G46" i="55" s="1"/>
  <c r="G47" i="55" s="1"/>
  <c r="G48" i="55" s="1"/>
  <c r="G49" i="55" s="1"/>
  <c r="G50" i="55" s="1"/>
  <c r="G51" i="55" s="1"/>
  <c r="G52" i="55" s="1"/>
  <c r="G53" i="55" s="1"/>
  <c r="G54" i="55" s="1"/>
  <c r="G55" i="55" s="1"/>
  <c r="G56" i="55" s="1"/>
  <c r="E37" i="54"/>
  <c r="E38" i="54" s="1"/>
  <c r="H35" i="54"/>
  <c r="H36" i="54" s="1"/>
  <c r="H37" i="54" s="1"/>
  <c r="G36" i="54"/>
  <c r="G37" i="54" s="1"/>
  <c r="G38" i="54" s="1"/>
  <c r="E40" i="53"/>
  <c r="E41" i="53" s="1"/>
  <c r="E42" i="53" s="1"/>
  <c r="E43" i="53" s="1"/>
  <c r="E44" i="53" s="1"/>
  <c r="E45" i="53" s="1"/>
  <c r="E46" i="53" s="1"/>
  <c r="E47" i="53" s="1"/>
  <c r="E48" i="53" s="1"/>
  <c r="E49" i="53" s="1"/>
  <c r="E50" i="53" s="1"/>
  <c r="E51" i="53" s="1"/>
  <c r="E52" i="53" s="1"/>
  <c r="E53" i="53" s="1"/>
  <c r="E54" i="53" s="1"/>
  <c r="E55" i="53" s="1"/>
  <c r="E56" i="53" s="1"/>
  <c r="D33" i="54"/>
  <c r="H33" i="53"/>
  <c r="K32" i="53"/>
  <c r="D35" i="53"/>
  <c r="I32" i="53"/>
  <c r="G36" i="52"/>
  <c r="G37" i="52" s="1"/>
  <c r="G38" i="52" s="1"/>
  <c r="G39" i="52" s="1"/>
  <c r="G40" i="52" s="1"/>
  <c r="G41" i="52" s="1"/>
  <c r="G42" i="52" s="1"/>
  <c r="G43" i="52" s="1"/>
  <c r="G44" i="52" s="1"/>
  <c r="G45" i="52" s="1"/>
  <c r="G46" i="52" s="1"/>
  <c r="G47" i="52" s="1"/>
  <c r="G48" i="52" s="1"/>
  <c r="G49" i="52" s="1"/>
  <c r="G50" i="52" s="1"/>
  <c r="G51" i="52" s="1"/>
  <c r="G52" i="52" s="1"/>
  <c r="G53" i="52" s="1"/>
  <c r="G54" i="52" s="1"/>
  <c r="G55" i="52" s="1"/>
  <c r="G56" i="52" s="1"/>
  <c r="K32" i="51"/>
  <c r="E36" i="52"/>
  <c r="E37" i="52" s="1"/>
  <c r="E38" i="52" s="1"/>
  <c r="E39" i="52" s="1"/>
  <c r="E40" i="52" s="1"/>
  <c r="E41" i="52" s="1"/>
  <c r="E42" i="52" s="1"/>
  <c r="E43" i="52" s="1"/>
  <c r="E44" i="52" s="1"/>
  <c r="E45" i="52" s="1"/>
  <c r="E46" i="52" s="1"/>
  <c r="E47" i="52" s="1"/>
  <c r="E48" i="52" s="1"/>
  <c r="E49" i="52" s="1"/>
  <c r="E50" i="52" s="1"/>
  <c r="E51" i="52" s="1"/>
  <c r="E52" i="52" s="1"/>
  <c r="E53" i="52" s="1"/>
  <c r="E54" i="52" s="1"/>
  <c r="E55" i="52" s="1"/>
  <c r="E56" i="52" s="1"/>
  <c r="D34" i="52"/>
  <c r="I32" i="51"/>
  <c r="H33" i="51"/>
  <c r="E38" i="51"/>
  <c r="E39" i="51" s="1"/>
  <c r="E40" i="51" s="1"/>
  <c r="E41" i="51" s="1"/>
  <c r="E42" i="51" s="1"/>
  <c r="E43" i="51" s="1"/>
  <c r="E44" i="51" s="1"/>
  <c r="E45" i="51" s="1"/>
  <c r="E46" i="51" s="1"/>
  <c r="E47" i="51" s="1"/>
  <c r="E48" i="51" s="1"/>
  <c r="E49" i="51" s="1"/>
  <c r="E50" i="51" s="1"/>
  <c r="E51" i="51" s="1"/>
  <c r="E52" i="51" s="1"/>
  <c r="E53" i="51" s="1"/>
  <c r="E54" i="51" s="1"/>
  <c r="E55" i="51" s="1"/>
  <c r="E56" i="51" s="1"/>
  <c r="G34" i="51"/>
  <c r="G35" i="51" s="1"/>
  <c r="G36" i="51" s="1"/>
  <c r="G37" i="51" s="1"/>
  <c r="G38" i="51" s="1"/>
  <c r="G39" i="51" s="1"/>
  <c r="G40" i="51" s="1"/>
  <c r="G41" i="51" s="1"/>
  <c r="G42" i="51" s="1"/>
  <c r="G43" i="51" s="1"/>
  <c r="G44" i="51" s="1"/>
  <c r="G45" i="51" s="1"/>
  <c r="G46" i="51" s="1"/>
  <c r="G47" i="51" s="1"/>
  <c r="G48" i="51" s="1"/>
  <c r="G49" i="51" s="1"/>
  <c r="G50" i="51" s="1"/>
  <c r="G51" i="51" s="1"/>
  <c r="G52" i="51" s="1"/>
  <c r="G53" i="51" s="1"/>
  <c r="G54" i="51" s="1"/>
  <c r="G55" i="51" s="1"/>
  <c r="G56" i="51" s="1"/>
  <c r="H33" i="50"/>
  <c r="H34" i="50" s="1"/>
  <c r="H35" i="50" s="1"/>
  <c r="H36" i="50" s="1"/>
  <c r="H37" i="50" s="1"/>
  <c r="H38" i="50" s="1"/>
  <c r="H39" i="50" s="1"/>
  <c r="H40" i="50" s="1"/>
  <c r="H41" i="50" s="1"/>
  <c r="H42" i="50" s="1"/>
  <c r="H43" i="50" s="1"/>
  <c r="H44" i="50" s="1"/>
  <c r="H45" i="50" s="1"/>
  <c r="H46" i="50" s="1"/>
  <c r="H47" i="50" s="1"/>
  <c r="H48" i="50" s="1"/>
  <c r="H49" i="50" s="1"/>
  <c r="H50" i="50" s="1"/>
  <c r="H51" i="50" s="1"/>
  <c r="H52" i="50" s="1"/>
  <c r="H53" i="50" s="1"/>
  <c r="H54" i="50" s="1"/>
  <c r="H55" i="50" s="1"/>
  <c r="H56" i="50" s="1"/>
  <c r="I31" i="50"/>
  <c r="I32" i="50" s="1"/>
  <c r="G35" i="50"/>
  <c r="K31" i="50"/>
  <c r="K32" i="50" s="1"/>
  <c r="E34" i="50"/>
  <c r="E35" i="50" s="1"/>
  <c r="E36" i="50" s="1"/>
  <c r="E37" i="50" s="1"/>
  <c r="E38" i="50" s="1"/>
  <c r="E39" i="50" s="1"/>
  <c r="E40" i="50" s="1"/>
  <c r="E41" i="50" s="1"/>
  <c r="E42" i="50" s="1"/>
  <c r="E43" i="50" s="1"/>
  <c r="E44" i="50" s="1"/>
  <c r="E45" i="50" s="1"/>
  <c r="E46" i="50" s="1"/>
  <c r="E47" i="50" s="1"/>
  <c r="E48" i="50" s="1"/>
  <c r="E49" i="50" s="1"/>
  <c r="E50" i="50" s="1"/>
  <c r="E51" i="50" s="1"/>
  <c r="E52" i="50" s="1"/>
  <c r="E53" i="50" s="1"/>
  <c r="E54" i="50" s="1"/>
  <c r="E55" i="50" s="1"/>
  <c r="E56" i="50" s="1"/>
  <c r="G34" i="49"/>
  <c r="G35" i="49" s="1"/>
  <c r="G36" i="49" s="1"/>
  <c r="G37" i="49" s="1"/>
  <c r="G38" i="49" s="1"/>
  <c r="G39" i="49" s="1"/>
  <c r="G40" i="49" s="1"/>
  <c r="G41" i="49" s="1"/>
  <c r="G42" i="49" s="1"/>
  <c r="G43" i="49" s="1"/>
  <c r="G44" i="49" s="1"/>
  <c r="G45" i="49" s="1"/>
  <c r="G46" i="49" s="1"/>
  <c r="G47" i="49" s="1"/>
  <c r="G48" i="49" s="1"/>
  <c r="G49" i="49" s="1"/>
  <c r="G50" i="49" s="1"/>
  <c r="G51" i="49" s="1"/>
  <c r="G52" i="49" s="1"/>
  <c r="G53" i="49" s="1"/>
  <c r="G54" i="49" s="1"/>
  <c r="G55" i="49" s="1"/>
  <c r="G56" i="49" s="1"/>
  <c r="I30" i="49"/>
  <c r="D31" i="49"/>
  <c r="L15" i="3" s="1"/>
  <c r="I32" i="48"/>
  <c r="I33" i="48" s="1"/>
  <c r="I34" i="48" s="1"/>
  <c r="I35" i="48" s="1"/>
  <c r="I36" i="48" s="1"/>
  <c r="K32" i="48"/>
  <c r="K33" i="48" s="1"/>
  <c r="K34" i="48" s="1"/>
  <c r="K35" i="48" s="1"/>
  <c r="K36" i="48" s="1"/>
  <c r="E34" i="49"/>
  <c r="E35" i="49" s="1"/>
  <c r="E36" i="49" s="1"/>
  <c r="E37" i="49" s="1"/>
  <c r="E38" i="49" s="1"/>
  <c r="E39" i="49" s="1"/>
  <c r="E40" i="49" s="1"/>
  <c r="E41" i="49" s="1"/>
  <c r="E42" i="49" s="1"/>
  <c r="E43" i="49" s="1"/>
  <c r="E44" i="49" s="1"/>
  <c r="E45" i="49" s="1"/>
  <c r="E46" i="49" s="1"/>
  <c r="E47" i="49" s="1"/>
  <c r="E48" i="49" s="1"/>
  <c r="E49" i="49" s="1"/>
  <c r="E50" i="49" s="1"/>
  <c r="E51" i="49" s="1"/>
  <c r="E52" i="49" s="1"/>
  <c r="E53" i="49" s="1"/>
  <c r="E54" i="49" s="1"/>
  <c r="E55" i="49" s="1"/>
  <c r="E56" i="49" s="1"/>
  <c r="K30" i="49"/>
  <c r="H31" i="49"/>
  <c r="K30" i="47"/>
  <c r="K31" i="47" s="1"/>
  <c r="E38" i="48"/>
  <c r="E39" i="48" s="1"/>
  <c r="E40" i="48" s="1"/>
  <c r="E41" i="48" s="1"/>
  <c r="E42" i="48" s="1"/>
  <c r="E43" i="48" s="1"/>
  <c r="E44" i="48" s="1"/>
  <c r="E45" i="48" s="1"/>
  <c r="E46" i="48" s="1"/>
  <c r="E47" i="48" s="1"/>
  <c r="E48" i="48" s="1"/>
  <c r="E49" i="48" s="1"/>
  <c r="E50" i="48" s="1"/>
  <c r="E51" i="48" s="1"/>
  <c r="E52" i="48" s="1"/>
  <c r="E53" i="48" s="1"/>
  <c r="E54" i="48" s="1"/>
  <c r="E55" i="48" s="1"/>
  <c r="E56" i="48" s="1"/>
  <c r="H37" i="48"/>
  <c r="H38" i="48" s="1"/>
  <c r="H39" i="48" s="1"/>
  <c r="H40" i="48" s="1"/>
  <c r="H41" i="48" s="1"/>
  <c r="H42" i="48" s="1"/>
  <c r="H43" i="48" s="1"/>
  <c r="H44" i="48" s="1"/>
  <c r="H45" i="48" s="1"/>
  <c r="H46" i="48" s="1"/>
  <c r="H47" i="48" s="1"/>
  <c r="H48" i="48" s="1"/>
  <c r="H49" i="48" s="1"/>
  <c r="H50" i="48" s="1"/>
  <c r="H51" i="48" s="1"/>
  <c r="H52" i="48" s="1"/>
  <c r="H53" i="48" s="1"/>
  <c r="H54" i="48" s="1"/>
  <c r="H55" i="48" s="1"/>
  <c r="H56" i="48" s="1"/>
  <c r="G33" i="48"/>
  <c r="I30" i="47"/>
  <c r="I31" i="47" s="1"/>
  <c r="E32" i="47"/>
  <c r="G35" i="47"/>
  <c r="H32" i="47"/>
  <c r="D33" i="47"/>
  <c r="L9" i="3" s="1"/>
  <c r="H795" i="35"/>
  <c r="G795" i="35"/>
  <c r="C795" i="35"/>
  <c r="I795" i="35"/>
  <c r="B796" i="35" s="1"/>
  <c r="D795" i="35"/>
  <c r="D35" i="51" l="1"/>
  <c r="D36" i="51" s="1"/>
  <c r="D33" i="48"/>
  <c r="L33" i="48" s="1"/>
  <c r="L12" i="3"/>
  <c r="D32" i="50"/>
  <c r="D33" i="50" s="1"/>
  <c r="D34" i="50" s="1"/>
  <c r="M18" i="3"/>
  <c r="N18" i="3" s="1"/>
  <c r="L31" i="50"/>
  <c r="I36" i="52"/>
  <c r="I37" i="52" s="1"/>
  <c r="I38" i="52" s="1"/>
  <c r="I39" i="52" s="1"/>
  <c r="I40" i="52" s="1"/>
  <c r="I41" i="52" s="1"/>
  <c r="I42" i="52" s="1"/>
  <c r="I43" i="52" s="1"/>
  <c r="I44" i="52" s="1"/>
  <c r="I45" i="52" s="1"/>
  <c r="I46" i="52" s="1"/>
  <c r="I47" i="52" s="1"/>
  <c r="I48" i="52" s="1"/>
  <c r="I49" i="52" s="1"/>
  <c r="I50" i="52" s="1"/>
  <c r="I51" i="52" s="1"/>
  <c r="I52" i="52" s="1"/>
  <c r="I53" i="52" s="1"/>
  <c r="I54" i="52" s="1"/>
  <c r="I55" i="52" s="1"/>
  <c r="I56" i="52" s="1"/>
  <c r="K36" i="52"/>
  <c r="K37" i="52" s="1"/>
  <c r="K38" i="52" s="1"/>
  <c r="K39" i="52" s="1"/>
  <c r="K40" i="52" s="1"/>
  <c r="K41" i="52" s="1"/>
  <c r="K42" i="52" s="1"/>
  <c r="K43" i="52" s="1"/>
  <c r="K44" i="52" s="1"/>
  <c r="K45" i="52" s="1"/>
  <c r="K46" i="52" s="1"/>
  <c r="K47" i="52" s="1"/>
  <c r="K48" i="52" s="1"/>
  <c r="K49" i="52" s="1"/>
  <c r="K50" i="52" s="1"/>
  <c r="K51" i="52" s="1"/>
  <c r="K52" i="52" s="1"/>
  <c r="K53" i="52" s="1"/>
  <c r="K54" i="52" s="1"/>
  <c r="E35" i="55"/>
  <c r="E36" i="55" s="1"/>
  <c r="E39" i="54"/>
  <c r="E40" i="54" s="1"/>
  <c r="E41" i="54" s="1"/>
  <c r="E42" i="54" s="1"/>
  <c r="E43" i="54" s="1"/>
  <c r="E44" i="54" s="1"/>
  <c r="E45" i="54" s="1"/>
  <c r="E46" i="54" s="1"/>
  <c r="E47" i="54" s="1"/>
  <c r="E48" i="54" s="1"/>
  <c r="E49" i="54" s="1"/>
  <c r="E50" i="54" s="1"/>
  <c r="E51" i="54" s="1"/>
  <c r="E52" i="54" s="1"/>
  <c r="E53" i="54" s="1"/>
  <c r="E54" i="54" s="1"/>
  <c r="E55" i="54" s="1"/>
  <c r="E56" i="54" s="1"/>
  <c r="I33" i="53"/>
  <c r="K33" i="53"/>
  <c r="I35" i="54"/>
  <c r="I36" i="54" s="1"/>
  <c r="I37" i="54" s="1"/>
  <c r="K35" i="54"/>
  <c r="K36" i="54" s="1"/>
  <c r="K37" i="54" s="1"/>
  <c r="H38" i="54"/>
  <c r="H39" i="54" s="1"/>
  <c r="H40" i="54" s="1"/>
  <c r="H41" i="54" s="1"/>
  <c r="H42" i="54" s="1"/>
  <c r="H43" i="54" s="1"/>
  <c r="H44" i="54" s="1"/>
  <c r="H45" i="54" s="1"/>
  <c r="H46" i="54" s="1"/>
  <c r="H47" i="54" s="1"/>
  <c r="H48" i="54" s="1"/>
  <c r="H49" i="54" s="1"/>
  <c r="H50" i="54" s="1"/>
  <c r="H51" i="54" s="1"/>
  <c r="H52" i="54" s="1"/>
  <c r="H53" i="54" s="1"/>
  <c r="H54" i="54" s="1"/>
  <c r="H55" i="54" s="1"/>
  <c r="H56" i="54" s="1"/>
  <c r="D37" i="55"/>
  <c r="D38" i="55" s="1"/>
  <c r="D39" i="55" s="1"/>
  <c r="D40" i="55" s="1"/>
  <c r="D41" i="55" s="1"/>
  <c r="D42" i="55" s="1"/>
  <c r="D43" i="55" s="1"/>
  <c r="D44" i="55" s="1"/>
  <c r="D45" i="55" s="1"/>
  <c r="D46" i="55" s="1"/>
  <c r="D47" i="55" s="1"/>
  <c r="D48" i="55" s="1"/>
  <c r="D49" i="55" s="1"/>
  <c r="D50" i="55" s="1"/>
  <c r="D51" i="55" s="1"/>
  <c r="D52" i="55" s="1"/>
  <c r="D53" i="55" s="1"/>
  <c r="D54" i="55" s="1"/>
  <c r="D55" i="55" s="1"/>
  <c r="D56" i="55" s="1"/>
  <c r="E92" i="55" s="1"/>
  <c r="O33" i="3" s="1"/>
  <c r="G39" i="54"/>
  <c r="G40" i="54" s="1"/>
  <c r="G41" i="54" s="1"/>
  <c r="G42" i="54" s="1"/>
  <c r="G43" i="54" s="1"/>
  <c r="G44" i="54" s="1"/>
  <c r="G45" i="54" s="1"/>
  <c r="G46" i="54" s="1"/>
  <c r="G47" i="54" s="1"/>
  <c r="G48" i="54" s="1"/>
  <c r="G49" i="54" s="1"/>
  <c r="G50" i="54" s="1"/>
  <c r="G51" i="54" s="1"/>
  <c r="G52" i="54" s="1"/>
  <c r="G53" i="54" s="1"/>
  <c r="G54" i="54" s="1"/>
  <c r="G55" i="54" s="1"/>
  <c r="G56" i="54" s="1"/>
  <c r="D34" i="54"/>
  <c r="D35" i="54" s="1"/>
  <c r="H34" i="53"/>
  <c r="D36" i="53"/>
  <c r="D35" i="52"/>
  <c r="K33" i="50"/>
  <c r="K34" i="50" s="1"/>
  <c r="K35" i="50" s="1"/>
  <c r="K36" i="50" s="1"/>
  <c r="K37" i="50" s="1"/>
  <c r="K38" i="50" s="1"/>
  <c r="K39" i="50" s="1"/>
  <c r="K40" i="50" s="1"/>
  <c r="K41" i="50" s="1"/>
  <c r="K42" i="50" s="1"/>
  <c r="K43" i="50" s="1"/>
  <c r="K44" i="50" s="1"/>
  <c r="K45" i="50" s="1"/>
  <c r="K46" i="50" s="1"/>
  <c r="K47" i="50" s="1"/>
  <c r="K48" i="50" s="1"/>
  <c r="K49" i="50" s="1"/>
  <c r="K50" i="50" s="1"/>
  <c r="K51" i="50" s="1"/>
  <c r="K52" i="50" s="1"/>
  <c r="K53" i="50" s="1"/>
  <c r="K54" i="50" s="1"/>
  <c r="H34" i="51"/>
  <c r="H35" i="51" s="1"/>
  <c r="H36" i="51" s="1"/>
  <c r="H37" i="51" s="1"/>
  <c r="H38" i="51" s="1"/>
  <c r="H39" i="51" s="1"/>
  <c r="H40" i="51" s="1"/>
  <c r="H41" i="51" s="1"/>
  <c r="H42" i="51" s="1"/>
  <c r="H43" i="51" s="1"/>
  <c r="H44" i="51" s="1"/>
  <c r="H45" i="51" s="1"/>
  <c r="H46" i="51" s="1"/>
  <c r="H47" i="51" s="1"/>
  <c r="H48" i="51" s="1"/>
  <c r="H49" i="51" s="1"/>
  <c r="H50" i="51" s="1"/>
  <c r="H51" i="51" s="1"/>
  <c r="H52" i="51" s="1"/>
  <c r="H53" i="51" s="1"/>
  <c r="H54" i="51" s="1"/>
  <c r="H55" i="51" s="1"/>
  <c r="H56" i="51" s="1"/>
  <c r="I33" i="51"/>
  <c r="K33" i="51"/>
  <c r="I33" i="50"/>
  <c r="I34" i="50" s="1"/>
  <c r="I35" i="50" s="1"/>
  <c r="I36" i="50" s="1"/>
  <c r="I37" i="50" s="1"/>
  <c r="I38" i="50" s="1"/>
  <c r="I39" i="50" s="1"/>
  <c r="I40" i="50" s="1"/>
  <c r="I41" i="50" s="1"/>
  <c r="I42" i="50" s="1"/>
  <c r="I43" i="50" s="1"/>
  <c r="I44" i="50" s="1"/>
  <c r="I45" i="50" s="1"/>
  <c r="I46" i="50" s="1"/>
  <c r="I47" i="50" s="1"/>
  <c r="I48" i="50" s="1"/>
  <c r="I49" i="50" s="1"/>
  <c r="I50" i="50" s="1"/>
  <c r="I51" i="50" s="1"/>
  <c r="I52" i="50" s="1"/>
  <c r="I53" i="50" s="1"/>
  <c r="I54" i="50" s="1"/>
  <c r="I55" i="50" s="1"/>
  <c r="I56" i="50" s="1"/>
  <c r="G36" i="50"/>
  <c r="G37" i="50" s="1"/>
  <c r="G38" i="50" s="1"/>
  <c r="G39" i="50" s="1"/>
  <c r="G40" i="50" s="1"/>
  <c r="G41" i="50" s="1"/>
  <c r="G42" i="50" s="1"/>
  <c r="G43" i="50" s="1"/>
  <c r="G44" i="50" s="1"/>
  <c r="G45" i="50" s="1"/>
  <c r="G46" i="50" s="1"/>
  <c r="G47" i="50" s="1"/>
  <c r="G48" i="50" s="1"/>
  <c r="G49" i="50" s="1"/>
  <c r="G50" i="50" s="1"/>
  <c r="G51" i="50" s="1"/>
  <c r="G52" i="50" s="1"/>
  <c r="G53" i="50" s="1"/>
  <c r="G54" i="50" s="1"/>
  <c r="G55" i="50" s="1"/>
  <c r="G56" i="50" s="1"/>
  <c r="K31" i="49"/>
  <c r="D32" i="49"/>
  <c r="I31" i="49"/>
  <c r="H32" i="49"/>
  <c r="H33" i="49" s="1"/>
  <c r="H34" i="49" s="1"/>
  <c r="H35" i="49" s="1"/>
  <c r="H36" i="49" s="1"/>
  <c r="H37" i="49" s="1"/>
  <c r="H38" i="49" s="1"/>
  <c r="H39" i="49" s="1"/>
  <c r="H40" i="49" s="1"/>
  <c r="H41" i="49" s="1"/>
  <c r="H42" i="49" s="1"/>
  <c r="H43" i="49" s="1"/>
  <c r="H44" i="49" s="1"/>
  <c r="H45" i="49" s="1"/>
  <c r="H46" i="49" s="1"/>
  <c r="H47" i="49" s="1"/>
  <c r="H48" i="49" s="1"/>
  <c r="H49" i="49" s="1"/>
  <c r="H50" i="49" s="1"/>
  <c r="H51" i="49" s="1"/>
  <c r="H52" i="49" s="1"/>
  <c r="H53" i="49" s="1"/>
  <c r="H54" i="49" s="1"/>
  <c r="H55" i="49" s="1"/>
  <c r="H56" i="49" s="1"/>
  <c r="G34" i="48"/>
  <c r="G35" i="48" s="1"/>
  <c r="G36" i="48" s="1"/>
  <c r="G37" i="48" s="1"/>
  <c r="G38" i="48" s="1"/>
  <c r="G39" i="48" s="1"/>
  <c r="G40" i="48" s="1"/>
  <c r="G41" i="48" s="1"/>
  <c r="G42" i="48" s="1"/>
  <c r="G43" i="48" s="1"/>
  <c r="G44" i="48" s="1"/>
  <c r="G45" i="48" s="1"/>
  <c r="G46" i="48" s="1"/>
  <c r="G47" i="48" s="1"/>
  <c r="G48" i="48" s="1"/>
  <c r="G49" i="48" s="1"/>
  <c r="G50" i="48" s="1"/>
  <c r="G51" i="48" s="1"/>
  <c r="G52" i="48" s="1"/>
  <c r="G53" i="48" s="1"/>
  <c r="G54" i="48" s="1"/>
  <c r="G55" i="48" s="1"/>
  <c r="G56" i="48" s="1"/>
  <c r="I37" i="48"/>
  <c r="I38" i="48" s="1"/>
  <c r="I39" i="48" s="1"/>
  <c r="I40" i="48" s="1"/>
  <c r="I41" i="48" s="1"/>
  <c r="I42" i="48" s="1"/>
  <c r="I43" i="48" s="1"/>
  <c r="I44" i="48" s="1"/>
  <c r="I45" i="48" s="1"/>
  <c r="I46" i="48" s="1"/>
  <c r="I47" i="48" s="1"/>
  <c r="I48" i="48" s="1"/>
  <c r="I49" i="48" s="1"/>
  <c r="I50" i="48" s="1"/>
  <c r="I51" i="48" s="1"/>
  <c r="I52" i="48" s="1"/>
  <c r="I53" i="48" s="1"/>
  <c r="I54" i="48" s="1"/>
  <c r="I55" i="48" s="1"/>
  <c r="I56" i="48" s="1"/>
  <c r="K37" i="48"/>
  <c r="K38" i="48" s="1"/>
  <c r="K39" i="48" s="1"/>
  <c r="K40" i="48" s="1"/>
  <c r="K41" i="48" s="1"/>
  <c r="K42" i="48" s="1"/>
  <c r="K43" i="48" s="1"/>
  <c r="K44" i="48" s="1"/>
  <c r="K45" i="48" s="1"/>
  <c r="K46" i="48" s="1"/>
  <c r="K47" i="48" s="1"/>
  <c r="K48" i="48" s="1"/>
  <c r="K49" i="48" s="1"/>
  <c r="K50" i="48" s="1"/>
  <c r="K51" i="48" s="1"/>
  <c r="K52" i="48" s="1"/>
  <c r="K53" i="48" s="1"/>
  <c r="K54" i="48" s="1"/>
  <c r="K32" i="47"/>
  <c r="E33" i="47"/>
  <c r="E34" i="47" s="1"/>
  <c r="I32" i="47"/>
  <c r="D34" i="47"/>
  <c r="M9" i="3" s="1"/>
  <c r="H33" i="47"/>
  <c r="H34" i="47" s="1"/>
  <c r="H35" i="47" s="1"/>
  <c r="H36" i="47" s="1"/>
  <c r="H37" i="47" s="1"/>
  <c r="H38" i="47" s="1"/>
  <c r="H39" i="47" s="1"/>
  <c r="H40" i="47" s="1"/>
  <c r="H41" i="47" s="1"/>
  <c r="H42" i="47" s="1"/>
  <c r="H43" i="47" s="1"/>
  <c r="H44" i="47" s="1"/>
  <c r="H45" i="47" s="1"/>
  <c r="H46" i="47" s="1"/>
  <c r="H47" i="47" s="1"/>
  <c r="H48" i="47" s="1"/>
  <c r="H49" i="47" s="1"/>
  <c r="H50" i="47" s="1"/>
  <c r="H51" i="47" s="1"/>
  <c r="H52" i="47" s="1"/>
  <c r="H53" i="47" s="1"/>
  <c r="H54" i="47" s="1"/>
  <c r="H55" i="47" s="1"/>
  <c r="H56" i="47" s="1"/>
  <c r="G36" i="47"/>
  <c r="I796" i="35"/>
  <c r="B797" i="35" s="1"/>
  <c r="D796" i="35"/>
  <c r="C796" i="35"/>
  <c r="H796" i="35"/>
  <c r="G796" i="35"/>
  <c r="K34" i="53" l="1"/>
  <c r="D37" i="51"/>
  <c r="D38" i="51" s="1"/>
  <c r="D39" i="51" s="1"/>
  <c r="D40" i="51" s="1"/>
  <c r="D41" i="51" s="1"/>
  <c r="D42" i="51" s="1"/>
  <c r="D43" i="51" s="1"/>
  <c r="D44" i="51" s="1"/>
  <c r="D45" i="51" s="1"/>
  <c r="D46" i="51" s="1"/>
  <c r="D47" i="51" s="1"/>
  <c r="D48" i="51" s="1"/>
  <c r="D49" i="51" s="1"/>
  <c r="D50" i="51" s="1"/>
  <c r="D51" i="51" s="1"/>
  <c r="D52" i="51" s="1"/>
  <c r="D53" i="51" s="1"/>
  <c r="D54" i="51" s="1"/>
  <c r="D55" i="51" s="1"/>
  <c r="D56" i="51" s="1"/>
  <c r="E92" i="51" s="1"/>
  <c r="O21" i="3" s="1"/>
  <c r="D34" i="48"/>
  <c r="M12" i="3"/>
  <c r="D35" i="50"/>
  <c r="D36" i="50" s="1"/>
  <c r="D37" i="50" s="1"/>
  <c r="D38" i="50" s="1"/>
  <c r="D39" i="50" s="1"/>
  <c r="D40" i="50" s="1"/>
  <c r="D41" i="50" s="1"/>
  <c r="D42" i="50" s="1"/>
  <c r="D43" i="50" s="1"/>
  <c r="D44" i="50" s="1"/>
  <c r="D45" i="50" s="1"/>
  <c r="D46" i="50" s="1"/>
  <c r="D47" i="50" s="1"/>
  <c r="D48" i="50" s="1"/>
  <c r="D49" i="50" s="1"/>
  <c r="D50" i="50" s="1"/>
  <c r="D51" i="50" s="1"/>
  <c r="D52" i="50" s="1"/>
  <c r="D53" i="50" s="1"/>
  <c r="D54" i="50" s="1"/>
  <c r="D55" i="50" s="1"/>
  <c r="D56" i="50" s="1"/>
  <c r="E92" i="50" s="1"/>
  <c r="O18" i="3" s="1"/>
  <c r="M15" i="3"/>
  <c r="N15" i="3" s="1"/>
  <c r="L32" i="49"/>
  <c r="D35" i="47"/>
  <c r="D36" i="47" s="1"/>
  <c r="D37" i="47" s="1"/>
  <c r="L34" i="47"/>
  <c r="K38" i="54"/>
  <c r="K39" i="54" s="1"/>
  <c r="K40" i="54" s="1"/>
  <c r="K41" i="54" s="1"/>
  <c r="K42" i="54" s="1"/>
  <c r="K43" i="54" s="1"/>
  <c r="K44" i="54" s="1"/>
  <c r="K45" i="54" s="1"/>
  <c r="K46" i="54" s="1"/>
  <c r="K47" i="54" s="1"/>
  <c r="K48" i="54" s="1"/>
  <c r="K49" i="54" s="1"/>
  <c r="K50" i="54" s="1"/>
  <c r="K51" i="54" s="1"/>
  <c r="K52" i="54" s="1"/>
  <c r="K53" i="54" s="1"/>
  <c r="K54" i="54" s="1"/>
  <c r="I38" i="54"/>
  <c r="I39" i="54" s="1"/>
  <c r="I40" i="54" s="1"/>
  <c r="I41" i="54" s="1"/>
  <c r="I42" i="54" s="1"/>
  <c r="I43" i="54" s="1"/>
  <c r="I44" i="54" s="1"/>
  <c r="I45" i="54" s="1"/>
  <c r="I46" i="54" s="1"/>
  <c r="I47" i="54" s="1"/>
  <c r="I48" i="54" s="1"/>
  <c r="I49" i="54" s="1"/>
  <c r="I50" i="54" s="1"/>
  <c r="I51" i="54" s="1"/>
  <c r="I52" i="54" s="1"/>
  <c r="I53" i="54" s="1"/>
  <c r="I54" i="54" s="1"/>
  <c r="I55" i="54" s="1"/>
  <c r="I56" i="54" s="1"/>
  <c r="E37" i="55"/>
  <c r="E38" i="55" s="1"/>
  <c r="I9" i="55"/>
  <c r="H35" i="53"/>
  <c r="H36" i="53" s="1"/>
  <c r="H37" i="53" s="1"/>
  <c r="H38" i="53" s="1"/>
  <c r="H39" i="53" s="1"/>
  <c r="H40" i="53" s="1"/>
  <c r="H41" i="53" s="1"/>
  <c r="H42" i="53" s="1"/>
  <c r="H43" i="53" s="1"/>
  <c r="H44" i="53" s="1"/>
  <c r="H45" i="53" s="1"/>
  <c r="H46" i="53" s="1"/>
  <c r="H47" i="53" s="1"/>
  <c r="H48" i="53" s="1"/>
  <c r="H49" i="53" s="1"/>
  <c r="H50" i="53" s="1"/>
  <c r="H51" i="53" s="1"/>
  <c r="H52" i="53" s="1"/>
  <c r="H53" i="53" s="1"/>
  <c r="H54" i="53" s="1"/>
  <c r="H55" i="53" s="1"/>
  <c r="H56" i="53" s="1"/>
  <c r="D36" i="54"/>
  <c r="I34" i="53"/>
  <c r="D37" i="53"/>
  <c r="D38" i="53" s="1"/>
  <c r="D39" i="53" s="1"/>
  <c r="D40" i="53" s="1"/>
  <c r="D41" i="53" s="1"/>
  <c r="D42" i="53" s="1"/>
  <c r="D43" i="53" s="1"/>
  <c r="D44" i="53" s="1"/>
  <c r="D45" i="53" s="1"/>
  <c r="D46" i="53" s="1"/>
  <c r="D47" i="53" s="1"/>
  <c r="D48" i="53" s="1"/>
  <c r="D49" i="53" s="1"/>
  <c r="D50" i="53" s="1"/>
  <c r="D51" i="53" s="1"/>
  <c r="D52" i="53" s="1"/>
  <c r="D53" i="53" s="1"/>
  <c r="D54" i="53" s="1"/>
  <c r="D55" i="53" s="1"/>
  <c r="D56" i="53" s="1"/>
  <c r="E92" i="53" s="1"/>
  <c r="O27" i="3" s="1"/>
  <c r="I34" i="51"/>
  <c r="I35" i="51" s="1"/>
  <c r="I36" i="51" s="1"/>
  <c r="I37" i="51" s="1"/>
  <c r="I38" i="51" s="1"/>
  <c r="I39" i="51" s="1"/>
  <c r="I40" i="51" s="1"/>
  <c r="I41" i="51" s="1"/>
  <c r="I42" i="51" s="1"/>
  <c r="I43" i="51" s="1"/>
  <c r="I44" i="51" s="1"/>
  <c r="I45" i="51" s="1"/>
  <c r="I46" i="51" s="1"/>
  <c r="I47" i="51" s="1"/>
  <c r="I48" i="51" s="1"/>
  <c r="I49" i="51" s="1"/>
  <c r="I50" i="51" s="1"/>
  <c r="I51" i="51" s="1"/>
  <c r="I52" i="51" s="1"/>
  <c r="I53" i="51" s="1"/>
  <c r="I54" i="51" s="1"/>
  <c r="I55" i="51" s="1"/>
  <c r="I56" i="51" s="1"/>
  <c r="K34" i="51"/>
  <c r="K35" i="51" s="1"/>
  <c r="K36" i="51" s="1"/>
  <c r="K37" i="51" s="1"/>
  <c r="K38" i="51" s="1"/>
  <c r="K39" i="51" s="1"/>
  <c r="K40" i="51" s="1"/>
  <c r="K41" i="51" s="1"/>
  <c r="K42" i="51" s="1"/>
  <c r="K43" i="51" s="1"/>
  <c r="K44" i="51" s="1"/>
  <c r="K45" i="51" s="1"/>
  <c r="K46" i="51" s="1"/>
  <c r="K47" i="51" s="1"/>
  <c r="K48" i="51" s="1"/>
  <c r="K49" i="51" s="1"/>
  <c r="K50" i="51" s="1"/>
  <c r="K51" i="51" s="1"/>
  <c r="K52" i="51" s="1"/>
  <c r="K53" i="51" s="1"/>
  <c r="K54" i="51" s="1"/>
  <c r="D36" i="52"/>
  <c r="E35" i="47"/>
  <c r="E36" i="47" s="1"/>
  <c r="E37" i="47" s="1"/>
  <c r="E38" i="47" s="1"/>
  <c r="E39" i="47" s="1"/>
  <c r="E40" i="47" s="1"/>
  <c r="E41" i="47" s="1"/>
  <c r="E42" i="47" s="1"/>
  <c r="E43" i="47" s="1"/>
  <c r="E44" i="47" s="1"/>
  <c r="E45" i="47" s="1"/>
  <c r="E46" i="47" s="1"/>
  <c r="E47" i="47" s="1"/>
  <c r="E48" i="47" s="1"/>
  <c r="E49" i="47" s="1"/>
  <c r="E50" i="47" s="1"/>
  <c r="E51" i="47" s="1"/>
  <c r="E52" i="47" s="1"/>
  <c r="E53" i="47" s="1"/>
  <c r="E54" i="47" s="1"/>
  <c r="E55" i="47" s="1"/>
  <c r="E56" i="47" s="1"/>
  <c r="D33" i="49"/>
  <c r="K32" i="49"/>
  <c r="K33" i="49" s="1"/>
  <c r="K34" i="49" s="1"/>
  <c r="K35" i="49" s="1"/>
  <c r="K36" i="49" s="1"/>
  <c r="K37" i="49" s="1"/>
  <c r="K38" i="49" s="1"/>
  <c r="K39" i="49" s="1"/>
  <c r="K40" i="49" s="1"/>
  <c r="K41" i="49" s="1"/>
  <c r="K42" i="49" s="1"/>
  <c r="K43" i="49" s="1"/>
  <c r="K44" i="49" s="1"/>
  <c r="K45" i="49" s="1"/>
  <c r="K46" i="49" s="1"/>
  <c r="K47" i="49" s="1"/>
  <c r="K48" i="49" s="1"/>
  <c r="K49" i="49" s="1"/>
  <c r="K50" i="49" s="1"/>
  <c r="K51" i="49" s="1"/>
  <c r="K52" i="49" s="1"/>
  <c r="K53" i="49" s="1"/>
  <c r="K54" i="49" s="1"/>
  <c r="I32" i="49"/>
  <c r="I33" i="49" s="1"/>
  <c r="I34" i="49" s="1"/>
  <c r="I35" i="49" s="1"/>
  <c r="I36" i="49" s="1"/>
  <c r="I37" i="49" s="1"/>
  <c r="I38" i="49" s="1"/>
  <c r="I39" i="49" s="1"/>
  <c r="I40" i="49" s="1"/>
  <c r="I41" i="49" s="1"/>
  <c r="I42" i="49" s="1"/>
  <c r="I43" i="49" s="1"/>
  <c r="I44" i="49" s="1"/>
  <c r="I45" i="49" s="1"/>
  <c r="I46" i="49" s="1"/>
  <c r="I47" i="49" s="1"/>
  <c r="I48" i="49" s="1"/>
  <c r="I49" i="49" s="1"/>
  <c r="I50" i="49" s="1"/>
  <c r="I51" i="49" s="1"/>
  <c r="I52" i="49" s="1"/>
  <c r="I53" i="49" s="1"/>
  <c r="I54" i="49" s="1"/>
  <c r="I55" i="49" s="1"/>
  <c r="I56" i="49" s="1"/>
  <c r="K33" i="47"/>
  <c r="K34" i="47" s="1"/>
  <c r="K35" i="47" s="1"/>
  <c r="K36" i="47" s="1"/>
  <c r="K37" i="47" s="1"/>
  <c r="K38" i="47" s="1"/>
  <c r="K39" i="47" s="1"/>
  <c r="K40" i="47" s="1"/>
  <c r="K41" i="47" s="1"/>
  <c r="K42" i="47" s="1"/>
  <c r="K43" i="47" s="1"/>
  <c r="K44" i="47" s="1"/>
  <c r="K45" i="47" s="1"/>
  <c r="K46" i="47" s="1"/>
  <c r="K47" i="47" s="1"/>
  <c r="K48" i="47" s="1"/>
  <c r="K49" i="47" s="1"/>
  <c r="K50" i="47" s="1"/>
  <c r="K51" i="47" s="1"/>
  <c r="K52" i="47" s="1"/>
  <c r="K53" i="47" s="1"/>
  <c r="K54" i="47" s="1"/>
  <c r="I33" i="47"/>
  <c r="I34" i="47" s="1"/>
  <c r="I35" i="47" s="1"/>
  <c r="I36" i="47" s="1"/>
  <c r="I37" i="47" s="1"/>
  <c r="I38" i="47" s="1"/>
  <c r="I39" i="47" s="1"/>
  <c r="I40" i="47" s="1"/>
  <c r="I41" i="47" s="1"/>
  <c r="I42" i="47" s="1"/>
  <c r="I43" i="47" s="1"/>
  <c r="I44" i="47" s="1"/>
  <c r="I45" i="47" s="1"/>
  <c r="I46" i="47" s="1"/>
  <c r="I47" i="47" s="1"/>
  <c r="I48" i="47" s="1"/>
  <c r="I49" i="47" s="1"/>
  <c r="I50" i="47" s="1"/>
  <c r="I51" i="47" s="1"/>
  <c r="I52" i="47" s="1"/>
  <c r="I53" i="47" s="1"/>
  <c r="I54" i="47" s="1"/>
  <c r="I55" i="47" s="1"/>
  <c r="I56" i="47" s="1"/>
  <c r="G37" i="47"/>
  <c r="G38" i="47" s="1"/>
  <c r="G39" i="47" s="1"/>
  <c r="G40" i="47" s="1"/>
  <c r="G41" i="47" s="1"/>
  <c r="G42" i="47" s="1"/>
  <c r="G43" i="47" s="1"/>
  <c r="G44" i="47" s="1"/>
  <c r="G45" i="47" s="1"/>
  <c r="G46" i="47" s="1"/>
  <c r="G47" i="47" s="1"/>
  <c r="G48" i="47" s="1"/>
  <c r="G49" i="47" s="1"/>
  <c r="G50" i="47" s="1"/>
  <c r="G51" i="47" s="1"/>
  <c r="G52" i="47" s="1"/>
  <c r="G53" i="47" s="1"/>
  <c r="G54" i="47" s="1"/>
  <c r="G55" i="47" s="1"/>
  <c r="G56" i="47" s="1"/>
  <c r="N9" i="3"/>
  <c r="N12" i="3"/>
  <c r="C797" i="35"/>
  <c r="G797" i="35"/>
  <c r="H797" i="35"/>
  <c r="D797" i="35"/>
  <c r="I797" i="35"/>
  <c r="B798" i="35" s="1"/>
  <c r="I9" i="51" l="1"/>
  <c r="D35" i="48"/>
  <c r="D34" i="49"/>
  <c r="D35" i="49" s="1"/>
  <c r="D36" i="49" s="1"/>
  <c r="E39" i="55"/>
  <c r="E40" i="55" s="1"/>
  <c r="E41" i="55" s="1"/>
  <c r="E42" i="55" s="1"/>
  <c r="E43" i="55" s="1"/>
  <c r="E44" i="55" s="1"/>
  <c r="E45" i="55" s="1"/>
  <c r="E46" i="55" s="1"/>
  <c r="E47" i="55" s="1"/>
  <c r="E48" i="55" s="1"/>
  <c r="E49" i="55" s="1"/>
  <c r="E50" i="55" s="1"/>
  <c r="E51" i="55" s="1"/>
  <c r="E52" i="55" s="1"/>
  <c r="E53" i="55" s="1"/>
  <c r="E54" i="55" s="1"/>
  <c r="E55" i="55" s="1"/>
  <c r="E56" i="55" s="1"/>
  <c r="K35" i="53"/>
  <c r="K36" i="53" s="1"/>
  <c r="K37" i="53" s="1"/>
  <c r="K38" i="53" s="1"/>
  <c r="K39" i="53" s="1"/>
  <c r="K40" i="53" s="1"/>
  <c r="K41" i="53" s="1"/>
  <c r="K42" i="53" s="1"/>
  <c r="K43" i="53" s="1"/>
  <c r="K44" i="53" s="1"/>
  <c r="K45" i="53" s="1"/>
  <c r="K46" i="53" s="1"/>
  <c r="K47" i="53" s="1"/>
  <c r="K48" i="53" s="1"/>
  <c r="K49" i="53" s="1"/>
  <c r="K50" i="53" s="1"/>
  <c r="K51" i="53" s="1"/>
  <c r="K52" i="53" s="1"/>
  <c r="K53" i="53" s="1"/>
  <c r="K54" i="53" s="1"/>
  <c r="I35" i="53"/>
  <c r="I36" i="53" s="1"/>
  <c r="I37" i="53" s="1"/>
  <c r="I38" i="53" s="1"/>
  <c r="I39" i="53" s="1"/>
  <c r="I40" i="53" s="1"/>
  <c r="I41" i="53" s="1"/>
  <c r="I42" i="53" s="1"/>
  <c r="I43" i="53" s="1"/>
  <c r="I44" i="53" s="1"/>
  <c r="I45" i="53" s="1"/>
  <c r="I46" i="53" s="1"/>
  <c r="I47" i="53" s="1"/>
  <c r="I48" i="53" s="1"/>
  <c r="I49" i="53" s="1"/>
  <c r="I50" i="53" s="1"/>
  <c r="I51" i="53" s="1"/>
  <c r="I52" i="53" s="1"/>
  <c r="I53" i="53" s="1"/>
  <c r="I54" i="53" s="1"/>
  <c r="I55" i="53" s="1"/>
  <c r="I56" i="53" s="1"/>
  <c r="D37" i="54"/>
  <c r="D38" i="54" s="1"/>
  <c r="D39" i="54" s="1"/>
  <c r="D40" i="54" s="1"/>
  <c r="D41" i="54" s="1"/>
  <c r="D42" i="54" s="1"/>
  <c r="D43" i="54" s="1"/>
  <c r="D44" i="54" s="1"/>
  <c r="D45" i="54" s="1"/>
  <c r="D46" i="54" s="1"/>
  <c r="D47" i="54" s="1"/>
  <c r="D48" i="54" s="1"/>
  <c r="D49" i="54" s="1"/>
  <c r="D50" i="54" s="1"/>
  <c r="D51" i="54" s="1"/>
  <c r="D52" i="54" s="1"/>
  <c r="D53" i="54" s="1"/>
  <c r="D54" i="54" s="1"/>
  <c r="D55" i="54" s="1"/>
  <c r="D56" i="54" s="1"/>
  <c r="E92" i="54" s="1"/>
  <c r="O30" i="3" s="1"/>
  <c r="I9" i="53"/>
  <c r="D37" i="52"/>
  <c r="D38" i="52" s="1"/>
  <c r="D39" i="52" s="1"/>
  <c r="D40" i="52" s="1"/>
  <c r="D41" i="52" s="1"/>
  <c r="D42" i="52" s="1"/>
  <c r="D43" i="52" s="1"/>
  <c r="D44" i="52" s="1"/>
  <c r="D45" i="52" s="1"/>
  <c r="D46" i="52" s="1"/>
  <c r="D47" i="52" s="1"/>
  <c r="D48" i="52" s="1"/>
  <c r="D49" i="52" s="1"/>
  <c r="D50" i="52" s="1"/>
  <c r="D51" i="52" s="1"/>
  <c r="D52" i="52" s="1"/>
  <c r="D53" i="52" s="1"/>
  <c r="D54" i="52" s="1"/>
  <c r="D55" i="52" s="1"/>
  <c r="D56" i="52" s="1"/>
  <c r="E92" i="52" s="1"/>
  <c r="O24" i="3" s="1"/>
  <c r="I9" i="50"/>
  <c r="D38" i="47"/>
  <c r="D39" i="47" s="1"/>
  <c r="D40" i="47" s="1"/>
  <c r="D41" i="47" s="1"/>
  <c r="D42" i="47" s="1"/>
  <c r="D43" i="47" s="1"/>
  <c r="D44" i="47" s="1"/>
  <c r="D45" i="47" s="1"/>
  <c r="D46" i="47" s="1"/>
  <c r="D47" i="47" s="1"/>
  <c r="D48" i="47" s="1"/>
  <c r="D49" i="47" s="1"/>
  <c r="D50" i="47" s="1"/>
  <c r="D51" i="47" s="1"/>
  <c r="D52" i="47" s="1"/>
  <c r="D53" i="47" s="1"/>
  <c r="D54" i="47" s="1"/>
  <c r="D55" i="47" s="1"/>
  <c r="D56" i="47" s="1"/>
  <c r="D798" i="35"/>
  <c r="C798" i="35"/>
  <c r="H798" i="35"/>
  <c r="G798" i="35"/>
  <c r="I798" i="35"/>
  <c r="B799" i="35" s="1"/>
  <c r="D36" i="48" l="1"/>
  <c r="D37" i="48" s="1"/>
  <c r="E92" i="47"/>
  <c r="O9" i="3" s="1"/>
  <c r="I9" i="54"/>
  <c r="I9" i="52"/>
  <c r="D37" i="49"/>
  <c r="D38" i="49" s="1"/>
  <c r="D39" i="49" s="1"/>
  <c r="D40" i="49" s="1"/>
  <c r="D41" i="49" s="1"/>
  <c r="D42" i="49" s="1"/>
  <c r="D43" i="49" s="1"/>
  <c r="D44" i="49" s="1"/>
  <c r="D45" i="49" s="1"/>
  <c r="D46" i="49" s="1"/>
  <c r="D47" i="49" s="1"/>
  <c r="D48" i="49" s="1"/>
  <c r="D49" i="49" s="1"/>
  <c r="D50" i="49" s="1"/>
  <c r="D51" i="49" s="1"/>
  <c r="D52" i="49" s="1"/>
  <c r="D53" i="49" s="1"/>
  <c r="D54" i="49" s="1"/>
  <c r="D55" i="49" s="1"/>
  <c r="D56" i="49" s="1"/>
  <c r="I9" i="47"/>
  <c r="G799" i="35"/>
  <c r="H799" i="35"/>
  <c r="C799" i="35"/>
  <c r="I799" i="35"/>
  <c r="B800" i="35" s="1"/>
  <c r="D799" i="35"/>
  <c r="D38" i="48" l="1"/>
  <c r="D39" i="48" s="1"/>
  <c r="D40" i="48" s="1"/>
  <c r="D41" i="48" s="1"/>
  <c r="D42" i="48" s="1"/>
  <c r="D43" i="48" s="1"/>
  <c r="D44" i="48" s="1"/>
  <c r="D45" i="48" s="1"/>
  <c r="D46" i="48" s="1"/>
  <c r="D47" i="48" s="1"/>
  <c r="D48" i="48" s="1"/>
  <c r="D49" i="48" s="1"/>
  <c r="D50" i="48" s="1"/>
  <c r="D51" i="48" s="1"/>
  <c r="D52" i="48" s="1"/>
  <c r="D53" i="48" s="1"/>
  <c r="D54" i="48" s="1"/>
  <c r="D55" i="48" s="1"/>
  <c r="D56" i="48" s="1"/>
  <c r="E92" i="48" s="1"/>
  <c r="O12" i="3" s="1"/>
  <c r="E92" i="49"/>
  <c r="O15" i="3" s="1"/>
  <c r="I800" i="35"/>
  <c r="B801" i="35" s="1"/>
  <c r="G800" i="35"/>
  <c r="C800" i="35"/>
  <c r="H800" i="35"/>
  <c r="D800" i="35"/>
  <c r="I9" i="48" l="1"/>
  <c r="I9" i="49"/>
  <c r="C801" i="35"/>
  <c r="G801" i="35"/>
  <c r="H801" i="35"/>
  <c r="I801" i="35"/>
  <c r="B802" i="35" s="1"/>
  <c r="D801" i="35"/>
  <c r="D802" i="35" l="1"/>
  <c r="I802" i="35"/>
  <c r="B803" i="35" s="1"/>
  <c r="C802" i="35"/>
  <c r="H802" i="35"/>
  <c r="G802" i="35"/>
  <c r="H803" i="35" l="1"/>
  <c r="G803" i="35"/>
  <c r="C803" i="35"/>
  <c r="I803" i="35"/>
  <c r="B804" i="35" s="1"/>
  <c r="D803" i="35"/>
  <c r="I804" i="35" l="1"/>
  <c r="B805" i="35" s="1"/>
  <c r="C804" i="35"/>
  <c r="G804" i="35"/>
  <c r="D804" i="35"/>
  <c r="H804" i="35"/>
  <c r="C805" i="35" l="1"/>
  <c r="G805" i="35"/>
  <c r="D805" i="35"/>
  <c r="I805" i="35"/>
  <c r="B806" i="35" s="1"/>
  <c r="H805" i="35"/>
  <c r="I806" i="35" l="1"/>
  <c r="B807" i="35" s="1"/>
  <c r="C806" i="35"/>
  <c r="D806" i="35"/>
  <c r="G806" i="35"/>
  <c r="H806" i="35"/>
  <c r="H807" i="35" l="1"/>
  <c r="G807" i="35"/>
  <c r="I807" i="35"/>
  <c r="B808" i="35" s="1"/>
  <c r="D807" i="35"/>
  <c r="C807" i="35"/>
  <c r="C808" i="35" l="1"/>
  <c r="G808" i="35"/>
  <c r="I808" i="35"/>
  <c r="B809" i="35" s="1"/>
  <c r="H808" i="35"/>
  <c r="D808" i="35"/>
  <c r="C809" i="35" l="1"/>
  <c r="G809" i="35"/>
  <c r="H809" i="35"/>
  <c r="D809" i="35"/>
  <c r="I809" i="35"/>
  <c r="B810" i="35" s="1"/>
  <c r="C810" i="35" l="1"/>
  <c r="D810" i="35"/>
  <c r="G810" i="35"/>
  <c r="I810" i="35"/>
  <c r="B811" i="35" s="1"/>
  <c r="H810" i="35"/>
  <c r="H811" i="35" l="1"/>
  <c r="G811" i="35"/>
  <c r="D811" i="35"/>
  <c r="I811" i="35"/>
  <c r="B812" i="35" s="1"/>
  <c r="C811" i="35"/>
  <c r="I812" i="35" l="1"/>
  <c r="B813" i="35" s="1"/>
  <c r="C812" i="35"/>
  <c r="G812" i="35"/>
  <c r="H812" i="35"/>
  <c r="D812" i="35"/>
  <c r="C813" i="35" l="1"/>
  <c r="G813" i="35"/>
  <c r="H813" i="35"/>
  <c r="D813" i="35"/>
  <c r="I813" i="35"/>
  <c r="B814" i="35" s="1"/>
  <c r="D814" i="35" l="1"/>
  <c r="I814" i="35"/>
  <c r="B815" i="35" s="1"/>
  <c r="C814" i="35"/>
  <c r="H814" i="35"/>
  <c r="G814" i="35"/>
  <c r="G815" i="35" l="1"/>
  <c r="H815" i="35"/>
  <c r="C815" i="35"/>
  <c r="I815" i="35"/>
  <c r="B816" i="35" s="1"/>
  <c r="D815" i="35"/>
  <c r="I816" i="35" l="1"/>
  <c r="B817" i="35" s="1"/>
  <c r="C816" i="35"/>
  <c r="G816" i="35"/>
  <c r="H816" i="35"/>
  <c r="D816" i="35"/>
  <c r="C817" i="35" l="1"/>
  <c r="G817" i="35"/>
  <c r="H817" i="35"/>
  <c r="I817" i="35"/>
  <c r="B818" i="35" s="1"/>
  <c r="D817" i="35"/>
  <c r="D818" i="35" l="1"/>
  <c r="I818" i="35"/>
  <c r="B819" i="35" s="1"/>
  <c r="C818" i="35"/>
  <c r="H818" i="35"/>
  <c r="G818" i="35"/>
  <c r="H819" i="35" l="1"/>
  <c r="G819" i="35"/>
  <c r="I819" i="35"/>
  <c r="B820" i="35" s="1"/>
  <c r="D819" i="35"/>
  <c r="C819" i="35"/>
  <c r="I820" i="35" l="1"/>
  <c r="B821" i="35" s="1"/>
  <c r="C820" i="35"/>
  <c r="G820" i="35"/>
  <c r="D820" i="35"/>
  <c r="H820" i="35"/>
  <c r="C821" i="35" l="1"/>
  <c r="I821" i="35"/>
  <c r="B822" i="35" s="1"/>
  <c r="H821" i="35"/>
  <c r="D821" i="35"/>
  <c r="G821" i="35"/>
  <c r="C822" i="35" l="1"/>
  <c r="G822" i="35"/>
  <c r="I822" i="35"/>
  <c r="B823" i="35" s="1"/>
  <c r="D822" i="35"/>
  <c r="H822" i="35"/>
  <c r="H823" i="35" l="1"/>
  <c r="G823" i="35"/>
  <c r="D823" i="35"/>
  <c r="I823" i="35"/>
  <c r="B824" i="35" s="1"/>
  <c r="C823" i="35"/>
  <c r="C824" i="35" l="1"/>
  <c r="I824" i="35"/>
  <c r="B825" i="35" s="1"/>
  <c r="G824" i="35"/>
  <c r="D824" i="35"/>
  <c r="H824" i="35"/>
  <c r="C825" i="35" l="1"/>
  <c r="G825" i="35"/>
  <c r="H825" i="35"/>
  <c r="I825" i="35"/>
  <c r="B826" i="35" s="1"/>
  <c r="D825" i="35"/>
  <c r="I826" i="35" l="1"/>
  <c r="B827" i="35" s="1"/>
  <c r="D826" i="35"/>
  <c r="H826" i="35"/>
  <c r="G826" i="35"/>
  <c r="C826" i="35"/>
  <c r="H827" i="35" l="1"/>
  <c r="G827" i="35"/>
  <c r="C827" i="35"/>
  <c r="I827" i="35"/>
  <c r="B828" i="35" s="1"/>
  <c r="D827" i="35"/>
  <c r="I828" i="35" l="1"/>
  <c r="B829" i="35" s="1"/>
  <c r="C828" i="35"/>
  <c r="H828" i="35"/>
  <c r="G828" i="35"/>
  <c r="D828" i="35"/>
  <c r="C829" i="35" l="1"/>
  <c r="D829" i="35"/>
  <c r="G829" i="35"/>
  <c r="I829" i="35"/>
  <c r="B830" i="35" s="1"/>
  <c r="H829" i="35"/>
  <c r="D830" i="35" l="1"/>
  <c r="C830" i="35"/>
  <c r="H830" i="35"/>
  <c r="G830" i="35"/>
  <c r="I830" i="35"/>
  <c r="B831" i="35" s="1"/>
  <c r="G831" i="35" l="1"/>
  <c r="H831" i="35"/>
  <c r="C831" i="35"/>
  <c r="I831" i="35"/>
  <c r="B832" i="35" s="1"/>
  <c r="D831" i="35"/>
  <c r="I832" i="35" l="1"/>
  <c r="B833" i="35" s="1"/>
  <c r="C832" i="35"/>
  <c r="G832" i="35"/>
  <c r="D832" i="35"/>
  <c r="H832" i="35"/>
  <c r="C833" i="35" l="1"/>
  <c r="G833" i="35"/>
  <c r="H833" i="35"/>
  <c r="D833" i="35"/>
  <c r="I833" i="35"/>
  <c r="B834" i="35" s="1"/>
  <c r="D834" i="35" l="1"/>
  <c r="C834" i="35"/>
  <c r="I834" i="35"/>
  <c r="B835" i="35" s="1"/>
  <c r="H834" i="35"/>
  <c r="G834" i="35"/>
  <c r="H835" i="35" l="1"/>
  <c r="G835" i="35"/>
  <c r="C835" i="35"/>
  <c r="I835" i="35"/>
  <c r="B836" i="35" s="1"/>
  <c r="D835" i="35"/>
  <c r="I836" i="35" l="1"/>
  <c r="B837" i="35" s="1"/>
  <c r="C836" i="35"/>
  <c r="G836" i="35"/>
  <c r="D836" i="35"/>
  <c r="H836" i="35"/>
  <c r="C837" i="35" l="1"/>
  <c r="G837" i="35"/>
  <c r="I837" i="35"/>
  <c r="B838" i="35" s="1"/>
  <c r="H837" i="35"/>
  <c r="D837" i="35"/>
  <c r="I838" i="35" l="1"/>
  <c r="B839" i="35" s="1"/>
  <c r="D838" i="35"/>
  <c r="C838" i="35"/>
  <c r="H838" i="35"/>
  <c r="G838" i="35"/>
  <c r="H839" i="35" l="1"/>
  <c r="G839" i="35"/>
  <c r="D839" i="35"/>
  <c r="I839" i="35"/>
  <c r="B840" i="35" s="1"/>
  <c r="C839" i="35"/>
  <c r="C840" i="35" l="1"/>
  <c r="I840" i="35"/>
  <c r="I10" i="35" s="1"/>
  <c r="H840" i="35"/>
  <c r="G840" i="35"/>
  <c r="D840" i="35"/>
  <c r="I7" i="35" l="1"/>
  <c r="I8" i="35"/>
  <c r="G26" i="35"/>
  <c r="E26" i="35"/>
  <c r="H26" i="35"/>
  <c r="D26" i="35"/>
  <c r="D6" i="3" l="1"/>
  <c r="D35" i="3" s="1"/>
  <c r="D27" i="35"/>
  <c r="E6" i="3" s="1"/>
  <c r="I26" i="35"/>
  <c r="H27" i="35"/>
  <c r="K26" i="35"/>
  <c r="E27" i="35"/>
  <c r="E28" i="35" s="1"/>
  <c r="G27" i="35"/>
  <c r="G28" i="35" s="1"/>
  <c r="D83" i="3" l="1"/>
  <c r="D28" i="35"/>
  <c r="F6" i="3" s="1"/>
  <c r="G29" i="35"/>
  <c r="G30" i="35" s="1"/>
  <c r="G31" i="35" s="1"/>
  <c r="G32" i="35" s="1"/>
  <c r="E29" i="35"/>
  <c r="E30" i="35" s="1"/>
  <c r="E31" i="35" s="1"/>
  <c r="E32" i="35" s="1"/>
  <c r="K27" i="35"/>
  <c r="H28" i="35"/>
  <c r="H29" i="35" s="1"/>
  <c r="H30" i="35" s="1"/>
  <c r="I27" i="35"/>
  <c r="E35" i="3" l="1"/>
  <c r="D29" i="35"/>
  <c r="G6" i="3" s="1"/>
  <c r="D89" i="2"/>
  <c r="E12" i="34"/>
  <c r="E44" i="34"/>
  <c r="E48" i="34" s="1"/>
  <c r="I28" i="35"/>
  <c r="I29" i="35" s="1"/>
  <c r="I30" i="35" s="1"/>
  <c r="H31" i="35"/>
  <c r="H32" i="35" s="1"/>
  <c r="H33" i="35" s="1"/>
  <c r="H34" i="35" s="1"/>
  <c r="K28" i="35"/>
  <c r="K29" i="35" s="1"/>
  <c r="K30" i="35" s="1"/>
  <c r="E33" i="35"/>
  <c r="E34" i="35" s="1"/>
  <c r="E35" i="35" s="1"/>
  <c r="G33" i="35"/>
  <c r="G34" i="35" s="1"/>
  <c r="G35" i="35" s="1"/>
  <c r="G36" i="35" s="1"/>
  <c r="G37" i="35" s="1"/>
  <c r="G38" i="35" s="1"/>
  <c r="G39" i="35" s="1"/>
  <c r="G40" i="35" s="1"/>
  <c r="G41" i="35" s="1"/>
  <c r="G42" i="35" s="1"/>
  <c r="G43" i="35" s="1"/>
  <c r="G44" i="35" s="1"/>
  <c r="G45" i="35" s="1"/>
  <c r="G46" i="35" s="1"/>
  <c r="G47" i="35" s="1"/>
  <c r="G48" i="35" s="1"/>
  <c r="G49" i="35" s="1"/>
  <c r="G50" i="35" s="1"/>
  <c r="G51" i="35" s="1"/>
  <c r="G52" i="35" s="1"/>
  <c r="G53" i="35" s="1"/>
  <c r="G54" i="35" s="1"/>
  <c r="G55" i="35" s="1"/>
  <c r="G56" i="35" s="1"/>
  <c r="E16" i="34" l="1"/>
  <c r="E34" i="34" s="1"/>
  <c r="E83" i="3"/>
  <c r="G35" i="3"/>
  <c r="G83" i="3" s="1"/>
  <c r="F35" i="3"/>
  <c r="F83" i="3" s="1"/>
  <c r="D30" i="35"/>
  <c r="F12" i="34"/>
  <c r="E49" i="34"/>
  <c r="E50" i="34" s="1"/>
  <c r="E78" i="34"/>
  <c r="E79" i="34" s="1"/>
  <c r="H35" i="35"/>
  <c r="H36" i="35" s="1"/>
  <c r="H37" i="35" s="1"/>
  <c r="H38" i="35" s="1"/>
  <c r="H39" i="35" s="1"/>
  <c r="H40" i="35" s="1"/>
  <c r="H41" i="35" s="1"/>
  <c r="H42" i="35" s="1"/>
  <c r="H43" i="35" s="1"/>
  <c r="H44" i="35" s="1"/>
  <c r="H45" i="35" s="1"/>
  <c r="H46" i="35" s="1"/>
  <c r="H47" i="35" s="1"/>
  <c r="H48" i="35" s="1"/>
  <c r="H49" i="35" s="1"/>
  <c r="H50" i="35" s="1"/>
  <c r="H51" i="35" s="1"/>
  <c r="K31" i="35"/>
  <c r="K32" i="35" s="1"/>
  <c r="K33" i="35" s="1"/>
  <c r="K34" i="35" s="1"/>
  <c r="I31" i="35"/>
  <c r="I32" i="35" s="1"/>
  <c r="I33" i="35" s="1"/>
  <c r="I34" i="35" s="1"/>
  <c r="E36" i="35"/>
  <c r="E37" i="35" s="1"/>
  <c r="E38" i="35" s="1"/>
  <c r="E39" i="35" s="1"/>
  <c r="E40" i="35" s="1"/>
  <c r="E41" i="35" s="1"/>
  <c r="E42" i="35" s="1"/>
  <c r="E43" i="35" s="1"/>
  <c r="E44" i="35" s="1"/>
  <c r="E45" i="35" s="1"/>
  <c r="E46" i="35" s="1"/>
  <c r="E47" i="35" s="1"/>
  <c r="E48" i="35" s="1"/>
  <c r="E49" i="35" s="1"/>
  <c r="E50" i="35" s="1"/>
  <c r="E51" i="35" s="1"/>
  <c r="E52" i="35" s="1"/>
  <c r="E53" i="35" s="1"/>
  <c r="E54" i="35" s="1"/>
  <c r="E55" i="35" s="1"/>
  <c r="E56" i="35" s="1"/>
  <c r="E35" i="34" l="1"/>
  <c r="E36" i="34" s="1"/>
  <c r="E62" i="34"/>
  <c r="E83" i="34" s="1"/>
  <c r="E86" i="34" s="1"/>
  <c r="E87" i="34" s="1"/>
  <c r="F85" i="34" s="1"/>
  <c r="E89" i="2"/>
  <c r="F44" i="34"/>
  <c r="F48" i="34" s="1"/>
  <c r="F78" i="34" s="1"/>
  <c r="F79" i="34" s="1"/>
  <c r="F81" i="34" s="1"/>
  <c r="F16" i="34"/>
  <c r="F34" i="34" s="1"/>
  <c r="D31" i="35"/>
  <c r="I6" i="3" s="1"/>
  <c r="H6" i="3"/>
  <c r="G12" i="34"/>
  <c r="G44" i="34"/>
  <c r="G48" i="34" s="1"/>
  <c r="F89" i="2"/>
  <c r="E81" i="34"/>
  <c r="I35" i="35"/>
  <c r="I36" i="35" s="1"/>
  <c r="I37" i="35" s="1"/>
  <c r="I38" i="35" s="1"/>
  <c r="I39" i="35" s="1"/>
  <c r="I40" i="35" s="1"/>
  <c r="I41" i="35" s="1"/>
  <c r="I42" i="35" s="1"/>
  <c r="I43" i="35" s="1"/>
  <c r="I44" i="35" s="1"/>
  <c r="I45" i="35" s="1"/>
  <c r="I46" i="35" s="1"/>
  <c r="I47" i="35" s="1"/>
  <c r="I48" i="35" s="1"/>
  <c r="I49" i="35" s="1"/>
  <c r="I50" i="35" s="1"/>
  <c r="I51" i="35" s="1"/>
  <c r="K35" i="35"/>
  <c r="K36" i="35" s="1"/>
  <c r="K37" i="35" s="1"/>
  <c r="K38" i="35" s="1"/>
  <c r="K39" i="35" s="1"/>
  <c r="K40" i="35" s="1"/>
  <c r="K41" i="35" s="1"/>
  <c r="K42" i="35" s="1"/>
  <c r="K43" i="35" s="1"/>
  <c r="K44" i="35" s="1"/>
  <c r="K45" i="35" s="1"/>
  <c r="K46" i="35" s="1"/>
  <c r="K47" i="35" s="1"/>
  <c r="K48" i="35" s="1"/>
  <c r="K49" i="35" s="1"/>
  <c r="K50" i="35" s="1"/>
  <c r="K51" i="35" s="1"/>
  <c r="H52" i="35"/>
  <c r="H53" i="35" s="1"/>
  <c r="H54" i="35" s="1"/>
  <c r="H55" i="35" s="1"/>
  <c r="H56" i="35" s="1"/>
  <c r="F49" i="34" l="1"/>
  <c r="F50" i="34" s="1"/>
  <c r="F35" i="34"/>
  <c r="F36" i="34" s="1"/>
  <c r="F62" i="34"/>
  <c r="F83" i="34" s="1"/>
  <c r="F86" i="34" s="1"/>
  <c r="F87" i="34" s="1"/>
  <c r="G85" i="34" s="1"/>
  <c r="G16" i="34"/>
  <c r="G34" i="34" s="1"/>
  <c r="D32" i="35"/>
  <c r="J6" i="3" s="1"/>
  <c r="H35" i="3"/>
  <c r="I35" i="3"/>
  <c r="I83" i="3" s="1"/>
  <c r="G49" i="34"/>
  <c r="G50" i="34" s="1"/>
  <c r="G78" i="34"/>
  <c r="G79" i="34" s="1"/>
  <c r="G81" i="34" s="1"/>
  <c r="H44" i="34"/>
  <c r="H48" i="34" s="1"/>
  <c r="H12" i="34"/>
  <c r="H16" i="34" s="1"/>
  <c r="H34" i="34" s="1"/>
  <c r="G89" i="2"/>
  <c r="K52" i="35"/>
  <c r="K53" i="35" s="1"/>
  <c r="K54" i="35" s="1"/>
  <c r="I52" i="35"/>
  <c r="I53" i="35" s="1"/>
  <c r="I54" i="35" s="1"/>
  <c r="I55" i="35" s="1"/>
  <c r="I56" i="35" s="1"/>
  <c r="D33" i="35" l="1"/>
  <c r="K6" i="3" s="1"/>
  <c r="K35" i="3" s="1"/>
  <c r="K83" i="3" s="1"/>
  <c r="H83" i="3"/>
  <c r="G35" i="34"/>
  <c r="G36" i="34" s="1"/>
  <c r="G62" i="34"/>
  <c r="G83" i="34" s="1"/>
  <c r="G86" i="34" s="1"/>
  <c r="G87" i="34" s="1"/>
  <c r="H85" i="34" s="1"/>
  <c r="J35" i="3"/>
  <c r="J83" i="3" s="1"/>
  <c r="H35" i="34"/>
  <c r="H36" i="34" s="1"/>
  <c r="H62" i="34"/>
  <c r="H83" i="34" s="1"/>
  <c r="H86" i="34" s="1"/>
  <c r="D34" i="35"/>
  <c r="L6" i="3" s="1"/>
  <c r="H78" i="34"/>
  <c r="H79" i="34" s="1"/>
  <c r="H81" i="34" s="1"/>
  <c r="H49" i="34"/>
  <c r="H50" i="34" s="1"/>
  <c r="I12" i="34"/>
  <c r="I16" i="34" s="1"/>
  <c r="I34" i="34" s="1"/>
  <c r="I44" i="34"/>
  <c r="I48" i="34" s="1"/>
  <c r="H89" i="2"/>
  <c r="I89" i="2"/>
  <c r="H87" i="34" l="1"/>
  <c r="I85" i="34" s="1"/>
  <c r="L35" i="3"/>
  <c r="L83" i="3" s="1"/>
  <c r="I78" i="34"/>
  <c r="I79" i="34" s="1"/>
  <c r="I81" i="34" s="1"/>
  <c r="I49" i="34"/>
  <c r="I50" i="34" s="1"/>
  <c r="I35" i="34"/>
  <c r="I36" i="34" s="1"/>
  <c r="I62" i="34"/>
  <c r="I83" i="34" s="1"/>
  <c r="I86" i="34" s="1"/>
  <c r="J89" i="2"/>
  <c r="D35" i="35"/>
  <c r="I87" i="34" l="1"/>
  <c r="L35" i="35"/>
  <c r="M6" i="3"/>
  <c r="K89" i="2"/>
  <c r="D36" i="35"/>
  <c r="M35" i="3" l="1"/>
  <c r="D37" i="35"/>
  <c r="N6" i="3"/>
  <c r="N37" i="3" s="1"/>
  <c r="L89" i="2"/>
  <c r="M83" i="3" l="1"/>
  <c r="N35" i="3"/>
  <c r="D38" i="35"/>
  <c r="D39" i="35" s="1"/>
  <c r="D40" i="35" s="1"/>
  <c r="D41" i="35" s="1"/>
  <c r="D42" i="35" s="1"/>
  <c r="D43" i="35" s="1"/>
  <c r="D44" i="35" s="1"/>
  <c r="D45" i="35" s="1"/>
  <c r="D46" i="35" s="1"/>
  <c r="D47" i="35" s="1"/>
  <c r="D48" i="35" s="1"/>
  <c r="D49" i="35" s="1"/>
  <c r="D50" i="35" s="1"/>
  <c r="D51" i="35" s="1"/>
  <c r="D52" i="35" s="1"/>
  <c r="D53" i="35" s="1"/>
  <c r="D54" i="35" s="1"/>
  <c r="D55" i="35" s="1"/>
  <c r="D56" i="35" s="1"/>
  <c r="M89" i="2" l="1"/>
  <c r="N89" i="2" s="1"/>
  <c r="E92" i="35"/>
  <c r="O6" i="3" l="1"/>
  <c r="O37" i="3" s="1"/>
  <c r="N52" i="2" s="1"/>
  <c r="I9" i="35"/>
  <c r="O41" i="3" l="1"/>
  <c r="N58" i="2" s="1"/>
  <c r="N39" i="3"/>
  <c r="N38" i="2" s="1"/>
  <c r="D80" i="3" l="1"/>
  <c r="D94" i="3" l="1"/>
  <c r="D87" i="3"/>
  <c r="D114" i="3"/>
  <c r="D116" i="3" s="1"/>
  <c r="D93" i="3"/>
  <c r="D99" i="3" s="1"/>
  <c r="E79" i="3"/>
  <c r="D100" i="3"/>
  <c r="D104" i="3"/>
  <c r="D88" i="3"/>
  <c r="D107" i="3" l="1"/>
  <c r="D108" i="3" s="1"/>
  <c r="D117" i="3"/>
  <c r="D118" i="3" s="1"/>
  <c r="D103" i="3"/>
  <c r="D106" i="3" s="1"/>
  <c r="D109" i="3" s="1"/>
  <c r="E80" i="3"/>
  <c r="F79" i="3" s="1"/>
  <c r="D122" i="3" l="1"/>
  <c r="D124" i="3" s="1"/>
  <c r="D120" i="3"/>
  <c r="E114" i="3"/>
  <c r="E116" i="3" s="1"/>
  <c r="E87" i="3"/>
  <c r="E88" i="3" s="1"/>
  <c r="E94" i="3"/>
  <c r="E100" i="3" s="1"/>
  <c r="E93" i="3"/>
  <c r="E103" i="3" s="1"/>
  <c r="D106" i="2"/>
  <c r="D68" i="2" s="1"/>
  <c r="D126" i="3"/>
  <c r="D87" i="2"/>
  <c r="D62" i="2" s="1"/>
  <c r="D96" i="2"/>
  <c r="D91" i="2"/>
  <c r="F80" i="3"/>
  <c r="G79" i="3" s="1"/>
  <c r="E104" i="3" l="1"/>
  <c r="F114" i="3"/>
  <c r="F87" i="3"/>
  <c r="F88" i="3" s="1"/>
  <c r="E99" i="3"/>
  <c r="E106" i="3" s="1"/>
  <c r="E117" i="3"/>
  <c r="E118" i="3" s="1"/>
  <c r="E126" i="3" s="1"/>
  <c r="F116" i="3"/>
  <c r="G80" i="3"/>
  <c r="H79" i="3" s="1"/>
  <c r="F94" i="3"/>
  <c r="F100" i="3" s="1"/>
  <c r="F93" i="3"/>
  <c r="F99" i="3" s="1"/>
  <c r="D128" i="3"/>
  <c r="D112" i="2" s="1"/>
  <c r="D77" i="2" s="1"/>
  <c r="D110" i="2"/>
  <c r="E107" i="3"/>
  <c r="D93" i="2"/>
  <c r="D108" i="2"/>
  <c r="G87" i="3" l="1"/>
  <c r="G114" i="3"/>
  <c r="G117" i="3" s="1"/>
  <c r="F117" i="3"/>
  <c r="F118" i="3" s="1"/>
  <c r="F126" i="3" s="1"/>
  <c r="G88" i="3"/>
  <c r="F104" i="3"/>
  <c r="F107" i="3" s="1"/>
  <c r="F103" i="3"/>
  <c r="F106" i="3" s="1"/>
  <c r="H80" i="3"/>
  <c r="H94" i="3" s="1"/>
  <c r="G94" i="3"/>
  <c r="G100" i="3" s="1"/>
  <c r="D100" i="2"/>
  <c r="E91" i="2"/>
  <c r="E109" i="3"/>
  <c r="D70" i="2"/>
  <c r="D64" i="2"/>
  <c r="E108" i="3"/>
  <c r="E96" i="2"/>
  <c r="E87" i="2"/>
  <c r="E62" i="2" s="1"/>
  <c r="E106" i="2"/>
  <c r="E68" i="2" s="1"/>
  <c r="E120" i="3"/>
  <c r="D75" i="2"/>
  <c r="G93" i="3"/>
  <c r="G116" i="3" l="1"/>
  <c r="H114" i="3"/>
  <c r="H87" i="3"/>
  <c r="H88" i="3" s="1"/>
  <c r="F106" i="2"/>
  <c r="F68" i="2" s="1"/>
  <c r="F120" i="3"/>
  <c r="F108" i="2" s="1"/>
  <c r="F70" i="2" s="1"/>
  <c r="I79" i="3"/>
  <c r="G104" i="3"/>
  <c r="G107" i="3" s="1"/>
  <c r="G108" i="3" s="1"/>
  <c r="F108" i="3"/>
  <c r="F87" i="2"/>
  <c r="F62" i="2" s="1"/>
  <c r="F96" i="2"/>
  <c r="H104" i="3"/>
  <c r="H100" i="3"/>
  <c r="G103" i="3"/>
  <c r="G99" i="3"/>
  <c r="E108" i="2"/>
  <c r="E93" i="2"/>
  <c r="F110" i="2"/>
  <c r="F75" i="2" s="1"/>
  <c r="F128" i="3"/>
  <c r="F112" i="2" s="1"/>
  <c r="F77" i="2" s="1"/>
  <c r="D102" i="2"/>
  <c r="G118" i="3"/>
  <c r="F109" i="3"/>
  <c r="F91" i="2"/>
  <c r="E110" i="2"/>
  <c r="E128" i="3"/>
  <c r="E112" i="2" s="1"/>
  <c r="E77" i="2" s="1"/>
  <c r="H93" i="3"/>
  <c r="D72" i="2"/>
  <c r="E122" i="3"/>
  <c r="G120" i="3" l="1"/>
  <c r="F72" i="2"/>
  <c r="I80" i="3"/>
  <c r="I87" i="3" s="1"/>
  <c r="I88" i="3" s="1"/>
  <c r="J79" i="3"/>
  <c r="H107" i="3"/>
  <c r="H108" i="3" s="1"/>
  <c r="G96" i="2"/>
  <c r="G87" i="2"/>
  <c r="G62" i="2" s="1"/>
  <c r="G106" i="3"/>
  <c r="G91" i="2" s="1"/>
  <c r="E64" i="2"/>
  <c r="E75" i="2"/>
  <c r="D66" i="2"/>
  <c r="E100" i="2"/>
  <c r="E124" i="3"/>
  <c r="E70" i="2"/>
  <c r="F93" i="2"/>
  <c r="F64" i="2" s="1"/>
  <c r="F122" i="3"/>
  <c r="H116" i="3"/>
  <c r="H117" i="3"/>
  <c r="H99" i="3"/>
  <c r="H103" i="3"/>
  <c r="G126" i="3"/>
  <c r="G106" i="2"/>
  <c r="G68" i="2" s="1"/>
  <c r="I94" i="3" l="1"/>
  <c r="H87" i="2"/>
  <c r="H62" i="2" s="1"/>
  <c r="F52" i="2" s="1"/>
  <c r="G52" i="2" s="1"/>
  <c r="H96" i="2"/>
  <c r="I114" i="3"/>
  <c r="I93" i="3"/>
  <c r="I99" i="3" s="1"/>
  <c r="G109" i="3"/>
  <c r="J80" i="3"/>
  <c r="J93" i="3" s="1"/>
  <c r="I100" i="3"/>
  <c r="I104" i="3"/>
  <c r="E102" i="2"/>
  <c r="H106" i="3"/>
  <c r="H118" i="3"/>
  <c r="E72" i="2"/>
  <c r="G110" i="2"/>
  <c r="G128" i="3"/>
  <c r="G112" i="2" s="1"/>
  <c r="G77" i="2" s="1"/>
  <c r="F100" i="2"/>
  <c r="F124" i="3"/>
  <c r="F102" i="2" s="1"/>
  <c r="F66" i="2" s="1"/>
  <c r="G108" i="2"/>
  <c r="G93" i="2" l="1"/>
  <c r="G64" i="2" s="1"/>
  <c r="G122" i="3"/>
  <c r="G124" i="3" s="1"/>
  <c r="I116" i="3"/>
  <c r="I117" i="3"/>
  <c r="J114" i="3"/>
  <c r="I103" i="3"/>
  <c r="I106" i="3" s="1"/>
  <c r="I91" i="2" s="1"/>
  <c r="G102" i="2"/>
  <c r="G66" i="2" s="1"/>
  <c r="J87" i="3"/>
  <c r="J88" i="3" s="1"/>
  <c r="K79" i="3"/>
  <c r="J103" i="3"/>
  <c r="J99" i="3"/>
  <c r="H109" i="3"/>
  <c r="H122" i="3" s="1"/>
  <c r="H91" i="2"/>
  <c r="G70" i="2"/>
  <c r="J94" i="3"/>
  <c r="H120" i="3"/>
  <c r="H126" i="3"/>
  <c r="H106" i="2"/>
  <c r="H68" i="2" s="1"/>
  <c r="E66" i="2"/>
  <c r="I107" i="3"/>
  <c r="G75" i="2"/>
  <c r="J106" i="3" l="1"/>
  <c r="G100" i="2"/>
  <c r="I118" i="3"/>
  <c r="H128" i="3"/>
  <c r="H112" i="2" s="1"/>
  <c r="H77" i="2" s="1"/>
  <c r="H110" i="2"/>
  <c r="J116" i="3"/>
  <c r="J117" i="3"/>
  <c r="H108" i="2"/>
  <c r="J100" i="3"/>
  <c r="J104" i="3"/>
  <c r="H93" i="2"/>
  <c r="I108" i="3"/>
  <c r="I87" i="2"/>
  <c r="I62" i="2" s="1"/>
  <c r="I96" i="2"/>
  <c r="I109" i="3"/>
  <c r="G72" i="2"/>
  <c r="J91" i="2"/>
  <c r="H100" i="2"/>
  <c r="H124" i="3"/>
  <c r="H102" i="2" s="1"/>
  <c r="H66" i="2" s="1"/>
  <c r="K80" i="3"/>
  <c r="K114" i="3" s="1"/>
  <c r="F56" i="2" l="1"/>
  <c r="G56" i="2" s="1"/>
  <c r="I126" i="3"/>
  <c r="I106" i="2"/>
  <c r="I68" i="2" s="1"/>
  <c r="I120" i="3"/>
  <c r="I108" i="2" s="1"/>
  <c r="I70" i="2" s="1"/>
  <c r="I72" i="2" s="1"/>
  <c r="K87" i="3"/>
  <c r="K88" i="3" s="1"/>
  <c r="K93" i="3"/>
  <c r="K99" i="3" s="1"/>
  <c r="K94" i="3"/>
  <c r="K104" i="3" s="1"/>
  <c r="L79" i="3"/>
  <c r="J118" i="3"/>
  <c r="J106" i="2" s="1"/>
  <c r="J68" i="2" s="1"/>
  <c r="K116" i="3"/>
  <c r="K117" i="3"/>
  <c r="H64" i="2"/>
  <c r="H75" i="2"/>
  <c r="F58" i="2"/>
  <c r="G58" i="2" s="1"/>
  <c r="J107" i="3"/>
  <c r="I93" i="2"/>
  <c r="I64" i="2" s="1"/>
  <c r="I122" i="3"/>
  <c r="H70" i="2"/>
  <c r="J120" i="3" l="1"/>
  <c r="J126" i="3"/>
  <c r="F54" i="2"/>
  <c r="K100" i="3"/>
  <c r="K103" i="3"/>
  <c r="K106" i="3" s="1"/>
  <c r="I128" i="3"/>
  <c r="I112" i="2" s="1"/>
  <c r="I77" i="2" s="1"/>
  <c r="I110" i="2"/>
  <c r="I75" i="2" s="1"/>
  <c r="K107" i="3"/>
  <c r="J108" i="2"/>
  <c r="J110" i="2"/>
  <c r="J128" i="3"/>
  <c r="J112" i="2" s="1"/>
  <c r="J77" i="2" s="1"/>
  <c r="L80" i="3"/>
  <c r="I124" i="3"/>
  <c r="I102" i="2" s="1"/>
  <c r="I100" i="2"/>
  <c r="G54" i="2"/>
  <c r="H72" i="2"/>
  <c r="J87" i="2"/>
  <c r="J62" i="2" s="1"/>
  <c r="J108" i="3"/>
  <c r="J96" i="2"/>
  <c r="J109" i="3"/>
  <c r="K118" i="3"/>
  <c r="L114" i="3" l="1"/>
  <c r="L87" i="3"/>
  <c r="L88" i="3" s="1"/>
  <c r="M79" i="3"/>
  <c r="M80" i="3"/>
  <c r="M94" i="3" s="1"/>
  <c r="M93" i="3"/>
  <c r="I66" i="2"/>
  <c r="J75" i="2"/>
  <c r="L94" i="3"/>
  <c r="L93" i="3"/>
  <c r="J70" i="2"/>
  <c r="L117" i="3"/>
  <c r="L116" i="3"/>
  <c r="K91" i="2"/>
  <c r="K109" i="3"/>
  <c r="K93" i="2" s="1"/>
  <c r="K64" i="2" s="1"/>
  <c r="K106" i="2"/>
  <c r="K68" i="2" s="1"/>
  <c r="K120" i="3"/>
  <c r="K108" i="2" s="1"/>
  <c r="K70" i="2" s="1"/>
  <c r="K126" i="3"/>
  <c r="J93" i="2"/>
  <c r="J64" i="2" s="1"/>
  <c r="J122" i="3"/>
  <c r="K87" i="2"/>
  <c r="K62" i="2" s="1"/>
  <c r="K96" i="2"/>
  <c r="K108" i="3"/>
  <c r="M114" i="3" l="1"/>
  <c r="M116" i="3" s="1"/>
  <c r="M87" i="3"/>
  <c r="M88" i="3" s="1"/>
  <c r="K72" i="2"/>
  <c r="L118" i="3"/>
  <c r="L126" i="3" s="1"/>
  <c r="K122" i="3"/>
  <c r="K124" i="3" s="1"/>
  <c r="K102" i="2" s="1"/>
  <c r="K66" i="2" s="1"/>
  <c r="M104" i="3"/>
  <c r="M100" i="3"/>
  <c r="J100" i="2"/>
  <c r="J124" i="3"/>
  <c r="J102" i="2" s="1"/>
  <c r="J66" i="2" s="1"/>
  <c r="J72" i="2"/>
  <c r="M117" i="3"/>
  <c r="L99" i="3"/>
  <c r="L103" i="3"/>
  <c r="M99" i="3"/>
  <c r="M103" i="3"/>
  <c r="L100" i="3"/>
  <c r="L104" i="3"/>
  <c r="K110" i="2"/>
  <c r="K128" i="3"/>
  <c r="K112" i="2" s="1"/>
  <c r="K77" i="2" s="1"/>
  <c r="M107" i="3" l="1"/>
  <c r="M118" i="3"/>
  <c r="K100" i="2"/>
  <c r="L106" i="2"/>
  <c r="L68" i="2" s="1"/>
  <c r="M120" i="3"/>
  <c r="M106" i="2"/>
  <c r="M68" i="2" s="1"/>
  <c r="L110" i="2"/>
  <c r="L75" i="2" s="1"/>
  <c r="L128" i="3"/>
  <c r="L112" i="2" s="1"/>
  <c r="L77" i="2" s="1"/>
  <c r="M106" i="3"/>
  <c r="L107" i="3"/>
  <c r="M108" i="3" s="1"/>
  <c r="K75" i="2"/>
  <c r="M87" i="2"/>
  <c r="M62" i="2" s="1"/>
  <c r="N62" i="2" s="1"/>
  <c r="M96" i="2"/>
  <c r="L106" i="3"/>
  <c r="M126" i="3" l="1"/>
  <c r="L91" i="2"/>
  <c r="L109" i="3"/>
  <c r="C52" i="2"/>
  <c r="D52" i="2" s="1"/>
  <c r="E52" i="2" s="1"/>
  <c r="H52" i="2"/>
  <c r="I52" i="2" s="1"/>
  <c r="M108" i="2"/>
  <c r="M109" i="3"/>
  <c r="M91" i="2"/>
  <c r="M128" i="3"/>
  <c r="M112" i="2" s="1"/>
  <c r="M77" i="2" s="1"/>
  <c r="M110" i="2"/>
  <c r="H58" i="2" s="1"/>
  <c r="I58" i="2" s="1"/>
  <c r="N126" i="3"/>
  <c r="L96" i="2"/>
  <c r="L108" i="3"/>
  <c r="N108" i="3" s="1"/>
  <c r="L87" i="2"/>
  <c r="L62" i="2" s="1"/>
  <c r="L120" i="3"/>
  <c r="L108" i="2" s="1"/>
  <c r="L70" i="2" s="1"/>
  <c r="N120" i="3" l="1"/>
  <c r="M70" i="2"/>
  <c r="N70" i="2" s="1"/>
  <c r="N108" i="2"/>
  <c r="M93" i="2"/>
  <c r="N109" i="3"/>
  <c r="M122" i="3"/>
  <c r="M75" i="2"/>
  <c r="N110" i="2"/>
  <c r="L93" i="2"/>
  <c r="L64" i="2" s="1"/>
  <c r="L122" i="3"/>
  <c r="L72" i="2"/>
  <c r="N93" i="2" l="1"/>
  <c r="N75" i="2"/>
  <c r="C58" i="2"/>
  <c r="D58" i="2" s="1"/>
  <c r="E58" i="2" s="1"/>
  <c r="M64" i="2"/>
  <c r="N64" i="2" s="1"/>
  <c r="C54" i="2" s="1"/>
  <c r="D54" i="2" s="1"/>
  <c r="E54" i="2" s="1"/>
  <c r="M124" i="3"/>
  <c r="M100" i="2"/>
  <c r="L124" i="3"/>
  <c r="L102" i="2" s="1"/>
  <c r="L66" i="2" s="1"/>
  <c r="L100" i="2"/>
  <c r="M72" i="2"/>
  <c r="H54" i="2" l="1"/>
  <c r="I54" i="2" s="1"/>
  <c r="M102" i="2"/>
  <c r="N124" i="3"/>
  <c r="M66" i="2" l="1"/>
  <c r="N66" i="2" s="1"/>
  <c r="N102" i="2"/>
  <c r="C56" i="2" l="1"/>
  <c r="D56" i="2" s="1"/>
  <c r="E56" i="2" s="1"/>
  <c r="H56" i="2"/>
  <c r="I56" i="2" s="1"/>
</calcChain>
</file>

<file path=xl/comments1.xml><?xml version="1.0" encoding="utf-8"?>
<comments xmlns="http://schemas.openxmlformats.org/spreadsheetml/2006/main">
  <authors>
    <author>Jonathan R Asher</author>
  </authors>
  <commentList>
    <comment ref="F5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LT-Borrowing interest rates need validation</t>
        </r>
      </text>
    </comment>
  </commentList>
</comments>
</file>

<file path=xl/comments10.xml><?xml version="1.0" encoding="utf-8"?>
<comments xmlns="http://schemas.openxmlformats.org/spreadsheetml/2006/main">
  <authors>
    <author>Vertex42</author>
    <author>Maria</author>
    <author>Jon</author>
  </authors>
  <commentList>
    <comment ref="H6" authorId="0" shapeId="0">
      <text>
        <r>
          <rPr>
            <b/>
            <sz val="8"/>
            <color indexed="81"/>
            <rFont val="Tahoma"/>
            <family val="2"/>
          </rPr>
          <t>Rate Per PAYMENT Period:</t>
        </r>
        <r>
          <rPr>
            <sz val="8"/>
            <color indexed="81"/>
            <rFont val="Tahoma"/>
            <family val="2"/>
          </rPr>
          <t xml:space="preserve">
When the Compound Period is equal to the Payment Frequency, the rate per period ends up being simply the annual rate divided by the number of periods per year.</t>
        </r>
      </text>
    </comment>
    <comment ref="D8" authorId="1" shapeId="0">
      <text>
        <r>
          <rPr>
            <b/>
            <sz val="9"/>
            <color indexed="81"/>
            <rFont val="Tahoma"/>
            <family val="2"/>
          </rPr>
          <t>Term of Loan</t>
        </r>
        <r>
          <rPr>
            <sz val="9"/>
            <color indexed="81"/>
            <rFont val="Tahoma"/>
            <family val="2"/>
          </rPr>
          <t xml:space="preserve">
Mortgage loans usually have 15 or 30-year terms. Auto loans are usually between 2 and 5 years. For a 6-month term, enter 6/12.
</t>
        </r>
      </text>
    </comment>
    <comment ref="H9" authorId="1" shapeId="0">
      <text>
        <r>
          <rPr>
            <b/>
            <sz val="8"/>
            <color indexed="81"/>
            <rFont val="Tahoma"/>
            <family val="2"/>
          </rPr>
          <t>Estimated Interest Savings</t>
        </r>
        <r>
          <rPr>
            <sz val="8"/>
            <color indexed="81"/>
            <rFont val="Tahoma"/>
            <family val="2"/>
          </rPr>
          <t xml:space="preserve">
The reduced interest expense associated with making extra payments. The result may be off by a small amount (a few dollars) due to rounding.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</rPr>
          <t>Payment Frequency:</t>
        </r>
        <r>
          <rPr>
            <sz val="9"/>
            <color indexed="81"/>
            <rFont val="Tahoma"/>
            <family val="2"/>
          </rPr>
          <t xml:space="preserve">
This defines the Payment Period, or the number of payments per year.</t>
        </r>
      </text>
    </comment>
    <comment ref="D11" authorId="2" shapeId="0">
      <text>
        <r>
          <rPr>
            <b/>
            <sz val="9"/>
            <color indexed="81"/>
            <rFont val="Tahoma"/>
            <family val="2"/>
          </rPr>
          <t>Compound Period:</t>
        </r>
        <r>
          <rPr>
            <sz val="9"/>
            <color indexed="81"/>
            <rFont val="Tahoma"/>
            <family val="2"/>
          </rPr>
          <t xml:space="preserve">
The number of times per year that the interest is compounded.
Annually: 1 time per year
Semi-Annually: 2 times per year
Quarterly: 4 times per year
Monthly: 12 times per year
</t>
        </r>
        <r>
          <rPr>
            <b/>
            <sz val="9"/>
            <color indexed="81"/>
            <rFont val="Tahoma"/>
            <family val="2"/>
          </rPr>
          <t>Canadian</t>
        </r>
        <r>
          <rPr>
            <sz val="9"/>
            <color indexed="81"/>
            <rFont val="Tahoma"/>
            <family val="2"/>
          </rPr>
          <t xml:space="preserve"> mortgages are compounded </t>
        </r>
        <r>
          <rPr>
            <b/>
            <sz val="9"/>
            <color indexed="81"/>
            <rFont val="Tahoma"/>
            <family val="2"/>
          </rPr>
          <t>semi-annually</t>
        </r>
        <r>
          <rPr>
            <sz val="9"/>
            <color indexed="81"/>
            <rFont val="Tahoma"/>
            <family val="2"/>
          </rPr>
          <t xml:space="preserve">.
</t>
        </r>
        <r>
          <rPr>
            <b/>
            <sz val="9"/>
            <color indexed="81"/>
            <rFont val="Tahoma"/>
            <family val="2"/>
          </rPr>
          <t>US</t>
        </r>
        <r>
          <rPr>
            <sz val="9"/>
            <color indexed="81"/>
            <rFont val="Tahoma"/>
            <family val="2"/>
          </rPr>
          <t xml:space="preserve"> mortgages are compounded </t>
        </r>
        <r>
          <rPr>
            <b/>
            <sz val="9"/>
            <color indexed="81"/>
            <rFont val="Tahoma"/>
            <family val="2"/>
          </rPr>
          <t>monthly</t>
        </r>
        <r>
          <rPr>
            <sz val="9"/>
            <color indexed="81"/>
            <rFont val="Tahoma"/>
            <family val="2"/>
          </rPr>
          <t xml:space="preserve">.
The default is to set the compound period EQUAL to the payment frequency.
</t>
        </r>
        <r>
          <rPr>
            <i/>
            <sz val="9"/>
            <color indexed="81"/>
            <rFont val="Tahoma"/>
            <family val="2"/>
          </rPr>
          <t>WARNING</t>
        </r>
        <r>
          <rPr>
            <sz val="9"/>
            <color indexed="81"/>
            <rFont val="Tahoma"/>
            <family val="2"/>
          </rPr>
          <t>:Choosing a compound period that is shorter than the payment period results in negative amortization.</t>
        </r>
      </text>
    </comment>
    <comment ref="D12" authorId="0" shapeId="0">
      <text>
        <r>
          <rPr>
            <b/>
            <sz val="9"/>
            <color indexed="81"/>
            <rFont val="Tahoma"/>
            <family val="2"/>
          </rPr>
          <t>Payment Type:</t>
        </r>
        <r>
          <rPr>
            <sz val="9"/>
            <color indexed="81"/>
            <rFont val="Tahoma"/>
            <family val="2"/>
          </rPr>
          <t xml:space="preserve">
This affects the "type" argument in the Excel PMT function.
"End of Period" (type=0) is the most common option. Choosing "Beginning of Period" (type=1) means that you will pay zero interest on your first payment.</t>
        </r>
      </text>
    </comment>
    <comment ref="D13" authorId="2" shapeId="0">
      <text>
        <r>
          <rPr>
            <b/>
            <sz val="9"/>
            <color indexed="81"/>
            <rFont val="Tahoma"/>
            <family val="2"/>
          </rPr>
          <t>Rounding:</t>
        </r>
        <r>
          <rPr>
            <sz val="9"/>
            <color indexed="81"/>
            <rFont val="Tahoma"/>
            <family val="2"/>
          </rPr>
          <t xml:space="preserve">
Interest calculations are normally rounded to the nearest cent in an amortization schedule.</t>
        </r>
      </text>
    </comment>
    <comment ref="E59" authorId="1" shapeId="0">
      <text>
        <r>
          <rPr>
            <b/>
            <sz val="9"/>
            <color indexed="81"/>
            <rFont val="Tahoma"/>
            <family val="2"/>
          </rPr>
          <t>Additional Payment</t>
        </r>
        <r>
          <rPr>
            <sz val="9"/>
            <color indexed="81"/>
            <rFont val="Tahoma"/>
            <family val="2"/>
          </rPr>
          <t xml:space="preserve">
The amount paid directly towards the principal, in additional to the normal payment.
To pay off the remaining balance, the additional payment must be the</t>
        </r>
        <r>
          <rPr>
            <b/>
            <sz val="9"/>
            <color indexed="81"/>
            <rFont val="Tahoma"/>
            <family val="2"/>
          </rPr>
          <t xml:space="preserve"> last period balance - payment due + interest due</t>
        </r>
        <r>
          <rPr>
            <sz val="9"/>
            <color indexed="81"/>
            <rFont val="Tahoma"/>
            <family val="2"/>
          </rPr>
          <t>.
(Assumes no penalties for making additional payments.)</t>
        </r>
      </text>
    </comment>
  </commentList>
</comments>
</file>

<file path=xl/comments11.xml><?xml version="1.0" encoding="utf-8"?>
<comments xmlns="http://schemas.openxmlformats.org/spreadsheetml/2006/main">
  <authors>
    <author>Vertex42</author>
    <author>Maria</author>
    <author>Jon</author>
  </authors>
  <commentList>
    <comment ref="H6" authorId="0" shapeId="0">
      <text>
        <r>
          <rPr>
            <b/>
            <sz val="8"/>
            <color indexed="81"/>
            <rFont val="Tahoma"/>
            <family val="2"/>
          </rPr>
          <t>Rate Per PAYMENT Period:</t>
        </r>
        <r>
          <rPr>
            <sz val="8"/>
            <color indexed="81"/>
            <rFont val="Tahoma"/>
            <family val="2"/>
          </rPr>
          <t xml:space="preserve">
When the Compound Period is equal to the Payment Frequency, the rate per period ends up being simply the annual rate divided by the number of periods per year.</t>
        </r>
      </text>
    </comment>
    <comment ref="D8" authorId="1" shapeId="0">
      <text>
        <r>
          <rPr>
            <b/>
            <sz val="9"/>
            <color indexed="81"/>
            <rFont val="Tahoma"/>
            <family val="2"/>
          </rPr>
          <t>Term of Loan</t>
        </r>
        <r>
          <rPr>
            <sz val="9"/>
            <color indexed="81"/>
            <rFont val="Tahoma"/>
            <family val="2"/>
          </rPr>
          <t xml:space="preserve">
Mortgage loans usually have 15 or 30-year terms. Auto loans are usually between 2 and 5 years. For a 6-month term, enter 6/12.
</t>
        </r>
      </text>
    </comment>
    <comment ref="H9" authorId="1" shapeId="0">
      <text>
        <r>
          <rPr>
            <b/>
            <sz val="8"/>
            <color indexed="81"/>
            <rFont val="Tahoma"/>
            <family val="2"/>
          </rPr>
          <t>Estimated Interest Savings</t>
        </r>
        <r>
          <rPr>
            <sz val="8"/>
            <color indexed="81"/>
            <rFont val="Tahoma"/>
            <family val="2"/>
          </rPr>
          <t xml:space="preserve">
The reduced interest expense associated with making extra payments. The result may be off by a small amount (a few dollars) due to rounding.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</rPr>
          <t>Payment Frequency:</t>
        </r>
        <r>
          <rPr>
            <sz val="9"/>
            <color indexed="81"/>
            <rFont val="Tahoma"/>
            <family val="2"/>
          </rPr>
          <t xml:space="preserve">
This defines the Payment Period, or the number of payments per year.</t>
        </r>
      </text>
    </comment>
    <comment ref="D11" authorId="2" shapeId="0">
      <text>
        <r>
          <rPr>
            <b/>
            <sz val="9"/>
            <color indexed="81"/>
            <rFont val="Tahoma"/>
            <family val="2"/>
          </rPr>
          <t>Compound Period:</t>
        </r>
        <r>
          <rPr>
            <sz val="9"/>
            <color indexed="81"/>
            <rFont val="Tahoma"/>
            <family val="2"/>
          </rPr>
          <t xml:space="preserve">
The number of times per year that the interest is compounded.
Annually: 1 time per year
Semi-Annually: 2 times per year
Quarterly: 4 times per year
Monthly: 12 times per year
</t>
        </r>
        <r>
          <rPr>
            <b/>
            <sz val="9"/>
            <color indexed="81"/>
            <rFont val="Tahoma"/>
            <family val="2"/>
          </rPr>
          <t>Canadian</t>
        </r>
        <r>
          <rPr>
            <sz val="9"/>
            <color indexed="81"/>
            <rFont val="Tahoma"/>
            <family val="2"/>
          </rPr>
          <t xml:space="preserve"> mortgages are compounded </t>
        </r>
        <r>
          <rPr>
            <b/>
            <sz val="9"/>
            <color indexed="81"/>
            <rFont val="Tahoma"/>
            <family val="2"/>
          </rPr>
          <t>semi-annually</t>
        </r>
        <r>
          <rPr>
            <sz val="9"/>
            <color indexed="81"/>
            <rFont val="Tahoma"/>
            <family val="2"/>
          </rPr>
          <t xml:space="preserve">.
</t>
        </r>
        <r>
          <rPr>
            <b/>
            <sz val="9"/>
            <color indexed="81"/>
            <rFont val="Tahoma"/>
            <family val="2"/>
          </rPr>
          <t>US</t>
        </r>
        <r>
          <rPr>
            <sz val="9"/>
            <color indexed="81"/>
            <rFont val="Tahoma"/>
            <family val="2"/>
          </rPr>
          <t xml:space="preserve"> mortgages are compounded </t>
        </r>
        <r>
          <rPr>
            <b/>
            <sz val="9"/>
            <color indexed="81"/>
            <rFont val="Tahoma"/>
            <family val="2"/>
          </rPr>
          <t>monthly</t>
        </r>
        <r>
          <rPr>
            <sz val="9"/>
            <color indexed="81"/>
            <rFont val="Tahoma"/>
            <family val="2"/>
          </rPr>
          <t xml:space="preserve">.
The default is to set the compound period EQUAL to the payment frequency.
</t>
        </r>
        <r>
          <rPr>
            <i/>
            <sz val="9"/>
            <color indexed="81"/>
            <rFont val="Tahoma"/>
            <family val="2"/>
          </rPr>
          <t>WARNING</t>
        </r>
        <r>
          <rPr>
            <sz val="9"/>
            <color indexed="81"/>
            <rFont val="Tahoma"/>
            <family val="2"/>
          </rPr>
          <t>:Choosing a compound period that is shorter than the payment period results in negative amortization.</t>
        </r>
      </text>
    </comment>
    <comment ref="D12" authorId="0" shapeId="0">
      <text>
        <r>
          <rPr>
            <b/>
            <sz val="9"/>
            <color indexed="81"/>
            <rFont val="Tahoma"/>
            <family val="2"/>
          </rPr>
          <t>Payment Type:</t>
        </r>
        <r>
          <rPr>
            <sz val="9"/>
            <color indexed="81"/>
            <rFont val="Tahoma"/>
            <family val="2"/>
          </rPr>
          <t xml:space="preserve">
This affects the "type" argument in the Excel PMT function.
"End of Period" (type=0) is the most common option. Choosing "Beginning of Period" (type=1) means that you will pay zero interest on your first payment.</t>
        </r>
      </text>
    </comment>
    <comment ref="D13" authorId="2" shapeId="0">
      <text>
        <r>
          <rPr>
            <b/>
            <sz val="9"/>
            <color indexed="81"/>
            <rFont val="Tahoma"/>
            <family val="2"/>
          </rPr>
          <t>Rounding:</t>
        </r>
        <r>
          <rPr>
            <sz val="9"/>
            <color indexed="81"/>
            <rFont val="Tahoma"/>
            <family val="2"/>
          </rPr>
          <t xml:space="preserve">
Interest calculations are normally rounded to the nearest cent in an amortization schedule.</t>
        </r>
      </text>
    </comment>
    <comment ref="E59" authorId="1" shapeId="0">
      <text>
        <r>
          <rPr>
            <b/>
            <sz val="9"/>
            <color indexed="81"/>
            <rFont val="Tahoma"/>
            <family val="2"/>
          </rPr>
          <t>Additional Payment</t>
        </r>
        <r>
          <rPr>
            <sz val="9"/>
            <color indexed="81"/>
            <rFont val="Tahoma"/>
            <family val="2"/>
          </rPr>
          <t xml:space="preserve">
The amount paid directly towards the principal, in additional to the normal payment.
To pay off the remaining balance, the additional payment must be the</t>
        </r>
        <r>
          <rPr>
            <b/>
            <sz val="9"/>
            <color indexed="81"/>
            <rFont val="Tahoma"/>
            <family val="2"/>
          </rPr>
          <t xml:space="preserve"> last period balance - payment due + interest due</t>
        </r>
        <r>
          <rPr>
            <sz val="9"/>
            <color indexed="81"/>
            <rFont val="Tahoma"/>
            <family val="2"/>
          </rPr>
          <t>.
(Assumes no penalties for making additional payments.)</t>
        </r>
      </text>
    </comment>
  </commentList>
</comments>
</file>

<file path=xl/comments12.xml><?xml version="1.0" encoding="utf-8"?>
<comments xmlns="http://schemas.openxmlformats.org/spreadsheetml/2006/main">
  <authors>
    <author>Vertex42</author>
    <author>Maria</author>
    <author>Jon</author>
  </authors>
  <commentList>
    <comment ref="H6" authorId="0" shapeId="0">
      <text>
        <r>
          <rPr>
            <b/>
            <sz val="8"/>
            <color indexed="81"/>
            <rFont val="Tahoma"/>
            <family val="2"/>
          </rPr>
          <t>Rate Per PAYMENT Period:</t>
        </r>
        <r>
          <rPr>
            <sz val="8"/>
            <color indexed="81"/>
            <rFont val="Tahoma"/>
            <family val="2"/>
          </rPr>
          <t xml:space="preserve">
When the Compound Period is equal to the Payment Frequency, the rate per period ends up being simply the annual rate divided by the number of periods per year.</t>
        </r>
      </text>
    </comment>
    <comment ref="D8" authorId="1" shapeId="0">
      <text>
        <r>
          <rPr>
            <b/>
            <sz val="9"/>
            <color indexed="81"/>
            <rFont val="Tahoma"/>
            <family val="2"/>
          </rPr>
          <t>Term of Loan</t>
        </r>
        <r>
          <rPr>
            <sz val="9"/>
            <color indexed="81"/>
            <rFont val="Tahoma"/>
            <family val="2"/>
          </rPr>
          <t xml:space="preserve">
Mortgage loans usually have 15 or 30-year terms. Auto loans are usually between 2 and 5 years. For a 6-month term, enter 6/12.
</t>
        </r>
      </text>
    </comment>
    <comment ref="H9" authorId="1" shapeId="0">
      <text>
        <r>
          <rPr>
            <b/>
            <sz val="8"/>
            <color indexed="81"/>
            <rFont val="Tahoma"/>
            <family val="2"/>
          </rPr>
          <t>Estimated Interest Savings</t>
        </r>
        <r>
          <rPr>
            <sz val="8"/>
            <color indexed="81"/>
            <rFont val="Tahoma"/>
            <family val="2"/>
          </rPr>
          <t xml:space="preserve">
The reduced interest expense associated with making extra payments. The result may be off by a small amount (a few dollars) due to rounding.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</rPr>
          <t>Payment Frequency:</t>
        </r>
        <r>
          <rPr>
            <sz val="9"/>
            <color indexed="81"/>
            <rFont val="Tahoma"/>
            <family val="2"/>
          </rPr>
          <t xml:space="preserve">
This defines the Payment Period, or the number of payments per year.</t>
        </r>
      </text>
    </comment>
    <comment ref="D11" authorId="2" shapeId="0">
      <text>
        <r>
          <rPr>
            <b/>
            <sz val="9"/>
            <color indexed="81"/>
            <rFont val="Tahoma"/>
            <family val="2"/>
          </rPr>
          <t>Compound Period:</t>
        </r>
        <r>
          <rPr>
            <sz val="9"/>
            <color indexed="81"/>
            <rFont val="Tahoma"/>
            <family val="2"/>
          </rPr>
          <t xml:space="preserve">
The number of times per year that the interest is compounded.
Annually: 1 time per year
Semi-Annually: 2 times per year
Quarterly: 4 times per year
Monthly: 12 times per year
</t>
        </r>
        <r>
          <rPr>
            <b/>
            <sz val="9"/>
            <color indexed="81"/>
            <rFont val="Tahoma"/>
            <family val="2"/>
          </rPr>
          <t>Canadian</t>
        </r>
        <r>
          <rPr>
            <sz val="9"/>
            <color indexed="81"/>
            <rFont val="Tahoma"/>
            <family val="2"/>
          </rPr>
          <t xml:space="preserve"> mortgages are compounded </t>
        </r>
        <r>
          <rPr>
            <b/>
            <sz val="9"/>
            <color indexed="81"/>
            <rFont val="Tahoma"/>
            <family val="2"/>
          </rPr>
          <t>semi-annually</t>
        </r>
        <r>
          <rPr>
            <sz val="9"/>
            <color indexed="81"/>
            <rFont val="Tahoma"/>
            <family val="2"/>
          </rPr>
          <t xml:space="preserve">.
</t>
        </r>
        <r>
          <rPr>
            <b/>
            <sz val="9"/>
            <color indexed="81"/>
            <rFont val="Tahoma"/>
            <family val="2"/>
          </rPr>
          <t>US</t>
        </r>
        <r>
          <rPr>
            <sz val="9"/>
            <color indexed="81"/>
            <rFont val="Tahoma"/>
            <family val="2"/>
          </rPr>
          <t xml:space="preserve"> mortgages are compounded </t>
        </r>
        <r>
          <rPr>
            <b/>
            <sz val="9"/>
            <color indexed="81"/>
            <rFont val="Tahoma"/>
            <family val="2"/>
          </rPr>
          <t>monthly</t>
        </r>
        <r>
          <rPr>
            <sz val="9"/>
            <color indexed="81"/>
            <rFont val="Tahoma"/>
            <family val="2"/>
          </rPr>
          <t xml:space="preserve">.
The default is to set the compound period EQUAL to the payment frequency.
</t>
        </r>
        <r>
          <rPr>
            <i/>
            <sz val="9"/>
            <color indexed="81"/>
            <rFont val="Tahoma"/>
            <family val="2"/>
          </rPr>
          <t>WARNING</t>
        </r>
        <r>
          <rPr>
            <sz val="9"/>
            <color indexed="81"/>
            <rFont val="Tahoma"/>
            <family val="2"/>
          </rPr>
          <t>:Choosing a compound period that is shorter than the payment period results in negative amortization.</t>
        </r>
      </text>
    </comment>
    <comment ref="D12" authorId="0" shapeId="0">
      <text>
        <r>
          <rPr>
            <b/>
            <sz val="9"/>
            <color indexed="81"/>
            <rFont val="Tahoma"/>
            <family val="2"/>
          </rPr>
          <t>Payment Type:</t>
        </r>
        <r>
          <rPr>
            <sz val="9"/>
            <color indexed="81"/>
            <rFont val="Tahoma"/>
            <family val="2"/>
          </rPr>
          <t xml:space="preserve">
This affects the "type" argument in the Excel PMT function.
"End of Period" (type=0) is the most common option. Choosing "Beginning of Period" (type=1) means that you will pay zero interest on your first payment.</t>
        </r>
      </text>
    </comment>
    <comment ref="D13" authorId="2" shapeId="0">
      <text>
        <r>
          <rPr>
            <b/>
            <sz val="9"/>
            <color indexed="81"/>
            <rFont val="Tahoma"/>
            <family val="2"/>
          </rPr>
          <t>Rounding:</t>
        </r>
        <r>
          <rPr>
            <sz val="9"/>
            <color indexed="81"/>
            <rFont val="Tahoma"/>
            <family val="2"/>
          </rPr>
          <t xml:space="preserve">
Interest calculations are normally rounded to the nearest cent in an amortization schedule.</t>
        </r>
      </text>
    </comment>
    <comment ref="E59" authorId="1" shapeId="0">
      <text>
        <r>
          <rPr>
            <b/>
            <sz val="9"/>
            <color indexed="81"/>
            <rFont val="Tahoma"/>
            <family val="2"/>
          </rPr>
          <t>Additional Payment</t>
        </r>
        <r>
          <rPr>
            <sz val="9"/>
            <color indexed="81"/>
            <rFont val="Tahoma"/>
            <family val="2"/>
          </rPr>
          <t xml:space="preserve">
The amount paid directly towards the principal, in additional to the normal payment.
To pay off the remaining balance, the additional payment must be the</t>
        </r>
        <r>
          <rPr>
            <b/>
            <sz val="9"/>
            <color indexed="81"/>
            <rFont val="Tahoma"/>
            <family val="2"/>
          </rPr>
          <t xml:space="preserve"> last period balance - payment due + interest due</t>
        </r>
        <r>
          <rPr>
            <sz val="9"/>
            <color indexed="81"/>
            <rFont val="Tahoma"/>
            <family val="2"/>
          </rPr>
          <t>.
(Assumes no penalties for making additional payments.)</t>
        </r>
      </text>
    </comment>
  </commentList>
</comments>
</file>

<file path=xl/comments13.xml><?xml version="1.0" encoding="utf-8"?>
<comments xmlns="http://schemas.openxmlformats.org/spreadsheetml/2006/main">
  <authors>
    <author>Vertex42</author>
    <author>Maria</author>
    <author>Jon</author>
  </authors>
  <commentList>
    <comment ref="H6" authorId="0" shapeId="0">
      <text>
        <r>
          <rPr>
            <b/>
            <sz val="8"/>
            <color indexed="81"/>
            <rFont val="Tahoma"/>
            <family val="2"/>
          </rPr>
          <t>Rate Per PAYMENT Period:</t>
        </r>
        <r>
          <rPr>
            <sz val="8"/>
            <color indexed="81"/>
            <rFont val="Tahoma"/>
            <family val="2"/>
          </rPr>
          <t xml:space="preserve">
When the Compound Period is equal to the Payment Frequency, the rate per period ends up being simply the annual rate divided by the number of periods per year.</t>
        </r>
      </text>
    </comment>
    <comment ref="D8" authorId="1" shapeId="0">
      <text>
        <r>
          <rPr>
            <b/>
            <sz val="9"/>
            <color indexed="81"/>
            <rFont val="Tahoma"/>
            <family val="2"/>
          </rPr>
          <t>Term of Loan</t>
        </r>
        <r>
          <rPr>
            <sz val="9"/>
            <color indexed="81"/>
            <rFont val="Tahoma"/>
            <family val="2"/>
          </rPr>
          <t xml:space="preserve">
Mortgage loans usually have 15 or 30-year terms. Auto loans are usually between 2 and 5 years. For a 6-month term, enter 6/12.
</t>
        </r>
      </text>
    </comment>
    <comment ref="H9" authorId="1" shapeId="0">
      <text>
        <r>
          <rPr>
            <b/>
            <sz val="8"/>
            <color indexed="81"/>
            <rFont val="Tahoma"/>
            <family val="2"/>
          </rPr>
          <t>Estimated Interest Savings</t>
        </r>
        <r>
          <rPr>
            <sz val="8"/>
            <color indexed="81"/>
            <rFont val="Tahoma"/>
            <family val="2"/>
          </rPr>
          <t xml:space="preserve">
The reduced interest expense associated with making extra payments. The result may be off by a small amount (a few dollars) due to rounding.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</rPr>
          <t>Payment Frequency:</t>
        </r>
        <r>
          <rPr>
            <sz val="9"/>
            <color indexed="81"/>
            <rFont val="Tahoma"/>
            <family val="2"/>
          </rPr>
          <t xml:space="preserve">
This defines the Payment Period, or the number of payments per year.</t>
        </r>
      </text>
    </comment>
    <comment ref="D11" authorId="2" shapeId="0">
      <text>
        <r>
          <rPr>
            <b/>
            <sz val="9"/>
            <color indexed="81"/>
            <rFont val="Tahoma"/>
            <family val="2"/>
          </rPr>
          <t>Compound Period:</t>
        </r>
        <r>
          <rPr>
            <sz val="9"/>
            <color indexed="81"/>
            <rFont val="Tahoma"/>
            <family val="2"/>
          </rPr>
          <t xml:space="preserve">
The number of times per year that the interest is compounded.
Annually: 1 time per year
Semi-Annually: 2 times per year
Quarterly: 4 times per year
Monthly: 12 times per year
</t>
        </r>
        <r>
          <rPr>
            <b/>
            <sz val="9"/>
            <color indexed="81"/>
            <rFont val="Tahoma"/>
            <family val="2"/>
          </rPr>
          <t>Canadian</t>
        </r>
        <r>
          <rPr>
            <sz val="9"/>
            <color indexed="81"/>
            <rFont val="Tahoma"/>
            <family val="2"/>
          </rPr>
          <t xml:space="preserve"> mortgages are compounded </t>
        </r>
        <r>
          <rPr>
            <b/>
            <sz val="9"/>
            <color indexed="81"/>
            <rFont val="Tahoma"/>
            <family val="2"/>
          </rPr>
          <t>semi-annually</t>
        </r>
        <r>
          <rPr>
            <sz val="9"/>
            <color indexed="81"/>
            <rFont val="Tahoma"/>
            <family val="2"/>
          </rPr>
          <t xml:space="preserve">.
</t>
        </r>
        <r>
          <rPr>
            <b/>
            <sz val="9"/>
            <color indexed="81"/>
            <rFont val="Tahoma"/>
            <family val="2"/>
          </rPr>
          <t>US</t>
        </r>
        <r>
          <rPr>
            <sz val="9"/>
            <color indexed="81"/>
            <rFont val="Tahoma"/>
            <family val="2"/>
          </rPr>
          <t xml:space="preserve"> mortgages are compounded </t>
        </r>
        <r>
          <rPr>
            <b/>
            <sz val="9"/>
            <color indexed="81"/>
            <rFont val="Tahoma"/>
            <family val="2"/>
          </rPr>
          <t>monthly</t>
        </r>
        <r>
          <rPr>
            <sz val="9"/>
            <color indexed="81"/>
            <rFont val="Tahoma"/>
            <family val="2"/>
          </rPr>
          <t xml:space="preserve">.
The default is to set the compound period EQUAL to the payment frequency.
</t>
        </r>
        <r>
          <rPr>
            <i/>
            <sz val="9"/>
            <color indexed="81"/>
            <rFont val="Tahoma"/>
            <family val="2"/>
          </rPr>
          <t>WARNING</t>
        </r>
        <r>
          <rPr>
            <sz val="9"/>
            <color indexed="81"/>
            <rFont val="Tahoma"/>
            <family val="2"/>
          </rPr>
          <t>:Choosing a compound period that is shorter than the payment period results in negative amortization.</t>
        </r>
      </text>
    </comment>
    <comment ref="D12" authorId="0" shapeId="0">
      <text>
        <r>
          <rPr>
            <b/>
            <sz val="9"/>
            <color indexed="81"/>
            <rFont val="Tahoma"/>
            <family val="2"/>
          </rPr>
          <t>Payment Type:</t>
        </r>
        <r>
          <rPr>
            <sz val="9"/>
            <color indexed="81"/>
            <rFont val="Tahoma"/>
            <family val="2"/>
          </rPr>
          <t xml:space="preserve">
This affects the "type" argument in the Excel PMT function.
"End of Period" (type=0) is the most common option. Choosing "Beginning of Period" (type=1) means that you will pay zero interest on your first payment.</t>
        </r>
      </text>
    </comment>
    <comment ref="D13" authorId="2" shapeId="0">
      <text>
        <r>
          <rPr>
            <b/>
            <sz val="9"/>
            <color indexed="81"/>
            <rFont val="Tahoma"/>
            <family val="2"/>
          </rPr>
          <t>Rounding:</t>
        </r>
        <r>
          <rPr>
            <sz val="9"/>
            <color indexed="81"/>
            <rFont val="Tahoma"/>
            <family val="2"/>
          </rPr>
          <t xml:space="preserve">
Interest calculations are normally rounded to the nearest cent in an amortization schedule.</t>
        </r>
      </text>
    </comment>
    <comment ref="E59" authorId="1" shapeId="0">
      <text>
        <r>
          <rPr>
            <b/>
            <sz val="9"/>
            <color indexed="81"/>
            <rFont val="Tahoma"/>
            <family val="2"/>
          </rPr>
          <t>Additional Payment</t>
        </r>
        <r>
          <rPr>
            <sz val="9"/>
            <color indexed="81"/>
            <rFont val="Tahoma"/>
            <family val="2"/>
          </rPr>
          <t xml:space="preserve">
The amount paid directly towards the principal, in additional to the normal payment.
To pay off the remaining balance, the additional payment must be the</t>
        </r>
        <r>
          <rPr>
            <b/>
            <sz val="9"/>
            <color indexed="81"/>
            <rFont val="Tahoma"/>
            <family val="2"/>
          </rPr>
          <t xml:space="preserve"> last period balance - payment due + interest due</t>
        </r>
        <r>
          <rPr>
            <sz val="9"/>
            <color indexed="81"/>
            <rFont val="Tahoma"/>
            <family val="2"/>
          </rPr>
          <t>.
(Assumes no penalties for making additional payments.)</t>
        </r>
      </text>
    </comment>
  </commentList>
</comments>
</file>

<file path=xl/comments2.xml><?xml version="1.0" encoding="utf-8"?>
<comments xmlns="http://schemas.openxmlformats.org/spreadsheetml/2006/main">
  <authors>
    <author>Jonathan R Asher</author>
  </authors>
  <commentList>
    <comment ref="N108" authorId="0" shapeId="0">
      <text>
        <r>
          <rPr>
            <b/>
            <sz val="9"/>
            <color indexed="81"/>
            <rFont val="Tahoma"/>
            <family val="2"/>
          </rPr>
          <t xml:space="preserve">10-year total Base Property Tax Increase 
</t>
        </r>
      </text>
    </comment>
    <comment ref="N109" authorId="0" shapeId="0">
      <text>
        <r>
          <rPr>
            <b/>
            <sz val="9"/>
            <color indexed="81"/>
            <rFont val="Tahoma"/>
            <family val="2"/>
          </rPr>
          <t xml:space="preserve">10-year total property tax increase with only New Excluded Debt Service
</t>
        </r>
      </text>
    </comment>
    <comment ref="N120" authorId="0" shapeId="0">
      <text>
        <r>
          <rPr>
            <b/>
            <sz val="9"/>
            <color indexed="81"/>
            <rFont val="Tahoma"/>
            <family val="2"/>
          </rPr>
          <t>10-year total property tax increase with both New Excluded Debt Service and Operating Override(s)</t>
        </r>
      </text>
    </comment>
    <comment ref="N124" authorId="0" shapeId="0">
      <text>
        <r>
          <rPr>
            <b/>
            <sz val="9"/>
            <color indexed="81"/>
            <rFont val="Tahoma"/>
            <family val="2"/>
          </rPr>
          <t>10-year total property tax increase with only Operating Override(s)</t>
        </r>
      </text>
    </comment>
    <comment ref="N126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10-year total property tax increase with both New Excluded Debt and Operating Override(s) from prior FY Base Property Tax
</t>
        </r>
      </text>
    </comment>
  </commentList>
</comments>
</file>

<file path=xl/comments3.xml><?xml version="1.0" encoding="utf-8"?>
<comments xmlns="http://schemas.openxmlformats.org/spreadsheetml/2006/main">
  <authors>
    <author>Jonathan R Asher</author>
  </authors>
  <commentList>
    <comment ref="D7" authorId="0" shapeId="0">
      <text>
        <r>
          <rPr>
            <sz val="9"/>
            <color indexed="81"/>
            <rFont val="Tahoma"/>
            <family val="2"/>
          </rPr>
          <t xml:space="preserve">
Actual Levy from S. Nickerson, Jan 2022
</t>
        </r>
      </text>
    </comment>
  </commentList>
</comments>
</file>

<file path=xl/comments4.xml><?xml version="1.0" encoding="utf-8"?>
<comments xmlns="http://schemas.openxmlformats.org/spreadsheetml/2006/main">
  <authors>
    <author>Vertex42</author>
    <author>Maria</author>
    <author>Jon</author>
  </authors>
  <commentList>
    <comment ref="H6" authorId="0" shapeId="0">
      <text>
        <r>
          <rPr>
            <b/>
            <sz val="8"/>
            <color indexed="81"/>
            <rFont val="Tahoma"/>
            <family val="2"/>
          </rPr>
          <t>Rate Per PAYMENT Period:</t>
        </r>
        <r>
          <rPr>
            <sz val="8"/>
            <color indexed="81"/>
            <rFont val="Tahoma"/>
            <family val="2"/>
          </rPr>
          <t xml:space="preserve">
When the Compound Period is equal to the Payment Frequency, the rate per period ends up being simply the annual rate divided by the number of periods per year.</t>
        </r>
      </text>
    </comment>
    <comment ref="D8" authorId="1" shapeId="0">
      <text>
        <r>
          <rPr>
            <b/>
            <sz val="9"/>
            <color indexed="81"/>
            <rFont val="Tahoma"/>
            <family val="2"/>
          </rPr>
          <t>Term of Loan</t>
        </r>
        <r>
          <rPr>
            <sz val="9"/>
            <color indexed="81"/>
            <rFont val="Tahoma"/>
            <family val="2"/>
          </rPr>
          <t xml:space="preserve">
Mortgage loans usually have 15 or 30-year terms. Auto loans are usually between 2 and 5 years. For a 6-month term, enter 6/12.
</t>
        </r>
      </text>
    </comment>
    <comment ref="H9" authorId="1" shapeId="0">
      <text>
        <r>
          <rPr>
            <b/>
            <sz val="8"/>
            <color indexed="81"/>
            <rFont val="Tahoma"/>
            <family val="2"/>
          </rPr>
          <t>Estimated Interest Savings</t>
        </r>
        <r>
          <rPr>
            <sz val="8"/>
            <color indexed="81"/>
            <rFont val="Tahoma"/>
            <family val="2"/>
          </rPr>
          <t xml:space="preserve">
The reduced interest expense associated with making extra payments. The result may be off by a small amount (a few dollars) due to rounding.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</rPr>
          <t>Payment Frequency:</t>
        </r>
        <r>
          <rPr>
            <sz val="9"/>
            <color indexed="81"/>
            <rFont val="Tahoma"/>
            <family val="2"/>
          </rPr>
          <t xml:space="preserve">
This defines the Payment Period, or the number of payments per year.</t>
        </r>
      </text>
    </comment>
    <comment ref="D11" authorId="2" shapeId="0">
      <text>
        <r>
          <rPr>
            <b/>
            <sz val="9"/>
            <color indexed="81"/>
            <rFont val="Tahoma"/>
            <family val="2"/>
          </rPr>
          <t>Compound Period:</t>
        </r>
        <r>
          <rPr>
            <sz val="9"/>
            <color indexed="81"/>
            <rFont val="Tahoma"/>
            <family val="2"/>
          </rPr>
          <t xml:space="preserve">
The number of times per year that the interest is compounded.
Annually: 1 time per year
Semi-Annually: 2 times per year
Quarterly: 4 times per year
Monthly: 12 times per year
</t>
        </r>
        <r>
          <rPr>
            <b/>
            <sz val="9"/>
            <color indexed="81"/>
            <rFont val="Tahoma"/>
            <family val="2"/>
          </rPr>
          <t>Canadian</t>
        </r>
        <r>
          <rPr>
            <sz val="9"/>
            <color indexed="81"/>
            <rFont val="Tahoma"/>
            <family val="2"/>
          </rPr>
          <t xml:space="preserve"> mortgages are compounded </t>
        </r>
        <r>
          <rPr>
            <b/>
            <sz val="9"/>
            <color indexed="81"/>
            <rFont val="Tahoma"/>
            <family val="2"/>
          </rPr>
          <t>semi-annually</t>
        </r>
        <r>
          <rPr>
            <sz val="9"/>
            <color indexed="81"/>
            <rFont val="Tahoma"/>
            <family val="2"/>
          </rPr>
          <t xml:space="preserve">.
</t>
        </r>
        <r>
          <rPr>
            <b/>
            <sz val="9"/>
            <color indexed="81"/>
            <rFont val="Tahoma"/>
            <family val="2"/>
          </rPr>
          <t>US</t>
        </r>
        <r>
          <rPr>
            <sz val="9"/>
            <color indexed="81"/>
            <rFont val="Tahoma"/>
            <family val="2"/>
          </rPr>
          <t xml:space="preserve"> mortgages are compounded </t>
        </r>
        <r>
          <rPr>
            <b/>
            <sz val="9"/>
            <color indexed="81"/>
            <rFont val="Tahoma"/>
            <family val="2"/>
          </rPr>
          <t>monthly</t>
        </r>
        <r>
          <rPr>
            <sz val="9"/>
            <color indexed="81"/>
            <rFont val="Tahoma"/>
            <family val="2"/>
          </rPr>
          <t xml:space="preserve">.
The default is to set the compound period EQUAL to the payment frequency.
</t>
        </r>
        <r>
          <rPr>
            <i/>
            <sz val="9"/>
            <color indexed="81"/>
            <rFont val="Tahoma"/>
            <family val="2"/>
          </rPr>
          <t>WARNING</t>
        </r>
        <r>
          <rPr>
            <sz val="9"/>
            <color indexed="81"/>
            <rFont val="Tahoma"/>
            <family val="2"/>
          </rPr>
          <t>:Choosing a compound period that is shorter than the payment period results in negative amortization.</t>
        </r>
      </text>
    </comment>
    <comment ref="D12" authorId="0" shapeId="0">
      <text>
        <r>
          <rPr>
            <b/>
            <sz val="9"/>
            <color indexed="81"/>
            <rFont val="Tahoma"/>
            <family val="2"/>
          </rPr>
          <t>Payment Type:</t>
        </r>
        <r>
          <rPr>
            <sz val="9"/>
            <color indexed="81"/>
            <rFont val="Tahoma"/>
            <family val="2"/>
          </rPr>
          <t xml:space="preserve">
This affects the "type" argument in the Excel PMT function.
"End of Period" (type=0) is the most common option. Choosing "Beginning of Period" (type=1) means that you will pay zero interest on your first payment.</t>
        </r>
      </text>
    </comment>
    <comment ref="D13" authorId="2" shapeId="0">
      <text>
        <r>
          <rPr>
            <b/>
            <sz val="9"/>
            <color indexed="81"/>
            <rFont val="Tahoma"/>
            <family val="2"/>
          </rPr>
          <t>Rounding:</t>
        </r>
        <r>
          <rPr>
            <sz val="9"/>
            <color indexed="81"/>
            <rFont val="Tahoma"/>
            <family val="2"/>
          </rPr>
          <t xml:space="preserve">
Interest calculations are normally rounded to the nearest cent in an amortization schedule.</t>
        </r>
      </text>
    </comment>
    <comment ref="E59" authorId="1" shapeId="0">
      <text>
        <r>
          <rPr>
            <b/>
            <sz val="9"/>
            <color indexed="81"/>
            <rFont val="Tahoma"/>
            <family val="2"/>
          </rPr>
          <t>Additional Payment</t>
        </r>
        <r>
          <rPr>
            <sz val="9"/>
            <color indexed="81"/>
            <rFont val="Tahoma"/>
            <family val="2"/>
          </rPr>
          <t xml:space="preserve">
The amount paid directly towards the principal, in additional to the normal payment.
To pay off the remaining balance, the additional payment must be the</t>
        </r>
        <r>
          <rPr>
            <b/>
            <sz val="9"/>
            <color indexed="81"/>
            <rFont val="Tahoma"/>
            <family val="2"/>
          </rPr>
          <t xml:space="preserve"> last period balance - payment due + interest due</t>
        </r>
        <r>
          <rPr>
            <sz val="9"/>
            <color indexed="81"/>
            <rFont val="Tahoma"/>
            <family val="2"/>
          </rPr>
          <t>.
(Assumes no penalties for making additional payments.)</t>
        </r>
      </text>
    </comment>
  </commentList>
</comments>
</file>

<file path=xl/comments5.xml><?xml version="1.0" encoding="utf-8"?>
<comments xmlns="http://schemas.openxmlformats.org/spreadsheetml/2006/main">
  <authors>
    <author>Vertex42</author>
    <author>Maria</author>
    <author>Jon</author>
  </authors>
  <commentList>
    <comment ref="H6" authorId="0" shapeId="0">
      <text>
        <r>
          <rPr>
            <b/>
            <sz val="8"/>
            <color indexed="81"/>
            <rFont val="Tahoma"/>
            <family val="2"/>
          </rPr>
          <t>Rate Per PAYMENT Period:</t>
        </r>
        <r>
          <rPr>
            <sz val="8"/>
            <color indexed="81"/>
            <rFont val="Tahoma"/>
            <family val="2"/>
          </rPr>
          <t xml:space="preserve">
When the Compound Period is equal to the Payment Frequency, the rate per period ends up being simply the annual rate divided by the number of periods per year.</t>
        </r>
      </text>
    </comment>
    <comment ref="D8" authorId="1" shapeId="0">
      <text>
        <r>
          <rPr>
            <b/>
            <sz val="9"/>
            <color indexed="81"/>
            <rFont val="Tahoma"/>
            <family val="2"/>
          </rPr>
          <t>Term of Loan</t>
        </r>
        <r>
          <rPr>
            <sz val="9"/>
            <color indexed="81"/>
            <rFont val="Tahoma"/>
            <family val="2"/>
          </rPr>
          <t xml:space="preserve">
Mortgage loans usually have 15 or 30-year terms. Auto loans are usually between 2 and 5 years. For a 6-month term, enter 6/12.
</t>
        </r>
      </text>
    </comment>
    <comment ref="H9" authorId="1" shapeId="0">
      <text>
        <r>
          <rPr>
            <b/>
            <sz val="8"/>
            <color indexed="81"/>
            <rFont val="Tahoma"/>
            <family val="2"/>
          </rPr>
          <t>Estimated Interest Savings</t>
        </r>
        <r>
          <rPr>
            <sz val="8"/>
            <color indexed="81"/>
            <rFont val="Tahoma"/>
            <family val="2"/>
          </rPr>
          <t xml:space="preserve">
The reduced interest expense associated with making extra payments. The result may be off by a small amount (a few dollars) due to rounding.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</rPr>
          <t>Payment Frequency:</t>
        </r>
        <r>
          <rPr>
            <sz val="9"/>
            <color indexed="81"/>
            <rFont val="Tahoma"/>
            <family val="2"/>
          </rPr>
          <t xml:space="preserve">
This defines the Payment Period, or the number of payments per year.</t>
        </r>
      </text>
    </comment>
    <comment ref="D11" authorId="2" shapeId="0">
      <text>
        <r>
          <rPr>
            <b/>
            <sz val="9"/>
            <color indexed="81"/>
            <rFont val="Tahoma"/>
            <family val="2"/>
          </rPr>
          <t>Compound Period:</t>
        </r>
        <r>
          <rPr>
            <sz val="9"/>
            <color indexed="81"/>
            <rFont val="Tahoma"/>
            <family val="2"/>
          </rPr>
          <t xml:space="preserve">
The number of times per year that the interest is compounded.
Annually: 1 time per year
Semi-Annually: 2 times per year
Quarterly: 4 times per year
Monthly: 12 times per year
</t>
        </r>
        <r>
          <rPr>
            <b/>
            <sz val="9"/>
            <color indexed="81"/>
            <rFont val="Tahoma"/>
            <family val="2"/>
          </rPr>
          <t>Canadian</t>
        </r>
        <r>
          <rPr>
            <sz val="9"/>
            <color indexed="81"/>
            <rFont val="Tahoma"/>
            <family val="2"/>
          </rPr>
          <t xml:space="preserve"> mortgages are compounded </t>
        </r>
        <r>
          <rPr>
            <b/>
            <sz val="9"/>
            <color indexed="81"/>
            <rFont val="Tahoma"/>
            <family val="2"/>
          </rPr>
          <t>semi-annually</t>
        </r>
        <r>
          <rPr>
            <sz val="9"/>
            <color indexed="81"/>
            <rFont val="Tahoma"/>
            <family val="2"/>
          </rPr>
          <t xml:space="preserve">.
</t>
        </r>
        <r>
          <rPr>
            <b/>
            <sz val="9"/>
            <color indexed="81"/>
            <rFont val="Tahoma"/>
            <family val="2"/>
          </rPr>
          <t>US</t>
        </r>
        <r>
          <rPr>
            <sz val="9"/>
            <color indexed="81"/>
            <rFont val="Tahoma"/>
            <family val="2"/>
          </rPr>
          <t xml:space="preserve"> mortgages are compounded </t>
        </r>
        <r>
          <rPr>
            <b/>
            <sz val="9"/>
            <color indexed="81"/>
            <rFont val="Tahoma"/>
            <family val="2"/>
          </rPr>
          <t>monthly</t>
        </r>
        <r>
          <rPr>
            <sz val="9"/>
            <color indexed="81"/>
            <rFont val="Tahoma"/>
            <family val="2"/>
          </rPr>
          <t xml:space="preserve">.
The default is to set the compound period EQUAL to the payment frequency.
</t>
        </r>
        <r>
          <rPr>
            <i/>
            <sz val="9"/>
            <color indexed="81"/>
            <rFont val="Tahoma"/>
            <family val="2"/>
          </rPr>
          <t>WARNING</t>
        </r>
        <r>
          <rPr>
            <sz val="9"/>
            <color indexed="81"/>
            <rFont val="Tahoma"/>
            <family val="2"/>
          </rPr>
          <t>:Choosing a compound period that is shorter than the payment period results in negative amortization.</t>
        </r>
      </text>
    </comment>
    <comment ref="D12" authorId="0" shapeId="0">
      <text>
        <r>
          <rPr>
            <b/>
            <sz val="9"/>
            <color indexed="81"/>
            <rFont val="Tahoma"/>
            <family val="2"/>
          </rPr>
          <t>Payment Type:</t>
        </r>
        <r>
          <rPr>
            <sz val="9"/>
            <color indexed="81"/>
            <rFont val="Tahoma"/>
            <family val="2"/>
          </rPr>
          <t xml:space="preserve">
This affects the "type" argument in the Excel PMT function.
"End of Period" (type=0) is the most common option. Choosing "Beginning of Period" (type=1) means that you will pay zero interest on your first payment.</t>
        </r>
      </text>
    </comment>
    <comment ref="D13" authorId="2" shapeId="0">
      <text>
        <r>
          <rPr>
            <b/>
            <sz val="9"/>
            <color indexed="81"/>
            <rFont val="Tahoma"/>
            <family val="2"/>
          </rPr>
          <t>Rounding:</t>
        </r>
        <r>
          <rPr>
            <sz val="9"/>
            <color indexed="81"/>
            <rFont val="Tahoma"/>
            <family val="2"/>
          </rPr>
          <t xml:space="preserve">
Interest calculations are normally rounded to the nearest cent in an amortization schedule.</t>
        </r>
      </text>
    </comment>
    <comment ref="E59" authorId="1" shapeId="0">
      <text>
        <r>
          <rPr>
            <b/>
            <sz val="9"/>
            <color indexed="81"/>
            <rFont val="Tahoma"/>
            <family val="2"/>
          </rPr>
          <t>Additional Payment</t>
        </r>
        <r>
          <rPr>
            <sz val="9"/>
            <color indexed="81"/>
            <rFont val="Tahoma"/>
            <family val="2"/>
          </rPr>
          <t xml:space="preserve">
The amount paid directly towards the principal, in additional to the normal payment.
To pay off the remaining balance, the additional payment must be the</t>
        </r>
        <r>
          <rPr>
            <b/>
            <sz val="9"/>
            <color indexed="81"/>
            <rFont val="Tahoma"/>
            <family val="2"/>
          </rPr>
          <t xml:space="preserve"> last period balance - payment due + interest due</t>
        </r>
        <r>
          <rPr>
            <sz val="9"/>
            <color indexed="81"/>
            <rFont val="Tahoma"/>
            <family val="2"/>
          </rPr>
          <t>.
(Assumes no penalties for making additional payments.)</t>
        </r>
      </text>
    </comment>
  </commentList>
</comments>
</file>

<file path=xl/comments6.xml><?xml version="1.0" encoding="utf-8"?>
<comments xmlns="http://schemas.openxmlformats.org/spreadsheetml/2006/main">
  <authors>
    <author>Vertex42</author>
    <author>Maria</author>
    <author>Jon</author>
  </authors>
  <commentList>
    <comment ref="H6" authorId="0" shapeId="0">
      <text>
        <r>
          <rPr>
            <b/>
            <sz val="8"/>
            <color indexed="81"/>
            <rFont val="Tahoma"/>
            <family val="2"/>
          </rPr>
          <t>Rate Per PAYMENT Period:</t>
        </r>
        <r>
          <rPr>
            <sz val="8"/>
            <color indexed="81"/>
            <rFont val="Tahoma"/>
            <family val="2"/>
          </rPr>
          <t xml:space="preserve">
When the Compound Period is equal to the Payment Frequency, the rate per period ends up being simply the annual rate divided by the number of periods per year.</t>
        </r>
      </text>
    </comment>
    <comment ref="D8" authorId="1" shapeId="0">
      <text>
        <r>
          <rPr>
            <b/>
            <sz val="9"/>
            <color indexed="81"/>
            <rFont val="Tahoma"/>
            <family val="2"/>
          </rPr>
          <t>Term of Loan</t>
        </r>
        <r>
          <rPr>
            <sz val="9"/>
            <color indexed="81"/>
            <rFont val="Tahoma"/>
            <family val="2"/>
          </rPr>
          <t xml:space="preserve">
Mortgage loans usually have 15 or 30-year terms. Auto loans are usually between 2 and 5 years. For a 6-month term, enter 6/12.
</t>
        </r>
      </text>
    </comment>
    <comment ref="H9" authorId="1" shapeId="0">
      <text>
        <r>
          <rPr>
            <b/>
            <sz val="8"/>
            <color indexed="81"/>
            <rFont val="Tahoma"/>
            <family val="2"/>
          </rPr>
          <t>Estimated Interest Savings</t>
        </r>
        <r>
          <rPr>
            <sz val="8"/>
            <color indexed="81"/>
            <rFont val="Tahoma"/>
            <family val="2"/>
          </rPr>
          <t xml:space="preserve">
The reduced interest expense associated with making extra payments. The result may be off by a small amount (a few dollars) due to rounding.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</rPr>
          <t>Payment Frequency:</t>
        </r>
        <r>
          <rPr>
            <sz val="9"/>
            <color indexed="81"/>
            <rFont val="Tahoma"/>
            <family val="2"/>
          </rPr>
          <t xml:space="preserve">
This defines the Payment Period, or the number of payments per year.</t>
        </r>
      </text>
    </comment>
    <comment ref="D11" authorId="2" shapeId="0">
      <text>
        <r>
          <rPr>
            <b/>
            <sz val="9"/>
            <color indexed="81"/>
            <rFont val="Tahoma"/>
            <family val="2"/>
          </rPr>
          <t>Compound Period:</t>
        </r>
        <r>
          <rPr>
            <sz val="9"/>
            <color indexed="81"/>
            <rFont val="Tahoma"/>
            <family val="2"/>
          </rPr>
          <t xml:space="preserve">
The number of times per year that the interest is compounded.
Annually: 1 time per year
Semi-Annually: 2 times per year
Quarterly: 4 times per year
Monthly: 12 times per year
</t>
        </r>
        <r>
          <rPr>
            <b/>
            <sz val="9"/>
            <color indexed="81"/>
            <rFont val="Tahoma"/>
            <family val="2"/>
          </rPr>
          <t>Canadian</t>
        </r>
        <r>
          <rPr>
            <sz val="9"/>
            <color indexed="81"/>
            <rFont val="Tahoma"/>
            <family val="2"/>
          </rPr>
          <t xml:space="preserve"> mortgages are compounded </t>
        </r>
        <r>
          <rPr>
            <b/>
            <sz val="9"/>
            <color indexed="81"/>
            <rFont val="Tahoma"/>
            <family val="2"/>
          </rPr>
          <t>semi-annually</t>
        </r>
        <r>
          <rPr>
            <sz val="9"/>
            <color indexed="81"/>
            <rFont val="Tahoma"/>
            <family val="2"/>
          </rPr>
          <t xml:space="preserve">.
</t>
        </r>
        <r>
          <rPr>
            <b/>
            <sz val="9"/>
            <color indexed="81"/>
            <rFont val="Tahoma"/>
            <family val="2"/>
          </rPr>
          <t>US</t>
        </r>
        <r>
          <rPr>
            <sz val="9"/>
            <color indexed="81"/>
            <rFont val="Tahoma"/>
            <family val="2"/>
          </rPr>
          <t xml:space="preserve"> mortgages are compounded </t>
        </r>
        <r>
          <rPr>
            <b/>
            <sz val="9"/>
            <color indexed="81"/>
            <rFont val="Tahoma"/>
            <family val="2"/>
          </rPr>
          <t>monthly</t>
        </r>
        <r>
          <rPr>
            <sz val="9"/>
            <color indexed="81"/>
            <rFont val="Tahoma"/>
            <family val="2"/>
          </rPr>
          <t xml:space="preserve">.
The default is to set the compound period EQUAL to the payment frequency.
</t>
        </r>
        <r>
          <rPr>
            <i/>
            <sz val="9"/>
            <color indexed="81"/>
            <rFont val="Tahoma"/>
            <family val="2"/>
          </rPr>
          <t>WARNING</t>
        </r>
        <r>
          <rPr>
            <sz val="9"/>
            <color indexed="81"/>
            <rFont val="Tahoma"/>
            <family val="2"/>
          </rPr>
          <t>:Choosing a compound period that is shorter than the payment period results in negative amortization.</t>
        </r>
      </text>
    </comment>
    <comment ref="D12" authorId="0" shapeId="0">
      <text>
        <r>
          <rPr>
            <b/>
            <sz val="9"/>
            <color indexed="81"/>
            <rFont val="Tahoma"/>
            <family val="2"/>
          </rPr>
          <t>Payment Type:</t>
        </r>
        <r>
          <rPr>
            <sz val="9"/>
            <color indexed="81"/>
            <rFont val="Tahoma"/>
            <family val="2"/>
          </rPr>
          <t xml:space="preserve">
This affects the "type" argument in the Excel PMT function.
"End of Period" (type=0) is the most common option. Choosing "Beginning of Period" (type=1) means that you will pay zero interest on your first payment.</t>
        </r>
      </text>
    </comment>
    <comment ref="D13" authorId="2" shapeId="0">
      <text>
        <r>
          <rPr>
            <b/>
            <sz val="9"/>
            <color indexed="81"/>
            <rFont val="Tahoma"/>
            <family val="2"/>
          </rPr>
          <t>Rounding:</t>
        </r>
        <r>
          <rPr>
            <sz val="9"/>
            <color indexed="81"/>
            <rFont val="Tahoma"/>
            <family val="2"/>
          </rPr>
          <t xml:space="preserve">
Interest calculations are normally rounded to the nearest cent in an amortization schedule.</t>
        </r>
      </text>
    </comment>
    <comment ref="E59" authorId="1" shapeId="0">
      <text>
        <r>
          <rPr>
            <b/>
            <sz val="9"/>
            <color indexed="81"/>
            <rFont val="Tahoma"/>
            <family val="2"/>
          </rPr>
          <t>Additional Payment</t>
        </r>
        <r>
          <rPr>
            <sz val="9"/>
            <color indexed="81"/>
            <rFont val="Tahoma"/>
            <family val="2"/>
          </rPr>
          <t xml:space="preserve">
The amount paid directly towards the principal, in additional to the normal payment.
To pay off the remaining balance, the additional payment must be the</t>
        </r>
        <r>
          <rPr>
            <b/>
            <sz val="9"/>
            <color indexed="81"/>
            <rFont val="Tahoma"/>
            <family val="2"/>
          </rPr>
          <t xml:space="preserve"> last period balance - payment due + interest due</t>
        </r>
        <r>
          <rPr>
            <sz val="9"/>
            <color indexed="81"/>
            <rFont val="Tahoma"/>
            <family val="2"/>
          </rPr>
          <t>.
(Assumes no penalties for making additional payments.)</t>
        </r>
      </text>
    </comment>
  </commentList>
</comments>
</file>

<file path=xl/comments7.xml><?xml version="1.0" encoding="utf-8"?>
<comments xmlns="http://schemas.openxmlformats.org/spreadsheetml/2006/main">
  <authors>
    <author>Vertex42</author>
    <author>Maria</author>
    <author>Jon</author>
  </authors>
  <commentList>
    <comment ref="H6" authorId="0" shapeId="0">
      <text>
        <r>
          <rPr>
            <b/>
            <sz val="8"/>
            <color indexed="81"/>
            <rFont val="Tahoma"/>
            <family val="2"/>
          </rPr>
          <t>Rate Per PAYMENT Period:</t>
        </r>
        <r>
          <rPr>
            <sz val="8"/>
            <color indexed="81"/>
            <rFont val="Tahoma"/>
            <family val="2"/>
          </rPr>
          <t xml:space="preserve">
When the Compound Period is equal to the Payment Frequency, the rate per period ends up being simply the annual rate divided by the number of periods per year.</t>
        </r>
      </text>
    </comment>
    <comment ref="D8" authorId="1" shapeId="0">
      <text>
        <r>
          <rPr>
            <b/>
            <sz val="9"/>
            <color indexed="81"/>
            <rFont val="Tahoma"/>
            <family val="2"/>
          </rPr>
          <t>Term of Loan</t>
        </r>
        <r>
          <rPr>
            <sz val="9"/>
            <color indexed="81"/>
            <rFont val="Tahoma"/>
            <family val="2"/>
          </rPr>
          <t xml:space="preserve">
Mortgage loans usually have 15 or 30-year terms. Auto loans are usually between 2 and 5 years. For a 6-month term, enter 6/12.
</t>
        </r>
      </text>
    </comment>
    <comment ref="H9" authorId="1" shapeId="0">
      <text>
        <r>
          <rPr>
            <b/>
            <sz val="8"/>
            <color indexed="81"/>
            <rFont val="Tahoma"/>
            <family val="2"/>
          </rPr>
          <t>Estimated Interest Savings</t>
        </r>
        <r>
          <rPr>
            <sz val="8"/>
            <color indexed="81"/>
            <rFont val="Tahoma"/>
            <family val="2"/>
          </rPr>
          <t xml:space="preserve">
The reduced interest expense associated with making extra payments. The result may be off by a small amount (a few dollars) due to rounding.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</rPr>
          <t>Payment Frequency:</t>
        </r>
        <r>
          <rPr>
            <sz val="9"/>
            <color indexed="81"/>
            <rFont val="Tahoma"/>
            <family val="2"/>
          </rPr>
          <t xml:space="preserve">
This defines the Payment Period, or the number of payments per year.</t>
        </r>
      </text>
    </comment>
    <comment ref="D11" authorId="2" shapeId="0">
      <text>
        <r>
          <rPr>
            <b/>
            <sz val="9"/>
            <color indexed="81"/>
            <rFont val="Tahoma"/>
            <family val="2"/>
          </rPr>
          <t>Compound Period:</t>
        </r>
        <r>
          <rPr>
            <sz val="9"/>
            <color indexed="81"/>
            <rFont val="Tahoma"/>
            <family val="2"/>
          </rPr>
          <t xml:space="preserve">
The number of times per year that the interest is compounded.
Annually: 1 time per year
Semi-Annually: 2 times per year
Quarterly: 4 times per year
Monthly: 12 times per year
</t>
        </r>
        <r>
          <rPr>
            <b/>
            <sz val="9"/>
            <color indexed="81"/>
            <rFont val="Tahoma"/>
            <family val="2"/>
          </rPr>
          <t>Canadian</t>
        </r>
        <r>
          <rPr>
            <sz val="9"/>
            <color indexed="81"/>
            <rFont val="Tahoma"/>
            <family val="2"/>
          </rPr>
          <t xml:space="preserve"> mortgages are compounded </t>
        </r>
        <r>
          <rPr>
            <b/>
            <sz val="9"/>
            <color indexed="81"/>
            <rFont val="Tahoma"/>
            <family val="2"/>
          </rPr>
          <t>semi-annually</t>
        </r>
        <r>
          <rPr>
            <sz val="9"/>
            <color indexed="81"/>
            <rFont val="Tahoma"/>
            <family val="2"/>
          </rPr>
          <t xml:space="preserve">.
</t>
        </r>
        <r>
          <rPr>
            <b/>
            <sz val="9"/>
            <color indexed="81"/>
            <rFont val="Tahoma"/>
            <family val="2"/>
          </rPr>
          <t>US</t>
        </r>
        <r>
          <rPr>
            <sz val="9"/>
            <color indexed="81"/>
            <rFont val="Tahoma"/>
            <family val="2"/>
          </rPr>
          <t xml:space="preserve"> mortgages are compounded </t>
        </r>
        <r>
          <rPr>
            <b/>
            <sz val="9"/>
            <color indexed="81"/>
            <rFont val="Tahoma"/>
            <family val="2"/>
          </rPr>
          <t>monthly</t>
        </r>
        <r>
          <rPr>
            <sz val="9"/>
            <color indexed="81"/>
            <rFont val="Tahoma"/>
            <family val="2"/>
          </rPr>
          <t xml:space="preserve">.
The default is to set the compound period EQUAL to the payment frequency.
</t>
        </r>
        <r>
          <rPr>
            <i/>
            <sz val="9"/>
            <color indexed="81"/>
            <rFont val="Tahoma"/>
            <family val="2"/>
          </rPr>
          <t>WARNING</t>
        </r>
        <r>
          <rPr>
            <sz val="9"/>
            <color indexed="81"/>
            <rFont val="Tahoma"/>
            <family val="2"/>
          </rPr>
          <t>:Choosing a compound period that is shorter than the payment period results in negative amortization.</t>
        </r>
      </text>
    </comment>
    <comment ref="D12" authorId="0" shapeId="0">
      <text>
        <r>
          <rPr>
            <b/>
            <sz val="9"/>
            <color indexed="81"/>
            <rFont val="Tahoma"/>
            <family val="2"/>
          </rPr>
          <t>Payment Type:</t>
        </r>
        <r>
          <rPr>
            <sz val="9"/>
            <color indexed="81"/>
            <rFont val="Tahoma"/>
            <family val="2"/>
          </rPr>
          <t xml:space="preserve">
This affects the "type" argument in the Excel PMT function.
"End of Period" (type=0) is the most common option. Choosing "Beginning of Period" (type=1) means that you will pay zero interest on your first payment.</t>
        </r>
      </text>
    </comment>
    <comment ref="D13" authorId="2" shapeId="0">
      <text>
        <r>
          <rPr>
            <b/>
            <sz val="9"/>
            <color indexed="81"/>
            <rFont val="Tahoma"/>
            <family val="2"/>
          </rPr>
          <t>Rounding:</t>
        </r>
        <r>
          <rPr>
            <sz val="9"/>
            <color indexed="81"/>
            <rFont val="Tahoma"/>
            <family val="2"/>
          </rPr>
          <t xml:space="preserve">
Interest calculations are normally rounded to the nearest cent in an amortization schedule.</t>
        </r>
      </text>
    </comment>
    <comment ref="E59" authorId="1" shapeId="0">
      <text>
        <r>
          <rPr>
            <b/>
            <sz val="9"/>
            <color indexed="81"/>
            <rFont val="Tahoma"/>
            <family val="2"/>
          </rPr>
          <t>Additional Payment</t>
        </r>
        <r>
          <rPr>
            <sz val="9"/>
            <color indexed="81"/>
            <rFont val="Tahoma"/>
            <family val="2"/>
          </rPr>
          <t xml:space="preserve">
The amount paid directly towards the principal, in additional to the normal payment.
To pay off the remaining balance, the additional payment must be the</t>
        </r>
        <r>
          <rPr>
            <b/>
            <sz val="9"/>
            <color indexed="81"/>
            <rFont val="Tahoma"/>
            <family val="2"/>
          </rPr>
          <t xml:space="preserve"> last period balance - payment due + interest due</t>
        </r>
        <r>
          <rPr>
            <sz val="9"/>
            <color indexed="81"/>
            <rFont val="Tahoma"/>
            <family val="2"/>
          </rPr>
          <t>.
(Assumes no penalties for making additional payments.)</t>
        </r>
      </text>
    </comment>
  </commentList>
</comments>
</file>

<file path=xl/comments8.xml><?xml version="1.0" encoding="utf-8"?>
<comments xmlns="http://schemas.openxmlformats.org/spreadsheetml/2006/main">
  <authors>
    <author>Vertex42</author>
    <author>Maria</author>
    <author>Jon</author>
  </authors>
  <commentList>
    <comment ref="H6" authorId="0" shapeId="0">
      <text>
        <r>
          <rPr>
            <b/>
            <sz val="8"/>
            <color indexed="81"/>
            <rFont val="Tahoma"/>
            <family val="2"/>
          </rPr>
          <t>Rate Per PAYMENT Period:</t>
        </r>
        <r>
          <rPr>
            <sz val="8"/>
            <color indexed="81"/>
            <rFont val="Tahoma"/>
            <family val="2"/>
          </rPr>
          <t xml:space="preserve">
When the Compound Period is equal to the Payment Frequency, the rate per period ends up being simply the annual rate divided by the number of periods per year.</t>
        </r>
      </text>
    </comment>
    <comment ref="D8" authorId="1" shapeId="0">
      <text>
        <r>
          <rPr>
            <b/>
            <sz val="9"/>
            <color indexed="81"/>
            <rFont val="Tahoma"/>
            <family val="2"/>
          </rPr>
          <t>Term of Loan</t>
        </r>
        <r>
          <rPr>
            <sz val="9"/>
            <color indexed="81"/>
            <rFont val="Tahoma"/>
            <family val="2"/>
          </rPr>
          <t xml:space="preserve">
Mortgage loans usually have 15 or 30-year terms. Auto loans are usually between 2 and 5 years. For a 6-month term, enter 6/12.
</t>
        </r>
      </text>
    </comment>
    <comment ref="H9" authorId="1" shapeId="0">
      <text>
        <r>
          <rPr>
            <b/>
            <sz val="8"/>
            <color indexed="81"/>
            <rFont val="Tahoma"/>
            <family val="2"/>
          </rPr>
          <t>Estimated Interest Savings</t>
        </r>
        <r>
          <rPr>
            <sz val="8"/>
            <color indexed="81"/>
            <rFont val="Tahoma"/>
            <family val="2"/>
          </rPr>
          <t xml:space="preserve">
The reduced interest expense associated with making extra payments. The result may be off by a small amount (a few dollars) due to rounding.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</rPr>
          <t>Payment Frequency:</t>
        </r>
        <r>
          <rPr>
            <sz val="9"/>
            <color indexed="81"/>
            <rFont val="Tahoma"/>
            <family val="2"/>
          </rPr>
          <t xml:space="preserve">
This defines the Payment Period, or the number of payments per year.</t>
        </r>
      </text>
    </comment>
    <comment ref="D11" authorId="2" shapeId="0">
      <text>
        <r>
          <rPr>
            <b/>
            <sz val="9"/>
            <color indexed="81"/>
            <rFont val="Tahoma"/>
            <family val="2"/>
          </rPr>
          <t>Compound Period:</t>
        </r>
        <r>
          <rPr>
            <sz val="9"/>
            <color indexed="81"/>
            <rFont val="Tahoma"/>
            <family val="2"/>
          </rPr>
          <t xml:space="preserve">
The number of times per year that the interest is compounded.
Annually: 1 time per year
Semi-Annually: 2 times per year
Quarterly: 4 times per year
Monthly: 12 times per year
</t>
        </r>
        <r>
          <rPr>
            <b/>
            <sz val="9"/>
            <color indexed="81"/>
            <rFont val="Tahoma"/>
            <family val="2"/>
          </rPr>
          <t>Canadian</t>
        </r>
        <r>
          <rPr>
            <sz val="9"/>
            <color indexed="81"/>
            <rFont val="Tahoma"/>
            <family val="2"/>
          </rPr>
          <t xml:space="preserve"> mortgages are compounded </t>
        </r>
        <r>
          <rPr>
            <b/>
            <sz val="9"/>
            <color indexed="81"/>
            <rFont val="Tahoma"/>
            <family val="2"/>
          </rPr>
          <t>semi-annually</t>
        </r>
        <r>
          <rPr>
            <sz val="9"/>
            <color indexed="81"/>
            <rFont val="Tahoma"/>
            <family val="2"/>
          </rPr>
          <t xml:space="preserve">.
</t>
        </r>
        <r>
          <rPr>
            <b/>
            <sz val="9"/>
            <color indexed="81"/>
            <rFont val="Tahoma"/>
            <family val="2"/>
          </rPr>
          <t>US</t>
        </r>
        <r>
          <rPr>
            <sz val="9"/>
            <color indexed="81"/>
            <rFont val="Tahoma"/>
            <family val="2"/>
          </rPr>
          <t xml:space="preserve"> mortgages are compounded </t>
        </r>
        <r>
          <rPr>
            <b/>
            <sz val="9"/>
            <color indexed="81"/>
            <rFont val="Tahoma"/>
            <family val="2"/>
          </rPr>
          <t>monthly</t>
        </r>
        <r>
          <rPr>
            <sz val="9"/>
            <color indexed="81"/>
            <rFont val="Tahoma"/>
            <family val="2"/>
          </rPr>
          <t xml:space="preserve">.
The default is to set the compound period EQUAL to the payment frequency.
</t>
        </r>
        <r>
          <rPr>
            <i/>
            <sz val="9"/>
            <color indexed="81"/>
            <rFont val="Tahoma"/>
            <family val="2"/>
          </rPr>
          <t>WARNING</t>
        </r>
        <r>
          <rPr>
            <sz val="9"/>
            <color indexed="81"/>
            <rFont val="Tahoma"/>
            <family val="2"/>
          </rPr>
          <t>:Choosing a compound period that is shorter than the payment period results in negative amortization.</t>
        </r>
      </text>
    </comment>
    <comment ref="D12" authorId="0" shapeId="0">
      <text>
        <r>
          <rPr>
            <b/>
            <sz val="9"/>
            <color indexed="81"/>
            <rFont val="Tahoma"/>
            <family val="2"/>
          </rPr>
          <t>Payment Type:</t>
        </r>
        <r>
          <rPr>
            <sz val="9"/>
            <color indexed="81"/>
            <rFont val="Tahoma"/>
            <family val="2"/>
          </rPr>
          <t xml:space="preserve">
This affects the "type" argument in the Excel PMT function.
"End of Period" (type=0) is the most common option. Choosing "Beginning of Period" (type=1) means that you will pay zero interest on your first payment.</t>
        </r>
      </text>
    </comment>
    <comment ref="D13" authorId="2" shapeId="0">
      <text>
        <r>
          <rPr>
            <b/>
            <sz val="9"/>
            <color indexed="81"/>
            <rFont val="Tahoma"/>
            <family val="2"/>
          </rPr>
          <t>Rounding:</t>
        </r>
        <r>
          <rPr>
            <sz val="9"/>
            <color indexed="81"/>
            <rFont val="Tahoma"/>
            <family val="2"/>
          </rPr>
          <t xml:space="preserve">
Interest calculations are normally rounded to the nearest cent in an amortization schedule.</t>
        </r>
      </text>
    </comment>
    <comment ref="E59" authorId="1" shapeId="0">
      <text>
        <r>
          <rPr>
            <b/>
            <sz val="9"/>
            <color indexed="81"/>
            <rFont val="Tahoma"/>
            <family val="2"/>
          </rPr>
          <t>Additional Payment</t>
        </r>
        <r>
          <rPr>
            <sz val="9"/>
            <color indexed="81"/>
            <rFont val="Tahoma"/>
            <family val="2"/>
          </rPr>
          <t xml:space="preserve">
The amount paid directly towards the principal, in additional to the normal payment.
To pay off the remaining balance, the additional payment must be the</t>
        </r>
        <r>
          <rPr>
            <b/>
            <sz val="9"/>
            <color indexed="81"/>
            <rFont val="Tahoma"/>
            <family val="2"/>
          </rPr>
          <t xml:space="preserve"> last period balance - payment due + interest due</t>
        </r>
        <r>
          <rPr>
            <sz val="9"/>
            <color indexed="81"/>
            <rFont val="Tahoma"/>
            <family val="2"/>
          </rPr>
          <t>.
(Assumes no penalties for making additional payments.)</t>
        </r>
      </text>
    </comment>
  </commentList>
</comments>
</file>

<file path=xl/comments9.xml><?xml version="1.0" encoding="utf-8"?>
<comments xmlns="http://schemas.openxmlformats.org/spreadsheetml/2006/main">
  <authors>
    <author>Vertex42</author>
    <author>Maria</author>
    <author>Jon</author>
  </authors>
  <commentList>
    <comment ref="H6" authorId="0" shapeId="0">
      <text>
        <r>
          <rPr>
            <b/>
            <sz val="8"/>
            <color indexed="81"/>
            <rFont val="Tahoma"/>
            <family val="2"/>
          </rPr>
          <t>Rate Per PAYMENT Period:</t>
        </r>
        <r>
          <rPr>
            <sz val="8"/>
            <color indexed="81"/>
            <rFont val="Tahoma"/>
            <family val="2"/>
          </rPr>
          <t xml:space="preserve">
When the Compound Period is equal to the Payment Frequency, the rate per period ends up being simply the annual rate divided by the number of periods per year.</t>
        </r>
      </text>
    </comment>
    <comment ref="D8" authorId="1" shapeId="0">
      <text>
        <r>
          <rPr>
            <b/>
            <sz val="9"/>
            <color indexed="81"/>
            <rFont val="Tahoma"/>
            <family val="2"/>
          </rPr>
          <t>Term of Loan</t>
        </r>
        <r>
          <rPr>
            <sz val="9"/>
            <color indexed="81"/>
            <rFont val="Tahoma"/>
            <family val="2"/>
          </rPr>
          <t xml:space="preserve">
Mortgage loans usually have 15 or 30-year terms. Auto loans are usually between 2 and 5 years. For a 6-month term, enter 6/12.
</t>
        </r>
      </text>
    </comment>
    <comment ref="H9" authorId="1" shapeId="0">
      <text>
        <r>
          <rPr>
            <b/>
            <sz val="8"/>
            <color indexed="81"/>
            <rFont val="Tahoma"/>
            <family val="2"/>
          </rPr>
          <t>Estimated Interest Savings</t>
        </r>
        <r>
          <rPr>
            <sz val="8"/>
            <color indexed="81"/>
            <rFont val="Tahoma"/>
            <family val="2"/>
          </rPr>
          <t xml:space="preserve">
The reduced interest expense associated with making extra payments. The result may be off by a small amount (a few dollars) due to rounding.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</rPr>
          <t>Payment Frequency:</t>
        </r>
        <r>
          <rPr>
            <sz val="9"/>
            <color indexed="81"/>
            <rFont val="Tahoma"/>
            <family val="2"/>
          </rPr>
          <t xml:space="preserve">
This defines the Payment Period, or the number of payments per year.</t>
        </r>
      </text>
    </comment>
    <comment ref="D11" authorId="2" shapeId="0">
      <text>
        <r>
          <rPr>
            <b/>
            <sz val="9"/>
            <color indexed="81"/>
            <rFont val="Tahoma"/>
            <family val="2"/>
          </rPr>
          <t>Compound Period:</t>
        </r>
        <r>
          <rPr>
            <sz val="9"/>
            <color indexed="81"/>
            <rFont val="Tahoma"/>
            <family val="2"/>
          </rPr>
          <t xml:space="preserve">
The number of times per year that the interest is compounded.
Annually: 1 time per year
Semi-Annually: 2 times per year
Quarterly: 4 times per year
Monthly: 12 times per year
</t>
        </r>
        <r>
          <rPr>
            <b/>
            <sz val="9"/>
            <color indexed="81"/>
            <rFont val="Tahoma"/>
            <family val="2"/>
          </rPr>
          <t>Canadian</t>
        </r>
        <r>
          <rPr>
            <sz val="9"/>
            <color indexed="81"/>
            <rFont val="Tahoma"/>
            <family val="2"/>
          </rPr>
          <t xml:space="preserve"> mortgages are compounded </t>
        </r>
        <r>
          <rPr>
            <b/>
            <sz val="9"/>
            <color indexed="81"/>
            <rFont val="Tahoma"/>
            <family val="2"/>
          </rPr>
          <t>semi-annually</t>
        </r>
        <r>
          <rPr>
            <sz val="9"/>
            <color indexed="81"/>
            <rFont val="Tahoma"/>
            <family val="2"/>
          </rPr>
          <t xml:space="preserve">.
</t>
        </r>
        <r>
          <rPr>
            <b/>
            <sz val="9"/>
            <color indexed="81"/>
            <rFont val="Tahoma"/>
            <family val="2"/>
          </rPr>
          <t>US</t>
        </r>
        <r>
          <rPr>
            <sz val="9"/>
            <color indexed="81"/>
            <rFont val="Tahoma"/>
            <family val="2"/>
          </rPr>
          <t xml:space="preserve"> mortgages are compounded </t>
        </r>
        <r>
          <rPr>
            <b/>
            <sz val="9"/>
            <color indexed="81"/>
            <rFont val="Tahoma"/>
            <family val="2"/>
          </rPr>
          <t>monthly</t>
        </r>
        <r>
          <rPr>
            <sz val="9"/>
            <color indexed="81"/>
            <rFont val="Tahoma"/>
            <family val="2"/>
          </rPr>
          <t xml:space="preserve">.
The default is to set the compound period EQUAL to the payment frequency.
</t>
        </r>
        <r>
          <rPr>
            <i/>
            <sz val="9"/>
            <color indexed="81"/>
            <rFont val="Tahoma"/>
            <family val="2"/>
          </rPr>
          <t>WARNING</t>
        </r>
        <r>
          <rPr>
            <sz val="9"/>
            <color indexed="81"/>
            <rFont val="Tahoma"/>
            <family val="2"/>
          </rPr>
          <t>:Choosing a compound period that is shorter than the payment period results in negative amortization.</t>
        </r>
      </text>
    </comment>
    <comment ref="D12" authorId="0" shapeId="0">
      <text>
        <r>
          <rPr>
            <b/>
            <sz val="9"/>
            <color indexed="81"/>
            <rFont val="Tahoma"/>
            <family val="2"/>
          </rPr>
          <t>Payment Type:</t>
        </r>
        <r>
          <rPr>
            <sz val="9"/>
            <color indexed="81"/>
            <rFont val="Tahoma"/>
            <family val="2"/>
          </rPr>
          <t xml:space="preserve">
This affects the "type" argument in the Excel PMT function.
"End of Period" (type=0) is the most common option. Choosing "Beginning of Period" (type=1) means that you will pay zero interest on your first payment.</t>
        </r>
      </text>
    </comment>
    <comment ref="D13" authorId="2" shapeId="0">
      <text>
        <r>
          <rPr>
            <b/>
            <sz val="9"/>
            <color indexed="81"/>
            <rFont val="Tahoma"/>
            <family val="2"/>
          </rPr>
          <t>Rounding:</t>
        </r>
        <r>
          <rPr>
            <sz val="9"/>
            <color indexed="81"/>
            <rFont val="Tahoma"/>
            <family val="2"/>
          </rPr>
          <t xml:space="preserve">
Interest calculations are normally rounded to the nearest cent in an amortization schedule.</t>
        </r>
      </text>
    </comment>
    <comment ref="E59" authorId="1" shapeId="0">
      <text>
        <r>
          <rPr>
            <b/>
            <sz val="9"/>
            <color indexed="81"/>
            <rFont val="Tahoma"/>
            <family val="2"/>
          </rPr>
          <t>Additional Payment</t>
        </r>
        <r>
          <rPr>
            <sz val="9"/>
            <color indexed="81"/>
            <rFont val="Tahoma"/>
            <family val="2"/>
          </rPr>
          <t xml:space="preserve">
The amount paid directly towards the principal, in additional to the normal payment.
To pay off the remaining balance, the additional payment must be the</t>
        </r>
        <r>
          <rPr>
            <b/>
            <sz val="9"/>
            <color indexed="81"/>
            <rFont val="Tahoma"/>
            <family val="2"/>
          </rPr>
          <t xml:space="preserve"> last period balance - payment due + interest due</t>
        </r>
        <r>
          <rPr>
            <sz val="9"/>
            <color indexed="81"/>
            <rFont val="Tahoma"/>
            <family val="2"/>
          </rPr>
          <t>.
(Assumes no penalties for making additional payments.)</t>
        </r>
      </text>
    </comment>
  </commentList>
</comments>
</file>

<file path=xl/sharedStrings.xml><?xml version="1.0" encoding="utf-8"?>
<sst xmlns="http://schemas.openxmlformats.org/spreadsheetml/2006/main" count="2209" uniqueCount="796">
  <si>
    <t>FY</t>
  </si>
  <si>
    <t>2020</t>
  </si>
  <si>
    <t>2021</t>
  </si>
  <si>
    <t>2022</t>
  </si>
  <si>
    <t>2023</t>
  </si>
  <si>
    <t>2024</t>
  </si>
  <si>
    <t>2025</t>
  </si>
  <si>
    <t>2026</t>
  </si>
  <si>
    <t>2027</t>
  </si>
  <si>
    <t>New Town Hall</t>
  </si>
  <si>
    <t>HS &amp; So. Elem. (SBA in 2002)</t>
  </si>
  <si>
    <t>PRS &amp; Foster Elementary Improvements</t>
  </si>
  <si>
    <t>New East Elementary School</t>
  </si>
  <si>
    <t>High School Athletic Fields</t>
  </si>
  <si>
    <t>Middle School</t>
  </si>
  <si>
    <t>Less: SBA South Junior HS</t>
  </si>
  <si>
    <t>Less: SBA High School</t>
  </si>
  <si>
    <t>Less: SBA South Elementary</t>
  </si>
  <si>
    <t>Less: Bond Premium Allocation</t>
  </si>
  <si>
    <t>Meals tax revenue</t>
  </si>
  <si>
    <t>Average Taxpayer Impact:</t>
  </si>
  <si>
    <t>Total Excluded Debt/Average Valuation</t>
  </si>
  <si>
    <t>Total Excluded Debt/$100,000 of Valuation</t>
  </si>
  <si>
    <t>Sewer Weir River District ($750k)</t>
  </si>
  <si>
    <t>Sewer - Thaxter Street</t>
  </si>
  <si>
    <t>Sewer - Central Street</t>
  </si>
  <si>
    <t>Sewer-Ship &amp; Cottage</t>
  </si>
  <si>
    <t>Library</t>
  </si>
  <si>
    <t>Central Fire Station Renovation</t>
  </si>
  <si>
    <t>Wastewater Management Plan</t>
  </si>
  <si>
    <t>DPW Facility &amp; Athletic Fields</t>
  </si>
  <si>
    <t>Hersey Land Acquisition</t>
  </si>
  <si>
    <t>School Fields Project</t>
  </si>
  <si>
    <t>School Fields Project-Turf Fields</t>
  </si>
  <si>
    <t xml:space="preserve">Industrial Park Area-Wastewater Treatment </t>
  </si>
  <si>
    <t>Recreation Park Drive</t>
  </si>
  <si>
    <t>Fire Trucks (2)</t>
  </si>
  <si>
    <t xml:space="preserve"> </t>
  </si>
  <si>
    <t>TOTAL DEBT SERVICE</t>
  </si>
  <si>
    <t>Amount</t>
  </si>
  <si>
    <t>Rate</t>
  </si>
  <si>
    <t>Term</t>
  </si>
  <si>
    <t>Year</t>
  </si>
  <si>
    <t>O/S Bal.</t>
  </si>
  <si>
    <t>Principal</t>
  </si>
  <si>
    <t>Interest</t>
  </si>
  <si>
    <t>P&amp;I / FY</t>
  </si>
  <si>
    <t>Fiscal Year</t>
  </si>
  <si>
    <t>Unused Tax Levy Capacity</t>
  </si>
  <si>
    <t>TOTAL</t>
  </si>
  <si>
    <t>FY2020</t>
  </si>
  <si>
    <t>FY2021</t>
  </si>
  <si>
    <t>FY2022</t>
  </si>
  <si>
    <t>FY2023</t>
  </si>
  <si>
    <t>FY2024</t>
  </si>
  <si>
    <t>FY2025</t>
  </si>
  <si>
    <t>FY2026</t>
  </si>
  <si>
    <t>FY2027</t>
  </si>
  <si>
    <t>Lincoln School Apartments</t>
  </si>
  <si>
    <t>FY2028</t>
  </si>
  <si>
    <t>FY2029</t>
  </si>
  <si>
    <t>FY2030</t>
  </si>
  <si>
    <t>Property Tax Impact</t>
  </si>
  <si>
    <t>Total Potential Tax Levy</t>
  </si>
  <si>
    <t>CPA Surcharge %</t>
  </si>
  <si>
    <t>N/A</t>
  </si>
  <si>
    <t>Excluded Debt</t>
  </si>
  <si>
    <t>FY Additional Excluded Debt</t>
  </si>
  <si>
    <t>Assumptions</t>
  </si>
  <si>
    <t>Objective</t>
  </si>
  <si>
    <t>Total New Excluded Debt Service</t>
  </si>
  <si>
    <t>Inputs</t>
  </si>
  <si>
    <t>Process</t>
  </si>
  <si>
    <t>Model Functioning</t>
  </si>
  <si>
    <t>Outputs</t>
  </si>
  <si>
    <t>Residential Parcels</t>
  </si>
  <si>
    <t>Personal Property Parcels</t>
  </si>
  <si>
    <t>Value</t>
  </si>
  <si>
    <t>Total Real and Personal Property</t>
  </si>
  <si>
    <t>Average Total Property Value YTY Growth Rate</t>
  </si>
  <si>
    <t>Commercial/Industrial Parcels</t>
  </si>
  <si>
    <t>Parcel Count</t>
  </si>
  <si>
    <t>Net Total Excluded Debt Service</t>
  </si>
  <si>
    <t>CPA Surcharge Amount with New Excluded Debt Service</t>
  </si>
  <si>
    <t>CPA Surcharge Amount w/o New Excluded Debt Service</t>
  </si>
  <si>
    <t>Debt Amount</t>
  </si>
  <si>
    <t>Fiscal Year Debt Service Amounts</t>
  </si>
  <si>
    <t>Potential Capital-Project Borrowing</t>
  </si>
  <si>
    <t>YTY Total Potential Tax Levy $ Increase</t>
  </si>
  <si>
    <t>Fifteen-Year Debt (Service) Schedule</t>
  </si>
  <si>
    <t>Operating Override by Fiscal Year</t>
  </si>
  <si>
    <t>Appropriation</t>
  </si>
  <si>
    <t>Road Improvements</t>
  </si>
  <si>
    <t>Issue</t>
  </si>
  <si>
    <t>Date/Status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</si>
  <si>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</si>
  <si>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</si>
  <si>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</si>
  <si>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</si>
  <si>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</si>
  <si>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</si>
  <si>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</si>
  <si>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</si>
  <si>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</si>
  <si>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</si>
  <si>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</si>
  <si>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</si>
  <si>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</si>
  <si>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</si>
  <si>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</si>
  <si>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</si>
  <si>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</si>
  <si>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</si>
  <si>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</si>
  <si>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</si>
  <si>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</si>
  <si>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</si>
  <si>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</si>
  <si>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</si>
  <si>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</si>
  <si>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</si>
  <si>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</si>
  <si>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</si>
  <si>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</si>
  <si>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</si>
  <si>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</si>
  <si>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</si>
  <si>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</si>
  <si>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BANs</t>
  </si>
  <si>
    <t>Less: Tax Reduction Plan</t>
  </si>
  <si>
    <t>Lincoln School Appartments</t>
  </si>
  <si>
    <t>BAN-0612</t>
  </si>
  <si>
    <t>SSCC Golf Carts</t>
  </si>
  <si>
    <t>Weir River Phase II($2.3M)</t>
  </si>
  <si>
    <t>Sewer-I&amp;I</t>
  </si>
  <si>
    <t>Sewer-Mains &amp; Piping</t>
  </si>
  <si>
    <t>LESS</t>
  </si>
  <si>
    <t>LESS DEBT</t>
  </si>
  <si>
    <t>FREE CASH</t>
  </si>
  <si>
    <t xml:space="preserve">EXCLUSIONS </t>
  </si>
  <si>
    <t>GROSS</t>
  </si>
  <si>
    <t>INCLUDED</t>
  </si>
  <si>
    <t>NET</t>
  </si>
  <si>
    <t>7.5% Debt</t>
  </si>
  <si>
    <t>REVENUES</t>
  </si>
  <si>
    <t>IN REVENUE</t>
  </si>
  <si>
    <t>Policy</t>
  </si>
  <si>
    <t>=Short Term Interest Rate(SI)</t>
  </si>
  <si>
    <t>FY97</t>
  </si>
  <si>
    <t>=Long Term Interest Rate(SI)</t>
  </si>
  <si>
    <t>FY98</t>
  </si>
  <si>
    <t>FY99</t>
  </si>
  <si>
    <t>Annual</t>
  </si>
  <si>
    <t>FY00</t>
  </si>
  <si>
    <t>Net DS</t>
  </si>
  <si>
    <t>FY01</t>
  </si>
  <si>
    <t>FY02</t>
  </si>
  <si>
    <t>FY03</t>
  </si>
  <si>
    <t>FY04</t>
  </si>
  <si>
    <t>FY05</t>
  </si>
  <si>
    <t>FY06</t>
  </si>
  <si>
    <t>FY07</t>
  </si>
  <si>
    <t>FY08</t>
  </si>
  <si>
    <t>FY09</t>
  </si>
  <si>
    <t>FY10</t>
  </si>
  <si>
    <t>ANNUAL</t>
  </si>
  <si>
    <t xml:space="preserve">7.5% DEBT </t>
  </si>
  <si>
    <t>FY11</t>
  </si>
  <si>
    <t>EXPENSES</t>
  </si>
  <si>
    <t>POLICY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</si>
  <si>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</si>
  <si>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</si>
  <si>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</si>
  <si>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</si>
  <si>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</si>
  <si>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</si>
  <si>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</si>
  <si>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</si>
  <si>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</si>
  <si>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FY21</t>
  </si>
  <si>
    <t>FY22</t>
  </si>
  <si>
    <t>FY23</t>
  </si>
  <si>
    <t>FY24</t>
  </si>
  <si>
    <t>FY25</t>
  </si>
  <si>
    <t>DEBT REDUCTION PLAN -BUDGET</t>
  </si>
  <si>
    <t>DEBT REDUCTION PLAN -ACTUAL</t>
  </si>
  <si>
    <t>FY26</t>
  </si>
  <si>
    <t>Stabilzation Fund Balance @ 7/1/1999</t>
  </si>
  <si>
    <t>FY27</t>
  </si>
  <si>
    <t>Add: FY1999 Arbitrage Earnings</t>
  </si>
  <si>
    <t>Voted April2000</t>
  </si>
  <si>
    <t>FY28</t>
  </si>
  <si>
    <t>Add: FY2000 Fund Earnings @5.75% for 6 months</t>
  </si>
  <si>
    <t>ATM-2001(Amount from FC)</t>
  </si>
  <si>
    <t>Add: FY2000 Fund Earnings @5.75%</t>
  </si>
  <si>
    <t>FY29</t>
  </si>
  <si>
    <t>Add: 9/30/1999 Bond Premium</t>
  </si>
  <si>
    <t>FY30</t>
  </si>
  <si>
    <t>Less:Amounts to Reduce the FY2001 Tax Rate</t>
  </si>
  <si>
    <t>FY31</t>
  </si>
  <si>
    <t>Stabilzation Fund Balance @ 6/30/2000</t>
  </si>
  <si>
    <t>FY32</t>
  </si>
  <si>
    <t>Add: FY2000 Arbitrage Earnings</t>
  </si>
  <si>
    <t>Add: FY2001 GF Transfers IN</t>
  </si>
  <si>
    <t>FY33</t>
  </si>
  <si>
    <t>Add: FY2001 Bond Premiums</t>
  </si>
  <si>
    <t>Add: FY2001 GF Transfers OUT</t>
  </si>
  <si>
    <t>FY34</t>
  </si>
  <si>
    <t>Add: FY2001 Fund Earnings @3.0%(Nontransfered $'s)</t>
  </si>
  <si>
    <t>Add: FY2001 ATM Transfers OUT</t>
  </si>
  <si>
    <t>FY35</t>
  </si>
  <si>
    <t>Total ATM2001 FC=</t>
  </si>
  <si>
    <t>Add: FY2001 Fund Earnings</t>
  </si>
  <si>
    <t>FY36</t>
  </si>
  <si>
    <t>FY37</t>
  </si>
  <si>
    <t>Excluded</t>
  </si>
  <si>
    <t>FY38</t>
  </si>
  <si>
    <t>Gross Amount</t>
  </si>
  <si>
    <t>FY39</t>
  </si>
  <si>
    <t xml:space="preserve">MSBA </t>
  </si>
  <si>
    <t>FY40</t>
  </si>
  <si>
    <t>Net Borrowing</t>
  </si>
  <si>
    <t>FY41</t>
  </si>
  <si>
    <t>FY42</t>
  </si>
  <si>
    <t>Sep'11</t>
  </si>
  <si>
    <t>Mar'12</t>
  </si>
  <si>
    <t>Sep'12</t>
  </si>
  <si>
    <t>Mar'13</t>
  </si>
  <si>
    <t>Sep'13</t>
  </si>
  <si>
    <t>Mar'14</t>
  </si>
  <si>
    <t>Sep'14</t>
  </si>
  <si>
    <t>Mar'15</t>
  </si>
  <si>
    <t>Sep'15</t>
  </si>
  <si>
    <t>Mar'16</t>
  </si>
  <si>
    <t>Sep'16</t>
  </si>
  <si>
    <t>Mar'17</t>
  </si>
  <si>
    <t>Sep'17</t>
  </si>
  <si>
    <t>Mar'18</t>
  </si>
  <si>
    <t>Sep'18</t>
  </si>
  <si>
    <t>Mar'19</t>
  </si>
  <si>
    <t>Sep'19</t>
  </si>
  <si>
    <t>Mar'20</t>
  </si>
  <si>
    <t>Sep'20</t>
  </si>
  <si>
    <t>Mar'21</t>
  </si>
  <si>
    <t>Sep'21</t>
  </si>
  <si>
    <t>Mar'22</t>
  </si>
  <si>
    <t>Sep'22</t>
  </si>
  <si>
    <t>Mar'23</t>
  </si>
  <si>
    <t>Sep'23</t>
  </si>
  <si>
    <t>Mar'24</t>
  </si>
  <si>
    <t>Sep'24</t>
  </si>
  <si>
    <t>Mar'25</t>
  </si>
  <si>
    <t>Sep'25</t>
  </si>
  <si>
    <t>Mar'26</t>
  </si>
  <si>
    <t>Sep'26</t>
  </si>
  <si>
    <t>Mar'27</t>
  </si>
  <si>
    <t>Sep'27</t>
  </si>
  <si>
    <t>Mar'28</t>
  </si>
  <si>
    <t>Sep'28</t>
  </si>
  <si>
    <t>Mar'29</t>
  </si>
  <si>
    <t>Sep'29</t>
  </si>
  <si>
    <t>Mar'30</t>
  </si>
  <si>
    <t>Sep'30</t>
  </si>
  <si>
    <t>Mar'31</t>
  </si>
  <si>
    <t>Sep'31</t>
  </si>
  <si>
    <t>Mar'32</t>
  </si>
  <si>
    <t>Less:Amounts to Reduce the Tax Rate FY2002</t>
  </si>
  <si>
    <t>Nov'15</t>
  </si>
  <si>
    <t>May'16</t>
  </si>
  <si>
    <t>Nov'16</t>
  </si>
  <si>
    <t>May'17</t>
  </si>
  <si>
    <t>Nov'17</t>
  </si>
  <si>
    <t>May'18</t>
  </si>
  <si>
    <t>Nov'18</t>
  </si>
  <si>
    <t>May'19</t>
  </si>
  <si>
    <t>Nov'19</t>
  </si>
  <si>
    <t>May'20</t>
  </si>
  <si>
    <t>Nov'20</t>
  </si>
  <si>
    <t>May'21</t>
  </si>
  <si>
    <t>Nov'21</t>
  </si>
  <si>
    <t>May'22</t>
  </si>
  <si>
    <t>Nov'22</t>
  </si>
  <si>
    <t>May'23</t>
  </si>
  <si>
    <t>Nov'23</t>
  </si>
  <si>
    <t>May'24</t>
  </si>
  <si>
    <t>Nov'24</t>
  </si>
  <si>
    <t>May'25</t>
  </si>
  <si>
    <t>Nov'25</t>
  </si>
  <si>
    <t>May'26</t>
  </si>
  <si>
    <t>Nov'26</t>
  </si>
  <si>
    <t>May'27</t>
  </si>
  <si>
    <t>Nov'27</t>
  </si>
  <si>
    <t>May'28</t>
  </si>
  <si>
    <t>Nov'28</t>
  </si>
  <si>
    <t>May'29</t>
  </si>
  <si>
    <t>Nov'29</t>
  </si>
  <si>
    <t>May'30</t>
  </si>
  <si>
    <t>Nov'30</t>
  </si>
  <si>
    <t>May'31</t>
  </si>
  <si>
    <t>Nov'31</t>
  </si>
  <si>
    <t>May'32</t>
  </si>
  <si>
    <t>Nov'32</t>
  </si>
  <si>
    <t>May'33</t>
  </si>
  <si>
    <t>Nov'33</t>
  </si>
  <si>
    <t>May'34</t>
  </si>
  <si>
    <t>Nov'34</t>
  </si>
  <si>
    <t>May'35</t>
  </si>
  <si>
    <t>Nov'35</t>
  </si>
  <si>
    <t>May'36</t>
  </si>
  <si>
    <t>Nov'36</t>
  </si>
  <si>
    <t>May'37</t>
  </si>
  <si>
    <t>Fields Project</t>
  </si>
  <si>
    <t>Add: FY2003 Fund Earnings @4.0%</t>
  </si>
  <si>
    <t>Less:Amounts to Reduce the Tax Rate FY2004</t>
  </si>
  <si>
    <t xml:space="preserve">Need TM Vote </t>
  </si>
  <si>
    <t>Stabilzation Fund Balance @ 6/30/2003</t>
  </si>
  <si>
    <t>Add: FY2004 Fund Earnings @4.0%</t>
  </si>
  <si>
    <t>Stabilzation Fund Balance @ 6/30/2004</t>
  </si>
  <si>
    <t>Add: FY2005 Fund Earnings @4.0%</t>
  </si>
  <si>
    <t>Stabilzation Fund Balance @ 6/30/2005</t>
  </si>
  <si>
    <t>Add: FY2006 Fund Earnings @4.0%</t>
  </si>
  <si>
    <t>Stabilzation Fund Balance @ 6/30/2006</t>
  </si>
  <si>
    <t>New Elem School +Ply Rvr&amp; Foster Imprvmts + Modulars</t>
  </si>
  <si>
    <t xml:space="preserve"> BANs</t>
  </si>
  <si>
    <t>Taxpayer</t>
  </si>
  <si>
    <t>Number</t>
  </si>
  <si>
    <t>Impact</t>
  </si>
  <si>
    <t>Jun'08</t>
  </si>
  <si>
    <t>New Elementary School</t>
  </si>
  <si>
    <t>Dec'08</t>
  </si>
  <si>
    <t>A&amp;E</t>
  </si>
  <si>
    <t>Jun'09</t>
  </si>
  <si>
    <t>Total</t>
  </si>
  <si>
    <t>Dec'09</t>
  </si>
  <si>
    <t>MSBA Funding @ 40%</t>
  </si>
  <si>
    <t>Jun'10</t>
  </si>
  <si>
    <t>Less Budget Surplus</t>
  </si>
  <si>
    <t>Dec'10</t>
  </si>
  <si>
    <t>Net to be Borrowed</t>
  </si>
  <si>
    <t>Jun'11</t>
  </si>
  <si>
    <t>Modulars</t>
  </si>
  <si>
    <t>Dec'11</t>
  </si>
  <si>
    <t xml:space="preserve">PRS </t>
  </si>
  <si>
    <t>Jun'12</t>
  </si>
  <si>
    <t>Foster</t>
  </si>
  <si>
    <t>Dec'12</t>
  </si>
  <si>
    <t>School</t>
  </si>
  <si>
    <t>Jun'13</t>
  </si>
  <si>
    <t>DPW</t>
  </si>
  <si>
    <t>Dec'13</t>
  </si>
  <si>
    <t>LSA</t>
  </si>
  <si>
    <t>Jun'14</t>
  </si>
  <si>
    <t>Hersey St. Property</t>
  </si>
  <si>
    <t>Dec'14</t>
  </si>
  <si>
    <t>Sewer Projects</t>
  </si>
  <si>
    <t>Jun'15</t>
  </si>
  <si>
    <t>Dec'15</t>
  </si>
  <si>
    <t>Jun'16</t>
  </si>
  <si>
    <t>Dec'16</t>
  </si>
  <si>
    <t>Jun'17</t>
  </si>
  <si>
    <t>Dec'17</t>
  </si>
  <si>
    <t>Middle</t>
  </si>
  <si>
    <t>Jun'18</t>
  </si>
  <si>
    <t>Dec'18</t>
  </si>
  <si>
    <t>Jun'19</t>
  </si>
  <si>
    <t>Dec'19</t>
  </si>
  <si>
    <t>Jun'20</t>
  </si>
  <si>
    <t>Dec'20</t>
  </si>
  <si>
    <t>Jun'21</t>
  </si>
  <si>
    <t>Dec'21</t>
  </si>
  <si>
    <t>Jun'22</t>
  </si>
  <si>
    <t>Dec'22</t>
  </si>
  <si>
    <t>Art 15 2007</t>
  </si>
  <si>
    <t>Jun'23</t>
  </si>
  <si>
    <t>New Elem.</t>
  </si>
  <si>
    <t>Dec'23</t>
  </si>
  <si>
    <t>Jun'24</t>
  </si>
  <si>
    <t>Dec'24</t>
  </si>
  <si>
    <t>Jun'25</t>
  </si>
  <si>
    <t>Dec'25</t>
  </si>
  <si>
    <t>Jun'26</t>
  </si>
  <si>
    <t>South Junior Highschool</t>
  </si>
  <si>
    <t>SBA</t>
  </si>
  <si>
    <t>Reimb</t>
  </si>
  <si>
    <t>Issue (4.00% BANs) Dec96</t>
  </si>
  <si>
    <t>Jun'97</t>
  </si>
  <si>
    <t>Issue (4.00% BANs) Dec97</t>
  </si>
  <si>
    <t>Dec'97</t>
  </si>
  <si>
    <t>Jun'98</t>
  </si>
  <si>
    <t>Issue (4.12% Bonds) OCT'98</t>
  </si>
  <si>
    <t>Dec'98</t>
  </si>
  <si>
    <t>Jun'99</t>
  </si>
  <si>
    <t>Dec'99</t>
  </si>
  <si>
    <t>Jun'00</t>
  </si>
  <si>
    <t>Dec'00</t>
  </si>
  <si>
    <t>Jun'01</t>
  </si>
  <si>
    <t>Dec'01</t>
  </si>
  <si>
    <t>Jun'02</t>
  </si>
  <si>
    <t>Dec'02</t>
  </si>
  <si>
    <t>Jun'03</t>
  </si>
  <si>
    <t>Dec'03</t>
  </si>
  <si>
    <t>Jun'04</t>
  </si>
  <si>
    <t>Dec'04</t>
  </si>
  <si>
    <t>Jun'05</t>
  </si>
  <si>
    <t>Dec'05</t>
  </si>
  <si>
    <t>Jun'06</t>
  </si>
  <si>
    <t>Dec'06</t>
  </si>
  <si>
    <t>Jun'07</t>
  </si>
  <si>
    <t>Dec'07</t>
  </si>
  <si>
    <t>Principal Paydown Dec'96</t>
  </si>
  <si>
    <t>Principal Paydown Jan98</t>
  </si>
  <si>
    <t>Issue (5.25% Bonds) 2/1/98</t>
  </si>
  <si>
    <t>NonExcluded</t>
  </si>
  <si>
    <t>Issued (3.75% BANs) Jun1998</t>
  </si>
  <si>
    <t>Issued (3.5% BANs) Sept1998</t>
  </si>
  <si>
    <t>Issued (4.25% BANs) Sept1999</t>
  </si>
  <si>
    <t>Issued(4.60% Bonds)Sept2000</t>
  </si>
  <si>
    <t>Issue 9mo. $635K (3.20% Bonds)Sept2001</t>
  </si>
  <si>
    <t>Sep'01</t>
  </si>
  <si>
    <t>Issue 16yr $635K (5.25% Bonds)Mar2002</t>
  </si>
  <si>
    <t>Mar'02</t>
  </si>
  <si>
    <t>Sep'02</t>
  </si>
  <si>
    <t>Mar'03</t>
  </si>
  <si>
    <t>Sep'03</t>
  </si>
  <si>
    <t>Mar'04</t>
  </si>
  <si>
    <t>Sep'04</t>
  </si>
  <si>
    <t>Mar'05</t>
  </si>
  <si>
    <t>Sep'05</t>
  </si>
  <si>
    <t>Mar'06</t>
  </si>
  <si>
    <t>Sep'06</t>
  </si>
  <si>
    <t>Mar'07</t>
  </si>
  <si>
    <t>Sep'07</t>
  </si>
  <si>
    <t>Mar'08</t>
  </si>
  <si>
    <t>Sep'08</t>
  </si>
  <si>
    <t>Mar'09</t>
  </si>
  <si>
    <t>Sep'09</t>
  </si>
  <si>
    <t>Mar'10</t>
  </si>
  <si>
    <t>Refunding 2010 $270,000</t>
  </si>
  <si>
    <t>Sep'10</t>
  </si>
  <si>
    <t>Mar'11</t>
  </si>
  <si>
    <t>School Project Phase 3</t>
  </si>
  <si>
    <t>High School &amp; South Elementary</t>
  </si>
  <si>
    <t>P&amp;I Net of</t>
  </si>
  <si>
    <t>SBA  /  FY</t>
  </si>
  <si>
    <t>State Rec'd School Application June98</t>
  </si>
  <si>
    <t>Town submits both projects together</t>
  </si>
  <si>
    <t>State puts into SBA budget in FY03</t>
  </si>
  <si>
    <t>Town to Receive in FY04</t>
  </si>
  <si>
    <t>Town Hall</t>
  </si>
  <si>
    <t>South School</t>
  </si>
  <si>
    <t>Foundry Pond Dam</t>
  </si>
  <si>
    <t>Weir River School</t>
  </si>
  <si>
    <t>39M School Project</t>
  </si>
  <si>
    <t>Issued in October of1999 =</t>
  </si>
  <si>
    <t>39M School Project Allocation:</t>
  </si>
  <si>
    <t>South Elementary</t>
  </si>
  <si>
    <t>High School</t>
  </si>
  <si>
    <t>Totals</t>
  </si>
  <si>
    <t>Total BAN Interest</t>
  </si>
  <si>
    <t>Weir River Sewer District - SRF</t>
  </si>
  <si>
    <t>= Town Share  =</t>
  </si>
  <si>
    <t xml:space="preserve"> = of debt service</t>
  </si>
  <si>
    <t>Issue (3.89% BANs) Jun97</t>
  </si>
  <si>
    <t>Issue (1.5% BANs) SRF Jun98</t>
  </si>
  <si>
    <t>Issue (0.0% BONDS) SRF Dec1998</t>
  </si>
  <si>
    <t>NOTE = O/S BAL DOESN'T FOOT</t>
  </si>
  <si>
    <t>BECAUSE OF LOAN SUBSIDY</t>
  </si>
  <si>
    <t>= SRF Amort schedule</t>
  </si>
  <si>
    <t xml:space="preserve">Weir River Sewer District - </t>
  </si>
  <si>
    <t>Issue 1yr BANs $650K Sep1999 @ 3.75%</t>
  </si>
  <si>
    <t>Issue 1yr BANs $750K Sep2000 @ 4.625%</t>
  </si>
  <si>
    <t>Issue 9mo. BANs $750K Sep 2001 @ 3.2% PAYDOWN</t>
  </si>
  <si>
    <t>Issue 16 yr. Bonds $685K Mar 2002 @ 5.25%</t>
  </si>
  <si>
    <t>Sewer - Layfayett Ave</t>
  </si>
  <si>
    <t>Issue (5.25% Bonds) Feb98</t>
  </si>
  <si>
    <t>Town Office Buildings</t>
  </si>
  <si>
    <t>Highway Garage</t>
  </si>
  <si>
    <t>Fire Station Repairs</t>
  </si>
  <si>
    <t>Sewer Pump Stations</t>
  </si>
  <si>
    <t>Library - 1</t>
  </si>
  <si>
    <t>Issue 316 Day $2,671,093 (4.6% BANs) in Nov2000 DUE 9/26/2001</t>
  </si>
  <si>
    <t>Issue 277Day $2,671,093 (3.2% BANs) in Sept2001</t>
  </si>
  <si>
    <t>Issue 18yr Bonds $2,671,093 (5.25%) in Mar02</t>
  </si>
  <si>
    <t>Future Issue</t>
  </si>
  <si>
    <t>Repair of Whitney Wharf</t>
  </si>
  <si>
    <t>Issue 277Day $632,000 (3.2% BANs) in Sept2001</t>
  </si>
  <si>
    <t>Issue 19yr Bonds $632,000 (5.25%) in Mar02</t>
  </si>
  <si>
    <t>Mooring Permits:</t>
  </si>
  <si>
    <t>FY1998-FY2000</t>
  </si>
  <si>
    <t>FY2001</t>
  </si>
  <si>
    <t>Less:FY2002 Debt Service</t>
  </si>
  <si>
    <t>Less:FY2003 Debt Service</t>
  </si>
  <si>
    <t>Balance</t>
  </si>
  <si>
    <t>Issue 316Day $98,468 BANs in Nov2000 @ 4.6%</t>
  </si>
  <si>
    <t>Nov'00</t>
  </si>
  <si>
    <t>June'01</t>
  </si>
  <si>
    <t>Issue 277Day $98,468 BANs in Sept2001 @ 3.2%</t>
  </si>
  <si>
    <t>Issue 9yr $88,000 BONDS in Mar2002 @ 4.75%</t>
  </si>
  <si>
    <t>Sewer Mains &amp; Piping</t>
  </si>
  <si>
    <t>Turf Field</t>
  </si>
  <si>
    <t>School Fields</t>
  </si>
  <si>
    <t>Non excluded</t>
  </si>
  <si>
    <t>Fire</t>
  </si>
  <si>
    <t>Equipment</t>
  </si>
  <si>
    <t>Ship &amp; cottage</t>
  </si>
  <si>
    <t>Ice Rink Debt</t>
  </si>
  <si>
    <t>Issue (BANs) Sep99</t>
  </si>
  <si>
    <t>Issue 1yr $100K BANs in Sep2000 @ 4.625%</t>
  </si>
  <si>
    <t>Issue 277Day $100K BANs in Sept2001 @ 3.20%</t>
  </si>
  <si>
    <t>Sep01</t>
  </si>
  <si>
    <t>Issue 10yr $100K BONDS in Mar2002 @5.25%</t>
  </si>
  <si>
    <t>June'02</t>
  </si>
  <si>
    <t>10-YEAR TOTAL</t>
  </si>
  <si>
    <t>Operating Override</t>
  </si>
  <si>
    <t>Assessment Data</t>
  </si>
  <si>
    <t>Debt Service vs. Financial Policy</t>
  </si>
  <si>
    <t>Property Tax Levy</t>
  </si>
  <si>
    <t>Excluded Debt Service Property Tax Impact</t>
  </si>
  <si>
    <t>Operating Override Property Tax Impact</t>
  </si>
  <si>
    <t>CPA Surcharge Amount with New Excluded Debt Service and Operating Override</t>
  </si>
  <si>
    <t>INPUTS</t>
  </si>
  <si>
    <t>SUMMARY RESULTS</t>
  </si>
  <si>
    <t>RESULT DETAILS</t>
  </si>
  <si>
    <t>10-Year Annual Average</t>
  </si>
  <si>
    <t>10-Year Annual % Increase</t>
  </si>
  <si>
    <t>Taxpayer Impact Summary</t>
  </si>
  <si>
    <r>
      <t xml:space="preserve">   - The latest </t>
    </r>
    <r>
      <rPr>
        <i/>
        <sz val="11"/>
        <color theme="1"/>
        <rFont val="Calibri"/>
        <family val="2"/>
        <scheme val="minor"/>
      </rPr>
      <t>Fifteen-Year Debt Schedule</t>
    </r>
    <r>
      <rPr>
        <sz val="11"/>
        <color theme="1"/>
        <rFont val="Calibri"/>
        <family val="2"/>
        <scheme val="minor"/>
      </rPr>
      <t xml:space="preserve"> (from Town Accountant)</t>
    </r>
  </si>
  <si>
    <r>
      <rPr>
        <i/>
        <sz val="11"/>
        <color theme="1"/>
        <rFont val="Calibri"/>
        <family val="2"/>
        <scheme val="minor"/>
      </rPr>
      <t>Operating Override by Fiscal Year</t>
    </r>
    <r>
      <rPr>
        <sz val="11"/>
        <color theme="1"/>
        <rFont val="Calibri"/>
        <family val="2"/>
        <scheme val="minor"/>
      </rPr>
      <t xml:space="preserve"> amounts permanently increase the Tax Levy from the first year of implementation, increasing the Levy amount subject to Proposition 2.5 for all subsequent years</t>
    </r>
  </si>
  <si>
    <t>LT-Borrowing Rates</t>
  </si>
  <si>
    <t>FY's Rate</t>
  </si>
  <si>
    <t>Estimated Long-Term-Borrowing Interest Rates by Fiscal Year</t>
  </si>
  <si>
    <t>Tax Rate/$1000 Assessed Valuation with New Excluded Debt Service</t>
  </si>
  <si>
    <t>Total Real and Personal Property Assessed Value</t>
  </si>
  <si>
    <t>Operating Override Tax Levy Increase</t>
  </si>
  <si>
    <t>Tax Rate/$1000 Assessed Valuation with New Excluded Debt Service and Operating Override</t>
  </si>
  <si>
    <t>Combined Excluded Debt &amp; Operating Override Impact</t>
  </si>
  <si>
    <t>Tax Rate/$1000 Assessed Valuation w/o New Excluded Debt Service</t>
  </si>
  <si>
    <t xml:space="preserve">Operating Override </t>
  </si>
  <si>
    <t>Summary Results</t>
  </si>
  <si>
    <t>FY Property Tax with CPA Surcharge with New Excluded Debt Service</t>
  </si>
  <si>
    <t>FY Property Tax with CPA Surcharge with New Excluded Debt Service and Operating Override</t>
  </si>
  <si>
    <t>FY Property Tax with New Excluded Debt Service and Operating Override</t>
  </si>
  <si>
    <t>FY Property Tax with CPA Surcharge with Operating Override</t>
  </si>
  <si>
    <t>Increase of FY Property Tax with Operating Override</t>
  </si>
  <si>
    <t>FY New Capital Project Excluded Debt Service</t>
  </si>
  <si>
    <t>FY Property Tax Increase with New Excluded Debt</t>
  </si>
  <si>
    <t>FY Property Tax Increase with Operating Override</t>
  </si>
  <si>
    <t>New Excluded Debt FY Property Tax Increase</t>
  </si>
  <si>
    <t>Total FY Property Tax $ Increase from Base Property Tax</t>
  </si>
  <si>
    <t>Total FY Property Tax % Increase from Base Property Tax</t>
  </si>
  <si>
    <t>Total Year-over-Year Tax $ Increase from Prior FY Base Property Tax</t>
  </si>
  <si>
    <t>Total Year-over-Year Tax % Increase from Prior FY Base Property Tax</t>
  </si>
  <si>
    <t>Total Property Tax Increase with Prop. 2.5, CPA, New Excluded Debt and Operating Override</t>
  </si>
  <si>
    <t>Important Disclaimer</t>
  </si>
  <si>
    <t>Remaining Debt Service</t>
  </si>
  <si>
    <t>Total Remaining New Excluded Debt Service</t>
  </si>
  <si>
    <r>
      <t xml:space="preserve">The </t>
    </r>
    <r>
      <rPr>
        <i/>
        <sz val="11"/>
        <color theme="1"/>
        <rFont val="Calibri"/>
        <family val="2"/>
        <scheme val="minor"/>
      </rPr>
      <t xml:space="preserve">Model </t>
    </r>
    <r>
      <rPr>
        <sz val="11"/>
        <color theme="1"/>
        <rFont val="Calibri"/>
        <family val="2"/>
        <scheme val="minor"/>
      </rPr>
      <t>worksheet projects forward debt-service principal + interest payments by fiscal year for new excluded debt</t>
    </r>
  </si>
  <si>
    <r>
      <rPr>
        <i/>
        <sz val="11"/>
        <color theme="1"/>
        <rFont val="Calibri"/>
        <family val="2"/>
        <scheme val="minor"/>
      </rPr>
      <t xml:space="preserve">FY Property Tax Increase with New Excluded Debt </t>
    </r>
    <r>
      <rPr>
        <sz val="11"/>
        <color theme="1"/>
        <rFont val="Calibri"/>
        <family val="2"/>
        <scheme val="minor"/>
      </rPr>
      <t xml:space="preserve">for 10 years and two 5-year halves, with associated </t>
    </r>
    <r>
      <rPr>
        <i/>
        <sz val="11"/>
        <color theme="1"/>
        <rFont val="Calibri"/>
        <family val="2"/>
        <scheme val="minor"/>
      </rPr>
      <t>Annual Averages</t>
    </r>
  </si>
  <si>
    <r>
      <rPr>
        <i/>
        <sz val="11"/>
        <color theme="1"/>
        <rFont val="Calibri"/>
        <family val="2"/>
        <scheme val="minor"/>
      </rPr>
      <t>FY Property Tax Increase with Operating Override</t>
    </r>
    <r>
      <rPr>
        <sz val="11"/>
        <color theme="1"/>
        <rFont val="Calibri"/>
        <family val="2"/>
        <scheme val="minor"/>
      </rPr>
      <t xml:space="preserve"> for 10 years and two 5-year halves, with associated </t>
    </r>
    <r>
      <rPr>
        <i/>
        <sz val="11"/>
        <color theme="1"/>
        <rFont val="Calibri"/>
        <family val="2"/>
        <scheme val="minor"/>
      </rPr>
      <t>Annual Averages</t>
    </r>
  </si>
  <si>
    <t>Base FY Property Tax --&gt; Taxpayer Average FY Property Tax with only Prop. 2.5 Increase and CPA Surcharge</t>
  </si>
  <si>
    <t>Total Value</t>
  </si>
  <si>
    <t>% Change</t>
  </si>
  <si>
    <t>10-Year Assessed Valuation Change</t>
  </si>
  <si>
    <t>Average Value</t>
  </si>
  <si>
    <t>Average Value Increase</t>
  </si>
  <si>
    <t>Total Value Increase</t>
  </si>
  <si>
    <t>2023-2032            10-Year Total</t>
  </si>
  <si>
    <t>2023-2027 Total</t>
  </si>
  <si>
    <t>2023-2027 Annual Average*</t>
  </si>
  <si>
    <t>2028-2032 Total</t>
  </si>
  <si>
    <t>2028-2032 Annual Average*</t>
  </si>
  <si>
    <t>Potential Project</t>
  </si>
  <si>
    <t>Total Borrowing for Project</t>
  </si>
  <si>
    <t>Total Borrowing for all Projects by Fiscal Year</t>
  </si>
  <si>
    <t>Public Safety Facility</t>
  </si>
  <si>
    <t>Assessor 13 Dec 2021 Email</t>
  </si>
  <si>
    <t>FIFTEEN YEAR DEBT SCHEDULE</t>
  </si>
  <si>
    <t>EXCLUDED DEBT:</t>
  </si>
  <si>
    <t>TOTAL EXCLUDED DEBT</t>
  </si>
  <si>
    <t>NET TOTAL EXCLUDED DEBT</t>
  </si>
  <si>
    <t>NON-EXCLUDED DEBT:</t>
  </si>
  <si>
    <t>Weir River Water System</t>
  </si>
  <si>
    <t>TOTAL NON-EXCLUDED DEBT</t>
  </si>
  <si>
    <t>FINANCIAL POLICY GUIDELINE</t>
  </si>
  <si>
    <t>DEBT CAPACITY</t>
  </si>
  <si>
    <t>-----------------</t>
  </si>
  <si>
    <t>Total Tax Levy</t>
  </si>
  <si>
    <t xml:space="preserve">Other Revenue </t>
  </si>
  <si>
    <t xml:space="preserve">   State Aid</t>
  </si>
  <si>
    <t xml:space="preserve">   Local Receipts </t>
  </si>
  <si>
    <t xml:space="preserve">   South Shore Country Club</t>
  </si>
  <si>
    <t xml:space="preserve">   Weir River Water System</t>
  </si>
  <si>
    <t xml:space="preserve">   Sewer</t>
  </si>
  <si>
    <t xml:space="preserve">   Light Plant</t>
  </si>
  <si>
    <t xml:space="preserve">   Stabilization Fund</t>
  </si>
  <si>
    <t xml:space="preserve">   Excess Overlay</t>
  </si>
  <si>
    <t xml:space="preserve">   Waterways Fund</t>
  </si>
  <si>
    <t>Additional Fund Balance Revenue</t>
  </si>
  <si>
    <t>Total Other Revenue</t>
  </si>
  <si>
    <t>------------------</t>
  </si>
  <si>
    <t>Five-Year Forecast Uses:</t>
  </si>
  <si>
    <t>Five-Year Forecast Sources</t>
  </si>
  <si>
    <t xml:space="preserve">   Levy</t>
  </si>
  <si>
    <t xml:space="preserve">   2 1/2% increase</t>
  </si>
  <si>
    <t xml:space="preserve">   New Growth</t>
  </si>
  <si>
    <t xml:space="preserve">   Debt Exclusions</t>
  </si>
  <si>
    <t xml:space="preserve">   Unused Levy Capacity</t>
  </si>
  <si>
    <t xml:space="preserve">   Uncollected Tax Levy</t>
  </si>
  <si>
    <t>Tax Levy</t>
  </si>
  <si>
    <t xml:space="preserve">   State Assessments</t>
  </si>
  <si>
    <t xml:space="preserve">   Overlay</t>
  </si>
  <si>
    <t xml:space="preserve">   Other Expenses/Deficits</t>
  </si>
  <si>
    <t xml:space="preserve">   Capital Outlay</t>
  </si>
  <si>
    <t xml:space="preserve">   Town Article 6</t>
  </si>
  <si>
    <t xml:space="preserve">   Town Articles 4&amp;5</t>
  </si>
  <si>
    <t xml:space="preserve">   Other Articles</t>
  </si>
  <si>
    <t xml:space="preserve">   % change Total Sources from prior year</t>
  </si>
  <si>
    <t xml:space="preserve">   % change Total Uses from prior year</t>
  </si>
  <si>
    <r>
      <t xml:space="preserve">   </t>
    </r>
    <r>
      <rPr>
        <sz val="11"/>
        <color theme="1"/>
        <rFont val="Arial"/>
        <family val="2"/>
      </rPr>
      <t>$ change Total Sources from prior year</t>
    </r>
  </si>
  <si>
    <t xml:space="preserve">    $ change Total Uses from prior year</t>
  </si>
  <si>
    <t xml:space="preserve">   $ change Education from prior year</t>
  </si>
  <si>
    <t xml:space="preserve">   % change Education from prior year</t>
  </si>
  <si>
    <t xml:space="preserve">Five-Year Forecast Municipal Budget:  </t>
  </si>
  <si>
    <t xml:space="preserve">Five-Year Forecast Education Budget:  </t>
  </si>
  <si>
    <t xml:space="preserve">   $ change Municipal from prior year</t>
  </si>
  <si>
    <t xml:space="preserve">   % change Municipal from prior year</t>
  </si>
  <si>
    <t>Five-Year Forecast Total Sources</t>
  </si>
  <si>
    <t>Five-Year Forecast Total Uses:</t>
  </si>
  <si>
    <r>
      <t>Five-Year Forecast Total Sources vs. Total Uses Surplus/</t>
    </r>
    <r>
      <rPr>
        <b/>
        <sz val="11"/>
        <color rgb="FFFF0000"/>
        <rFont val="Arial"/>
        <family val="2"/>
      </rPr>
      <t>(Deficit)</t>
    </r>
  </si>
  <si>
    <r>
      <t xml:space="preserve">   </t>
    </r>
    <r>
      <rPr>
        <sz val="11"/>
        <color theme="1"/>
        <rFont val="Arial"/>
        <family val="2"/>
      </rPr>
      <t>Five-Year Forecast Article 6 Town Budget</t>
    </r>
  </si>
  <si>
    <t xml:space="preserve">   Five-Year Forecast Articles 4&amp;5 Town Budget</t>
  </si>
  <si>
    <t xml:space="preserve">   Updated Municipal Budget @ user-entered growth rate</t>
  </si>
  <si>
    <t xml:space="preserve">   Updated Education Budget @ user-entered growth rate </t>
  </si>
  <si>
    <t xml:space="preserve">   % change of Municipal Budget growth rate from Five-Year Forecast </t>
  </si>
  <si>
    <t xml:space="preserve">   % change of Education Budget growth rate from Five-Year Forecast</t>
  </si>
  <si>
    <t xml:space="preserve">   $ change of Education Budget from Five-Year Forecast</t>
  </si>
  <si>
    <t>Impact of user-entered budget growth rates on Five-Year Forecasts</t>
  </si>
  <si>
    <t xml:space="preserve">   $ change of updated Municipal Budget from Five-Year Forecast</t>
  </si>
  <si>
    <r>
      <t>Updated Prior Year Cumulative Surplus/</t>
    </r>
    <r>
      <rPr>
        <b/>
        <sz val="11"/>
        <color rgb="FFFF0000"/>
        <rFont val="Arial"/>
        <family val="2"/>
      </rPr>
      <t>(Deficit)</t>
    </r>
  </si>
  <si>
    <r>
      <t>Updated Current Year Surplus/</t>
    </r>
    <r>
      <rPr>
        <b/>
        <sz val="11"/>
        <color rgb="FFFF0000"/>
        <rFont val="Arial"/>
        <family val="2"/>
      </rPr>
      <t>(Deficit)</t>
    </r>
  </si>
  <si>
    <r>
      <t>Updated Cumulative Surplus/</t>
    </r>
    <r>
      <rPr>
        <b/>
        <sz val="11"/>
        <color rgb="FFFF0000"/>
        <rFont val="Arial"/>
        <family val="2"/>
      </rPr>
      <t>(Deficit)</t>
    </r>
  </si>
  <si>
    <t xml:space="preserve">   Original Five-Year Forecast Total Uses</t>
  </si>
  <si>
    <t xml:space="preserve">   Updated Total Uses @ user-entered Municipal &amp; Education growth rates</t>
  </si>
  <si>
    <t xml:space="preserve">   Updated $ Increase of Total Uses from user-entered growth rates</t>
  </si>
  <si>
    <t xml:space="preserve">   Updated % change of Total Uses from prior year </t>
  </si>
  <si>
    <r>
      <t>Updated Surplus/</t>
    </r>
    <r>
      <rPr>
        <b/>
        <sz val="11"/>
        <color rgb="FFFF0000"/>
        <rFont val="Arial"/>
        <family val="2"/>
      </rPr>
      <t xml:space="preserve">(Deficit) </t>
    </r>
    <r>
      <rPr>
        <b/>
        <sz val="11"/>
        <rFont val="Arial"/>
        <family val="2"/>
      </rPr>
      <t>fro</t>
    </r>
    <r>
      <rPr>
        <b/>
        <sz val="11"/>
        <color theme="1"/>
        <rFont val="Arial"/>
        <family val="2"/>
      </rPr>
      <t>m user-entered M&amp;E Budget growth rates</t>
    </r>
  </si>
  <si>
    <t>User-entered Municipal Budget Annual Growth Rate by Fiscal Year</t>
  </si>
  <si>
    <t>User-entered Education Budget Annual Growth Rate by Fiscal Year</t>
  </si>
  <si>
    <r>
      <t xml:space="preserve">From </t>
    </r>
    <r>
      <rPr>
        <i/>
        <sz val="11"/>
        <color rgb="FFFF0000"/>
        <rFont val="Arial"/>
        <family val="2"/>
      </rPr>
      <t>Dashboard</t>
    </r>
  </si>
  <si>
    <r>
      <t xml:space="preserve">   </t>
    </r>
    <r>
      <rPr>
        <b/>
        <sz val="11"/>
        <color theme="1"/>
        <rFont val="Calibri"/>
        <family val="2"/>
        <scheme val="minor"/>
      </rPr>
      <t>it does not forecast how additional revenues and/or expenses would be apportioned within any particular fiscal year's Town budget</t>
    </r>
  </si>
  <si>
    <t>Excluded Debt Issuance from Potential Project table below</t>
  </si>
  <si>
    <t>Additional Revenue from Operating Override(s) and/or Excess Unassigned Fund Balance</t>
  </si>
  <si>
    <t>Potential Project Excluded Debt Borrowing</t>
  </si>
  <si>
    <t>Town Surplus/Deficit Impact of Potential Municipal Budget and Education Budget Annual Growth Rates</t>
  </si>
  <si>
    <t>Town Budget Surplus/Deficit Projections</t>
  </si>
  <si>
    <r>
      <t xml:space="preserve">   Additional Fund Balance Revenue </t>
    </r>
    <r>
      <rPr>
        <sz val="11"/>
        <color rgb="FFFF0000"/>
        <rFont val="Arial"/>
        <family val="2"/>
      </rPr>
      <t xml:space="preserve">(from </t>
    </r>
    <r>
      <rPr>
        <i/>
        <sz val="11"/>
        <color rgb="FFFF0000"/>
        <rFont val="Arial"/>
        <family val="2"/>
      </rPr>
      <t>Dashboard</t>
    </r>
    <r>
      <rPr>
        <sz val="11"/>
        <color rgb="FFFF0000"/>
        <rFont val="Arial"/>
        <family val="2"/>
      </rPr>
      <t>)</t>
    </r>
  </si>
  <si>
    <t>FINANCIAL PLANNING MODEL OF POTENTIAL EXCLUDED DEBT BORROWING, OPERATING OVERRIDE(S), FUND BALANCE USE, AND TOWN BUDGET SURPLUS/DEFICITS</t>
  </si>
  <si>
    <r>
      <t xml:space="preserve">     through user entry of amounts/values on the </t>
    </r>
    <r>
      <rPr>
        <i/>
        <sz val="11"/>
        <color theme="1"/>
        <rFont val="Calibri"/>
        <family val="2"/>
        <scheme val="minor"/>
      </rPr>
      <t>Dashboard</t>
    </r>
    <r>
      <rPr>
        <sz val="11"/>
        <color theme="1"/>
        <rFont val="Calibri"/>
        <family val="2"/>
        <scheme val="minor"/>
      </rPr>
      <t xml:space="preserve"> worksheet</t>
    </r>
  </si>
  <si>
    <r>
      <t xml:space="preserve">   - The latest </t>
    </r>
    <r>
      <rPr>
        <i/>
        <sz val="11"/>
        <color theme="1"/>
        <rFont val="Calibri"/>
        <family val="2"/>
        <scheme val="minor"/>
      </rPr>
      <t>Five-Year Forecast</t>
    </r>
    <r>
      <rPr>
        <sz val="11"/>
        <color theme="1"/>
        <rFont val="Calibri"/>
        <family val="2"/>
        <scheme val="minor"/>
      </rPr>
      <t xml:space="preserve"> (from Town Accountant)</t>
    </r>
  </si>
  <si>
    <r>
      <t xml:space="preserve">   - User-entered amounts/values on the </t>
    </r>
    <r>
      <rPr>
        <i/>
        <sz val="11"/>
        <color theme="1"/>
        <rFont val="Calibri"/>
        <family val="2"/>
        <scheme val="minor"/>
      </rPr>
      <t>Dashboard</t>
    </r>
    <r>
      <rPr>
        <sz val="11"/>
        <color theme="1"/>
        <rFont val="Calibri"/>
        <family val="2"/>
        <scheme val="minor"/>
      </rPr>
      <t xml:space="preserve"> worksheet: </t>
    </r>
  </si>
  <si>
    <t>To facilitate estimation of the property-tax impact of new excluded-debt borrowing and/or operating overrides as well as projected Fund Balance use and Municipal Budget and Education Budget annual growth rates</t>
  </si>
  <si>
    <t xml:space="preserve">While this Model is a tool to estimate the property-tax impact of potential new excluded-debt borrowing and/or operating overrides as well as Fund Balance use and Municipal and Education Budget growth rates, </t>
  </si>
  <si>
    <t xml:space="preserve">   </t>
  </si>
  <si>
    <r>
      <t xml:space="preserve">   the impact of user-entered </t>
    </r>
    <r>
      <rPr>
        <i/>
        <sz val="11"/>
        <color theme="1"/>
        <rFont val="Calibri"/>
        <family val="2"/>
        <scheme val="minor"/>
      </rPr>
      <t>Additional Fund Balance Revenue</t>
    </r>
    <r>
      <rPr>
        <sz val="11"/>
        <color theme="1"/>
        <rFont val="Calibri"/>
        <family val="2"/>
        <scheme val="minor"/>
      </rPr>
      <t xml:space="preserve"> is reflected on the </t>
    </r>
    <r>
      <rPr>
        <i/>
        <sz val="11"/>
        <color theme="1"/>
        <rFont val="Calibri"/>
        <family val="2"/>
        <scheme val="minor"/>
      </rPr>
      <t>Budget Surplus-Deficit</t>
    </r>
    <r>
      <rPr>
        <sz val="11"/>
        <color theme="1"/>
        <rFont val="Calibri"/>
        <family val="2"/>
        <scheme val="minor"/>
      </rPr>
      <t xml:space="preserve"> worksheet</t>
    </r>
  </si>
  <si>
    <r>
      <t xml:space="preserve">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>Note:  Entered Operating Override amounts are compounded annually for all future years after the first year by virtue of MA Prop. 2.5</t>
    </r>
  </si>
  <si>
    <t>Budget Surplus/Deficit</t>
  </si>
  <si>
    <r>
      <t xml:space="preserve">   Operating Override Revenue </t>
    </r>
    <r>
      <rPr>
        <sz val="11"/>
        <color rgb="FFFF0000"/>
        <rFont val="Arial"/>
        <family val="2"/>
      </rPr>
      <t>(from Model)</t>
    </r>
  </si>
  <si>
    <r>
      <t xml:space="preserve">   FY New Capital Project Excluded Debt Service </t>
    </r>
    <r>
      <rPr>
        <sz val="11"/>
        <color rgb="FFFF0000"/>
        <rFont val="Arial"/>
        <family val="2"/>
      </rPr>
      <t>(from Model)</t>
    </r>
  </si>
  <si>
    <r>
      <t xml:space="preserve">* </t>
    </r>
    <r>
      <rPr>
        <b/>
        <sz val="12"/>
        <color theme="1"/>
        <rFont val="Calibri"/>
        <family val="2"/>
        <scheme val="minor"/>
      </rPr>
      <t>5-year Annual Averages are influenced by the timing of the debt exclusion or operating override within the 5-year period.</t>
    </r>
  </si>
  <si>
    <t>Adjustment  to true up  Model-calculated Tax Rate with Select Board-voted Tax Rate</t>
  </si>
  <si>
    <t>Loan Information</t>
  </si>
  <si>
    <t>Summary</t>
  </si>
  <si>
    <t>Frequency</t>
  </si>
  <si>
    <t>Loan Amount</t>
  </si>
  <si>
    <t>Rate (per period)</t>
  </si>
  <si>
    <t>Annual Interest Rate</t>
  </si>
  <si>
    <t>Total Payments</t>
  </si>
  <si>
    <t>Semi-Annual</t>
  </si>
  <si>
    <t>Term of Loan in Years</t>
  </si>
  <si>
    <t>Total Interest</t>
  </si>
  <si>
    <t>Quarterly</t>
  </si>
  <si>
    <t>First Payment Date</t>
  </si>
  <si>
    <t>Est. Interest Savings</t>
  </si>
  <si>
    <t>Bi-Monthly</t>
  </si>
  <si>
    <t>Payment Frequency</t>
  </si>
  <si>
    <t>annual</t>
  </si>
  <si>
    <t>Monthly</t>
  </si>
  <si>
    <t>Compound Period</t>
  </si>
  <si>
    <t>Semi-Monthly</t>
  </si>
  <si>
    <t>Payment Type</t>
  </si>
  <si>
    <t>Beginning of Period</t>
  </si>
  <si>
    <t>Bi-Weekly</t>
  </si>
  <si>
    <t>Rounding</t>
  </si>
  <si>
    <t>On</t>
  </si>
  <si>
    <t>Weekly</t>
  </si>
  <si>
    <t>Periods Per Year</t>
  </si>
  <si>
    <t>Months Per Period</t>
  </si>
  <si>
    <t>Number of Periods</t>
  </si>
  <si>
    <t>Rounding Option</t>
  </si>
  <si>
    <t>[42]</t>
  </si>
  <si>
    <t>Yearly Summary</t>
  </si>
  <si>
    <t>Payments</t>
  </si>
  <si>
    <t>Additional Payments</t>
  </si>
  <si>
    <t>Interest Paid</t>
  </si>
  <si>
    <t>Principal Paid</t>
  </si>
  <si>
    <t>Year-End
 Balance</t>
  </si>
  <si>
    <t>Principal Remaining</t>
  </si>
  <si>
    <t>Amortization Schedule</t>
  </si>
  <si>
    <t>No.</t>
  </si>
  <si>
    <t>Due
Date</t>
  </si>
  <si>
    <t>Payment
Due</t>
  </si>
  <si>
    <t>Additional Payment</t>
  </si>
  <si>
    <t>End</t>
  </si>
  <si>
    <t>Excluded Debt Borrowing Parameters</t>
  </si>
  <si>
    <t>FY23 Excluded Debt Borrowing, Level Principal</t>
  </si>
  <si>
    <t>FY23 Excluded Debt Borrowing, Level Payment</t>
  </si>
  <si>
    <t>FY24 Excluded Debt Borrowing, Level Payment</t>
  </si>
  <si>
    <t>FY24 Excluded Debt Borrowing, Level Principal</t>
  </si>
  <si>
    <t>Post FY32 Remaining Debt Service:</t>
  </si>
  <si>
    <t>Modeled</t>
  </si>
  <si>
    <t>FY25 Excluded Debt Borrowing, Level Principal</t>
  </si>
  <si>
    <t>FY25 Excluded Debt Borrowing, Level Payment</t>
  </si>
  <si>
    <t>FY26 Excluded Debt Borrowing, Level Principal</t>
  </si>
  <si>
    <t>FY26 Excluded Debt Borrowing, Level Payment</t>
  </si>
  <si>
    <t>FY27 Excluded Debt Borrowing, Level Payment</t>
  </si>
  <si>
    <t>FY28 Excluded Debt Borrowing, Level Payment</t>
  </si>
  <si>
    <t>FY29 Excluded Debt Borrowing, Level Payment</t>
  </si>
  <si>
    <t>FY30 Excluded Debt Borrowing, Level Payment</t>
  </si>
  <si>
    <t>FY31 Excluded Debt Borrowing, Level Payment</t>
  </si>
  <si>
    <t>FY32 Excluded Debt Borrowing, Level Payment</t>
  </si>
  <si>
    <t>FY27 Excluded Debt Borrowing, Level Principal</t>
  </si>
  <si>
    <t>FY28 Excluded Debt Borrowing, Level Principal</t>
  </si>
  <si>
    <t>FY29 Excluded Debt Borrowing, Level Principal</t>
  </si>
  <si>
    <t>FY30 Excluded Debt Borrowing, Level Principal</t>
  </si>
  <si>
    <t>FY31 Excluded Debt Borrowing, Level Principal</t>
  </si>
  <si>
    <t>FY32 Excluded Debt Borrowing, Level Principal</t>
  </si>
  <si>
    <r>
      <rPr>
        <b/>
        <i/>
        <sz val="16"/>
        <color rgb="FFFF0000"/>
        <rFont val="Calibri"/>
        <family val="2"/>
      </rPr>
      <t>Dashboard</t>
    </r>
    <r>
      <rPr>
        <b/>
        <sz val="16"/>
        <color rgb="FFFF0000"/>
        <rFont val="Calibri"/>
        <family val="2"/>
      </rPr>
      <t xml:space="preserve"> cells reserved for user-entered values are highlighted in RED</t>
    </r>
  </si>
  <si>
    <t>Level-Principal Term</t>
  </si>
  <si>
    <t>Level-Payment Term</t>
  </si>
  <si>
    <t>Total Borrowed for all Projects and all Fiscal Years</t>
  </si>
  <si>
    <t>10-Year Debt Service</t>
  </si>
  <si>
    <t>TOTAL:</t>
  </si>
  <si>
    <t>TOTAL DEBT SERVICE COST:</t>
  </si>
  <si>
    <t>Total Debt Service Cost for all Projects and all Fiscal Years</t>
  </si>
  <si>
    <t>Rough Estimate of Remaining Debt Service Property Tax Impact:</t>
  </si>
  <si>
    <t>11-Year Average of Total Value Increase % Change:</t>
  </si>
  <si>
    <t>11-Year Average of Average Value Increase % Change:</t>
  </si>
  <si>
    <r>
      <t>In</t>
    </r>
    <r>
      <rPr>
        <sz val="11"/>
        <color theme="1"/>
        <rFont val="Calibri"/>
        <family val="2"/>
        <scheme val="minor"/>
      </rPr>
      <t>crease of FY Base Property Tax with CPA w/o New Excluded Debt Service or Operating Override</t>
    </r>
  </si>
  <si>
    <t>Increase of FY Property Tax with CPA with New Excluded Debt Service</t>
  </si>
  <si>
    <r>
      <rPr>
        <b/>
        <sz val="11"/>
        <color rgb="FFFF0000"/>
        <rFont val="Calibri"/>
        <family val="2"/>
        <scheme val="minor"/>
      </rPr>
      <t>FY Base Property Tax</t>
    </r>
    <r>
      <rPr>
        <b/>
        <sz val="11"/>
        <color theme="1"/>
        <rFont val="Calibri"/>
        <family val="2"/>
        <scheme val="minor"/>
      </rPr>
      <t>:   FY Property Tax with CPA w/o New Excluded Debt Service or Oper. Override</t>
    </r>
  </si>
  <si>
    <t>Increase from FY Base Property Tax with both New Excluded Debt and Operating Override</t>
  </si>
  <si>
    <r>
      <t xml:space="preserve">Starting with the Town Tax Rate for FY2023, three tax rates for each fiscal year are calculated:  without </t>
    </r>
    <r>
      <rPr>
        <i/>
        <sz val="11"/>
        <color theme="1"/>
        <rFont val="Calibri"/>
        <family val="2"/>
        <scheme val="minor"/>
      </rPr>
      <t xml:space="preserve">New Excluded Debt Service, </t>
    </r>
    <r>
      <rPr>
        <sz val="11"/>
        <color theme="1"/>
        <rFont val="Calibri"/>
        <family val="2"/>
        <scheme val="minor"/>
      </rPr>
      <t>with</t>
    </r>
    <r>
      <rPr>
        <i/>
        <sz val="11"/>
        <color theme="1"/>
        <rFont val="Calibri"/>
        <family val="2"/>
        <scheme val="minor"/>
      </rPr>
      <t xml:space="preserve"> New Excluded Debt Service, </t>
    </r>
    <r>
      <rPr>
        <sz val="11"/>
        <color theme="1"/>
        <rFont val="Calibri"/>
        <family val="2"/>
        <scheme val="minor"/>
      </rPr>
      <t xml:space="preserve">and with both </t>
    </r>
    <r>
      <rPr>
        <i/>
        <sz val="11"/>
        <color theme="1"/>
        <rFont val="Calibri"/>
        <family val="2"/>
        <scheme val="minor"/>
      </rPr>
      <t>New Excluded Debt Service and Operating Override</t>
    </r>
  </si>
  <si>
    <t>Operating Override(s) FY Property Tax Increase</t>
  </si>
  <si>
    <t>Total FY Property Tax with Prop. 2.5 Increase, CPA Surcharge, Excluded Debt, and Operating Override(s)</t>
  </si>
  <si>
    <r>
      <t xml:space="preserve">The Town Accountant's </t>
    </r>
    <r>
      <rPr>
        <i/>
        <sz val="11"/>
        <color theme="1"/>
        <rFont val="Calibri"/>
        <family val="2"/>
        <scheme val="minor"/>
      </rPr>
      <t xml:space="preserve">Five-Year Forecast </t>
    </r>
    <r>
      <rPr>
        <sz val="11"/>
        <color theme="1"/>
        <rFont val="Calibri"/>
        <family val="2"/>
        <scheme val="minor"/>
      </rPr>
      <t xml:space="preserve">Excel worksheet is extended for an additional 5 years utilizing the projected annual </t>
    </r>
    <r>
      <rPr>
        <i/>
        <sz val="11"/>
        <color theme="1"/>
        <rFont val="Calibri"/>
        <family val="2"/>
        <scheme val="minor"/>
      </rPr>
      <t>New Growth</t>
    </r>
    <r>
      <rPr>
        <sz val="11"/>
        <color theme="1"/>
        <rFont val="Calibri"/>
        <family val="2"/>
        <scheme val="minor"/>
      </rPr>
      <t xml:space="preserve"> assumption of the </t>
    </r>
    <r>
      <rPr>
        <i/>
        <sz val="11"/>
        <color theme="1"/>
        <rFont val="Calibri"/>
        <family val="2"/>
        <scheme val="minor"/>
      </rPr>
      <t>Forecast's</t>
    </r>
    <r>
      <rPr>
        <sz val="11"/>
        <color theme="1"/>
        <rFont val="Calibri"/>
        <family val="2"/>
        <scheme val="minor"/>
      </rPr>
      <t xml:space="preserve"> fifth fiscal year </t>
    </r>
  </si>
  <si>
    <r>
      <t xml:space="preserve">Planned non-excluded debt is not included in the </t>
    </r>
    <r>
      <rPr>
        <i/>
        <sz val="11"/>
        <color theme="1"/>
        <rFont val="Calibri"/>
        <family val="2"/>
        <scheme val="minor"/>
      </rPr>
      <t>Model's</t>
    </r>
    <r>
      <rPr>
        <sz val="11"/>
        <color theme="1"/>
        <rFont val="Calibri"/>
        <family val="2"/>
        <scheme val="minor"/>
      </rPr>
      <t xml:space="preserve"> analysis</t>
    </r>
  </si>
  <si>
    <r>
      <t xml:space="preserve">New excluded debt may be for any term up to and including 30 years with either level-principal or level-payment borrowing as specified by entry of the term duration in the </t>
    </r>
    <r>
      <rPr>
        <i/>
        <sz val="11"/>
        <color theme="1"/>
        <rFont val="Calibri"/>
        <family val="2"/>
        <scheme val="minor"/>
      </rPr>
      <t>Dashboard Excluded Debt Borrowing Parameters</t>
    </r>
    <r>
      <rPr>
        <sz val="11"/>
        <color theme="1"/>
        <rFont val="Calibri"/>
        <family val="2"/>
        <scheme val="minor"/>
      </rPr>
      <t xml:space="preserve"> table</t>
    </r>
  </si>
  <si>
    <r>
      <t xml:space="preserve">   - Estimated </t>
    </r>
    <r>
      <rPr>
        <i/>
        <sz val="11"/>
        <color theme="1"/>
        <rFont val="Calibri"/>
        <family val="2"/>
        <scheme val="minor"/>
      </rPr>
      <t>Long-Term (LT) Borrowing Rates</t>
    </r>
    <r>
      <rPr>
        <sz val="11"/>
        <color theme="1"/>
        <rFont val="Calibri"/>
        <family val="2"/>
        <scheme val="minor"/>
      </rPr>
      <t xml:space="preserve"> for new excluded debt (from consultations with the Town's financial advisory firm, Capital Markets Advisors)</t>
    </r>
  </si>
  <si>
    <r>
      <t xml:space="preserve">      - </t>
    </r>
    <r>
      <rPr>
        <i/>
        <sz val="11"/>
        <color theme="1"/>
        <rFont val="Calibri"/>
        <family val="2"/>
        <scheme val="minor"/>
      </rPr>
      <t>Potential Project Excluded Debt Borrowing</t>
    </r>
    <r>
      <rPr>
        <sz val="11"/>
        <color theme="1"/>
        <rFont val="Calibri"/>
        <family val="2"/>
        <scheme val="minor"/>
      </rPr>
      <t xml:space="preserve"> for new excluded debt -- </t>
    </r>
    <r>
      <rPr>
        <b/>
        <sz val="11"/>
        <color theme="1"/>
        <rFont val="Calibri"/>
        <family val="2"/>
        <scheme val="minor"/>
      </rPr>
      <t>For each potential project, input borrowing amount(s) in the Fiscal Year(s) in which debt service will likely impact the Tax Levy</t>
    </r>
  </si>
  <si>
    <r>
      <t xml:space="preserve">      - </t>
    </r>
    <r>
      <rPr>
        <i/>
        <sz val="11"/>
        <color theme="1"/>
        <rFont val="Calibri"/>
        <family val="2"/>
        <scheme val="minor"/>
      </rPr>
      <t>Operating Override by Fiscal Year</t>
    </r>
    <r>
      <rPr>
        <sz val="11"/>
        <color theme="1"/>
        <rFont val="Calibri"/>
        <family val="2"/>
        <scheme val="minor"/>
      </rPr>
      <t xml:space="preserve"> -- I</t>
    </r>
    <r>
      <rPr>
        <b/>
        <sz val="11"/>
        <color theme="1"/>
        <rFont val="Calibri"/>
        <family val="2"/>
        <scheme val="minor"/>
      </rPr>
      <t>nput amount in the Fiscal Year of the Operating Override's addition to the Tax Levy</t>
    </r>
  </si>
  <si>
    <r>
      <t xml:space="preserve">      - </t>
    </r>
    <r>
      <rPr>
        <i/>
        <sz val="11"/>
        <color theme="1"/>
        <rFont val="Calibri"/>
        <family val="2"/>
        <scheme val="minor"/>
      </rPr>
      <t>Additional Fund Balance Revenue</t>
    </r>
    <r>
      <rPr>
        <sz val="11"/>
        <color theme="1"/>
        <rFont val="Calibri"/>
        <family val="2"/>
        <scheme val="minor"/>
      </rPr>
      <t xml:space="preserve"> -- Increase of </t>
    </r>
    <r>
      <rPr>
        <i/>
        <sz val="11"/>
        <color theme="1"/>
        <rFont val="Calibri"/>
        <family val="2"/>
        <scheme val="minor"/>
      </rPr>
      <t xml:space="preserve">Total Other Revenue </t>
    </r>
    <r>
      <rPr>
        <sz val="11"/>
        <color theme="1"/>
        <rFont val="Calibri"/>
        <family val="2"/>
        <scheme val="minor"/>
      </rPr>
      <t xml:space="preserve">on </t>
    </r>
    <r>
      <rPr>
        <i/>
        <sz val="11"/>
        <color theme="1"/>
        <rFont val="Calibri"/>
        <family val="2"/>
        <scheme val="minor"/>
      </rPr>
      <t xml:space="preserve">Budget Surplus-Deficit </t>
    </r>
    <r>
      <rPr>
        <sz val="11"/>
        <color theme="1"/>
        <rFont val="Calibri"/>
        <family val="2"/>
        <scheme val="minor"/>
      </rPr>
      <t xml:space="preserve">worksheet, in accordance with the Town's </t>
    </r>
    <r>
      <rPr>
        <i/>
        <sz val="11"/>
        <color theme="1"/>
        <rFont val="Calibri"/>
        <family val="2"/>
        <scheme val="minor"/>
      </rPr>
      <t>Financial Policy</t>
    </r>
  </si>
  <si>
    <r>
      <t xml:space="preserve">   - </t>
    </r>
    <r>
      <rPr>
        <i/>
        <sz val="11"/>
        <color theme="1"/>
        <rFont val="Calibri"/>
        <family val="2"/>
        <scheme val="minor"/>
      </rPr>
      <t>Total Real and Personal Property</t>
    </r>
    <r>
      <rPr>
        <sz val="11"/>
        <color theme="1"/>
        <rFont val="Calibri"/>
        <family val="2"/>
        <scheme val="minor"/>
      </rPr>
      <t xml:space="preserve"> parcel count and assessed value for all the Town's taxable parcels from FY2011 - FY2022 (from Town Assessor)</t>
    </r>
  </si>
  <si>
    <r>
      <t xml:space="preserve">   - </t>
    </r>
    <r>
      <rPr>
        <i/>
        <sz val="11"/>
        <color theme="1"/>
        <rFont val="Calibri"/>
        <family val="2"/>
        <scheme val="minor"/>
      </rPr>
      <t>Excluded Debt Borrowing Parameters</t>
    </r>
    <r>
      <rPr>
        <sz val="11"/>
        <color theme="1"/>
        <rFont val="Calibri"/>
        <family val="2"/>
        <scheme val="minor"/>
      </rPr>
      <t xml:space="preserve">:  </t>
    </r>
    <r>
      <rPr>
        <i/>
        <sz val="11"/>
        <color theme="1"/>
        <rFont val="Calibri"/>
        <family val="2"/>
        <scheme val="minor"/>
      </rPr>
      <t>Level-Principal Term</t>
    </r>
    <r>
      <rPr>
        <sz val="11"/>
        <color theme="1"/>
        <rFont val="Calibri"/>
        <family val="2"/>
        <scheme val="minor"/>
      </rPr>
      <t xml:space="preserve"> or </t>
    </r>
    <r>
      <rPr>
        <i/>
        <sz val="11"/>
        <color theme="1"/>
        <rFont val="Calibri"/>
        <family val="2"/>
        <scheme val="minor"/>
      </rPr>
      <t>Level-Payment Term</t>
    </r>
    <r>
      <rPr>
        <sz val="11"/>
        <color theme="1"/>
        <rFont val="Calibri"/>
        <family val="2"/>
        <scheme val="minor"/>
      </rPr>
      <t xml:space="preserve"> for any fiscal year on the </t>
    </r>
    <r>
      <rPr>
        <i/>
        <sz val="11"/>
        <color theme="1"/>
        <rFont val="Calibri"/>
        <family val="2"/>
        <scheme val="minor"/>
      </rPr>
      <t>Dashboard</t>
    </r>
    <r>
      <rPr>
        <sz val="11"/>
        <color theme="1"/>
        <rFont val="Calibri"/>
        <family val="2"/>
        <scheme val="minor"/>
      </rPr>
      <t xml:space="preserve"> worksheet</t>
    </r>
  </si>
  <si>
    <r>
      <t xml:space="preserve">   - The </t>
    </r>
    <r>
      <rPr>
        <i/>
        <sz val="11"/>
        <color theme="1"/>
        <rFont val="Calibri"/>
        <family val="2"/>
        <scheme val="minor"/>
      </rPr>
      <t>Model's</t>
    </r>
    <r>
      <rPr>
        <sz val="11"/>
        <color theme="1"/>
        <rFont val="Calibri"/>
        <family val="2"/>
        <scheme val="minor"/>
      </rPr>
      <t xml:space="preserve"> twenty supporting Excel worksheets for each year, </t>
    </r>
    <r>
      <rPr>
        <i/>
        <sz val="11"/>
        <color theme="1"/>
        <rFont val="Calibri"/>
        <family val="2"/>
        <scheme val="minor"/>
      </rPr>
      <t>FYnn Level-Principal</t>
    </r>
    <r>
      <rPr>
        <sz val="11"/>
        <color theme="1"/>
        <rFont val="Calibri"/>
        <family val="2"/>
        <scheme val="minor"/>
      </rPr>
      <t xml:space="preserve"> and </t>
    </r>
    <r>
      <rPr>
        <i/>
        <sz val="11"/>
        <color theme="1"/>
        <rFont val="Calibri"/>
        <family val="2"/>
        <scheme val="minor"/>
      </rPr>
      <t>FYnn Level-Payment</t>
    </r>
    <r>
      <rPr>
        <sz val="11"/>
        <color theme="1"/>
        <rFont val="Calibri"/>
        <family val="2"/>
        <scheme val="minor"/>
      </rPr>
      <t xml:space="preserve">, reflect only </t>
    </r>
    <r>
      <rPr>
        <i/>
        <u/>
        <sz val="11"/>
        <rFont val="Calibri"/>
        <family val="2"/>
        <scheme val="minor"/>
      </rPr>
      <t>new</t>
    </r>
    <r>
      <rPr>
        <sz val="11"/>
        <color theme="1"/>
        <rFont val="Calibri"/>
        <family val="2"/>
        <scheme val="minor"/>
      </rPr>
      <t xml:space="preserve"> excluded debt -- not existing excluded debt accounted for in the</t>
    </r>
    <r>
      <rPr>
        <i/>
        <sz val="11"/>
        <color theme="1"/>
        <rFont val="Calibri"/>
        <family val="2"/>
        <scheme val="minor"/>
      </rPr>
      <t xml:space="preserve"> Fifteen-Year Debt Schedule</t>
    </r>
  </si>
  <si>
    <r>
      <t xml:space="preserve">   - Each fiscal year's new excluded debt service costs over the user-entered term are calculated in the corresponding Excel worksheet, </t>
    </r>
    <r>
      <rPr>
        <i/>
        <sz val="11"/>
        <color theme="1"/>
        <rFont val="Calibri"/>
        <family val="2"/>
        <scheme val="minor"/>
      </rPr>
      <t>e.g.</t>
    </r>
    <r>
      <rPr>
        <sz val="11"/>
        <color theme="1"/>
        <rFont val="Calibri"/>
        <family val="2"/>
        <scheme val="minor"/>
      </rPr>
      <t xml:space="preserve">, new FY 2023 level-payment debt service is calculated in </t>
    </r>
    <r>
      <rPr>
        <i/>
        <sz val="11"/>
        <color theme="1"/>
        <rFont val="Calibri"/>
        <family val="2"/>
        <scheme val="minor"/>
      </rPr>
      <t>FY23 Level-Payment</t>
    </r>
  </si>
  <si>
    <r>
      <t xml:space="preserve">On the </t>
    </r>
    <r>
      <rPr>
        <i/>
        <sz val="11"/>
        <color theme="1"/>
        <rFont val="Calibri"/>
        <family val="2"/>
        <scheme val="minor"/>
      </rPr>
      <t>Model</t>
    </r>
    <r>
      <rPr>
        <sz val="11"/>
        <color theme="1"/>
        <rFont val="Calibri"/>
        <family val="2"/>
        <scheme val="minor"/>
      </rPr>
      <t xml:space="preserve"> worksheet, the </t>
    </r>
    <r>
      <rPr>
        <i/>
        <sz val="11"/>
        <color theme="1"/>
        <rFont val="Calibri"/>
        <family val="2"/>
        <scheme val="minor"/>
      </rPr>
      <t xml:space="preserve">Total Potential Tax Levy </t>
    </r>
    <r>
      <rPr>
        <sz val="11"/>
        <color theme="1"/>
        <rFont val="Calibri"/>
        <family val="2"/>
        <scheme val="minor"/>
      </rPr>
      <t xml:space="preserve">for each fiscal year is incremented by the amount of any </t>
    </r>
    <r>
      <rPr>
        <i/>
        <sz val="11"/>
        <color theme="1"/>
        <rFont val="Calibri"/>
        <family val="2"/>
        <scheme val="minor"/>
      </rPr>
      <t xml:space="preserve">FY New Capital Project Excluded Debt Service </t>
    </r>
    <r>
      <rPr>
        <sz val="11"/>
        <color theme="1"/>
        <rFont val="Calibri"/>
        <family val="2"/>
        <scheme val="minor"/>
      </rPr>
      <t>and/or</t>
    </r>
    <r>
      <rPr>
        <i/>
        <sz val="11"/>
        <color theme="1"/>
        <rFont val="Calibri"/>
        <family val="2"/>
        <scheme val="minor"/>
      </rPr>
      <t xml:space="preserve"> Operating Override Tax Levy Increase</t>
    </r>
  </si>
  <si>
    <r>
      <rPr>
        <i/>
        <sz val="11"/>
        <color rgb="FFFF0000"/>
        <rFont val="Calibri"/>
        <family val="2"/>
        <scheme val="minor"/>
      </rPr>
      <t>Base FY Property Tax</t>
    </r>
    <r>
      <rPr>
        <i/>
        <sz val="11"/>
        <color theme="1"/>
        <rFont val="Calibri"/>
        <family val="2"/>
        <scheme val="minor"/>
      </rPr>
      <t xml:space="preserve">:  Taxpayer Average FY Property Tax with only Prop. 2.5 Increase and CPA Surcharge </t>
    </r>
    <r>
      <rPr>
        <sz val="11"/>
        <color theme="1"/>
        <rFont val="Calibri"/>
        <family val="2"/>
        <scheme val="minor"/>
      </rPr>
      <t>for 10 years and two 5-year halves, with associated</t>
    </r>
    <r>
      <rPr>
        <i/>
        <sz val="11"/>
        <color theme="1"/>
        <rFont val="Calibri"/>
        <family val="2"/>
        <scheme val="minor"/>
      </rPr>
      <t xml:space="preserve"> Annual Averages</t>
    </r>
  </si>
  <si>
    <t>10-Year Projections</t>
  </si>
  <si>
    <r>
      <t>Updated Prior Year Cumulative Surplus/</t>
    </r>
    <r>
      <rPr>
        <i/>
        <sz val="11"/>
        <color rgb="FFFF0000"/>
        <rFont val="Calibri"/>
        <family val="2"/>
        <scheme val="minor"/>
      </rPr>
      <t>(Deficit)</t>
    </r>
  </si>
  <si>
    <r>
      <t>Updated Current Year Surplus/</t>
    </r>
    <r>
      <rPr>
        <i/>
        <sz val="11"/>
        <color rgb="FFFF0000"/>
        <rFont val="Calibri"/>
        <family val="2"/>
        <scheme val="minor"/>
      </rPr>
      <t>(Deficit)</t>
    </r>
  </si>
  <si>
    <r>
      <t>Updated Cumulative Surplus/</t>
    </r>
    <r>
      <rPr>
        <i/>
        <sz val="11"/>
        <color rgb="FFFF0000"/>
        <rFont val="Calibri"/>
        <family val="2"/>
        <scheme val="minor"/>
      </rPr>
      <t>(Deficit)</t>
    </r>
  </si>
  <si>
    <t>Rough Estimate of Remaining New Excluded Debt Service Property Tax Impact</t>
  </si>
  <si>
    <t>Excluded Debt Borrowing Term in Years</t>
  </si>
  <si>
    <t>Existing FY Net Excluded Debt Service</t>
  </si>
  <si>
    <t>Year-over-Year % Change in Existing FY Net Excluded Debt Service</t>
  </si>
  <si>
    <t>Assessed Value Utilized</t>
  </si>
  <si>
    <t>South Shore Country Club Pool</t>
  </si>
  <si>
    <t>Town Wharf - Harbor Improvements</t>
  </si>
  <si>
    <t>Senior Center Renovations</t>
  </si>
  <si>
    <t>Foster Elementary School</t>
  </si>
  <si>
    <t xml:space="preserve">   Fund Balance</t>
  </si>
  <si>
    <t xml:space="preserve">   Federal Funds (ARPA)</t>
  </si>
  <si>
    <t>SBTF Forecast 1.25.2022</t>
  </si>
  <si>
    <t>Median Total Property Assessed Valuation</t>
  </si>
  <si>
    <r>
      <rPr>
        <i/>
        <sz val="11"/>
        <color theme="1"/>
        <rFont val="Calibri"/>
        <family val="2"/>
        <scheme val="minor"/>
      </rPr>
      <t>Property Tax Levy</t>
    </r>
    <r>
      <rPr>
        <sz val="11"/>
        <color theme="1"/>
        <rFont val="Calibri"/>
        <family val="2"/>
        <scheme val="minor"/>
      </rPr>
      <t xml:space="preserve"> amounts on the </t>
    </r>
    <r>
      <rPr>
        <i/>
        <sz val="11"/>
        <color theme="1"/>
        <rFont val="Calibri"/>
        <family val="2"/>
        <scheme val="minor"/>
      </rPr>
      <t xml:space="preserve">Model </t>
    </r>
    <r>
      <rPr>
        <sz val="11"/>
        <color theme="1"/>
        <rFont val="Calibri"/>
        <family val="2"/>
        <scheme val="minor"/>
      </rPr>
      <t xml:space="preserve">worksheet do not include any additional sources of revenue to those specified in the </t>
    </r>
    <r>
      <rPr>
        <i/>
        <sz val="11"/>
        <color theme="1"/>
        <rFont val="Calibri"/>
        <family val="2"/>
        <scheme val="minor"/>
      </rPr>
      <t>Five-Year Forecast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Tax Levy</t>
    </r>
    <r>
      <rPr>
        <sz val="11"/>
        <color theme="1"/>
        <rFont val="Calibri"/>
        <family val="2"/>
        <scheme val="minor"/>
      </rPr>
      <t xml:space="preserve">, </t>
    </r>
    <r>
      <rPr>
        <i/>
        <sz val="11"/>
        <color theme="1"/>
        <rFont val="Calibri"/>
        <family val="2"/>
        <scheme val="minor"/>
      </rPr>
      <t>e.g.,</t>
    </r>
    <r>
      <rPr>
        <sz val="11"/>
        <color theme="1"/>
        <rFont val="Calibri"/>
        <family val="2"/>
        <scheme val="minor"/>
      </rPr>
      <t xml:space="preserve"> excess Unassigned Fund Balance;</t>
    </r>
  </si>
  <si>
    <t xml:space="preserve">      - One of three numeric values to select a property-assessed-valuation amount for property-tax-calculation purposes: </t>
  </si>
  <si>
    <r>
      <t xml:space="preserve">         -  '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' for the Town's Median Assessed Valuation figure; '</t>
    </r>
    <r>
      <rPr>
        <b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' for the Town's Average Assessed Valuation figure; or, a </t>
    </r>
    <r>
      <rPr>
        <b/>
        <sz val="11"/>
        <color theme="1"/>
        <rFont val="Calibri"/>
        <family val="2"/>
        <scheme val="minor"/>
      </rPr>
      <t>specific property's assessed valuation figure</t>
    </r>
  </si>
  <si>
    <r>
      <t xml:space="preserve">The three </t>
    </r>
    <r>
      <rPr>
        <i/>
        <sz val="11"/>
        <color theme="1"/>
        <rFont val="Calibri"/>
        <family val="2"/>
        <scheme val="minor"/>
      </rPr>
      <t xml:space="preserve">Tax Rate/$1000 Assessed </t>
    </r>
    <r>
      <rPr>
        <sz val="11"/>
        <color theme="1"/>
        <rFont val="Calibri"/>
        <family val="2"/>
        <scheme val="minor"/>
      </rPr>
      <t xml:space="preserve">values are applied to the </t>
    </r>
    <r>
      <rPr>
        <i/>
        <sz val="11"/>
        <color theme="1"/>
        <rFont val="Calibri"/>
        <family val="2"/>
        <scheme val="minor"/>
      </rPr>
      <t xml:space="preserve">Selected Total Property Assessed Valuation </t>
    </r>
    <r>
      <rPr>
        <sz val="11"/>
        <color theme="1"/>
        <rFont val="Calibri"/>
        <family val="2"/>
        <scheme val="minor"/>
      </rPr>
      <t xml:space="preserve">in accordance with the user-selected value on the </t>
    </r>
    <r>
      <rPr>
        <i/>
        <sz val="11"/>
        <color theme="1"/>
        <rFont val="Calibri"/>
        <family val="2"/>
        <scheme val="minor"/>
      </rPr>
      <t>Dashboard</t>
    </r>
    <r>
      <rPr>
        <sz val="11"/>
        <color theme="1"/>
        <rFont val="Calibri"/>
        <family val="2"/>
        <scheme val="minor"/>
      </rPr>
      <t xml:space="preserve"> worksheet </t>
    </r>
  </si>
  <si>
    <r>
      <t xml:space="preserve">      - The growth of </t>
    </r>
    <r>
      <rPr>
        <i/>
        <sz val="11"/>
        <color theme="1"/>
        <rFont val="Calibri"/>
        <family val="2"/>
        <scheme val="minor"/>
      </rPr>
      <t xml:space="preserve">Total Real and Personal Property </t>
    </r>
    <r>
      <rPr>
        <sz val="11"/>
        <color theme="1"/>
        <rFont val="Calibri"/>
        <family val="2"/>
        <scheme val="minor"/>
      </rPr>
      <t>assessed value</t>
    </r>
    <r>
      <rPr>
        <i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and</t>
    </r>
    <r>
      <rPr>
        <i/>
        <sz val="11"/>
        <color theme="1"/>
        <rFont val="Calibri"/>
        <family val="2"/>
        <scheme val="minor"/>
      </rPr>
      <t xml:space="preserve"> Selected Total Property Assessed Valuation</t>
    </r>
    <r>
      <rPr>
        <sz val="11"/>
        <color theme="1"/>
        <rFont val="Calibri"/>
        <family val="2"/>
        <scheme val="minor"/>
      </rPr>
      <t xml:space="preserve"> on the </t>
    </r>
    <r>
      <rPr>
        <i/>
        <sz val="11"/>
        <color theme="1"/>
        <rFont val="Calibri"/>
        <family val="2"/>
        <scheme val="minor"/>
      </rPr>
      <t>Model</t>
    </r>
    <r>
      <rPr>
        <sz val="11"/>
        <color theme="1"/>
        <rFont val="Calibri"/>
        <family val="2"/>
        <scheme val="minor"/>
      </rPr>
      <t xml:space="preserve"> worksheet is calculated using Town Assessor-provided data</t>
    </r>
  </si>
  <si>
    <r>
      <rPr>
        <b/>
        <sz val="12"/>
        <color rgb="FFFF0000"/>
        <rFont val="Calibri"/>
        <family val="2"/>
      </rPr>
      <t>Base FY Property Tax</t>
    </r>
    <r>
      <rPr>
        <b/>
        <sz val="12"/>
        <color indexed="8"/>
        <rFont val="Calibri"/>
        <family val="2"/>
      </rPr>
      <t>:  Taxpayer FY Property Tax with only Prop. 2.5 Increase and CPA Surcharge</t>
    </r>
  </si>
  <si>
    <t xml:space="preserve">Enter one of three values (without quotes): '1' for Town's median Valuation; '2' for Town's Avg Valuation; or a specific property's valuation </t>
  </si>
  <si>
    <t>Average Total Property Assessed Valuation</t>
  </si>
  <si>
    <t>Selected Total Property Assessed Valuation</t>
  </si>
  <si>
    <t>Selected Property Tax with New Excluded Debt Service</t>
  </si>
  <si>
    <t>Selected Property Tax w/o New Excluded Debt Service</t>
  </si>
  <si>
    <t>Debt Service and/or Operating Override Impact on Property Tax by Fiscal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</si>
</sst>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6" formatCode="&quot;$&quot;#,##0_);[Red]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%"/>
    <numFmt numFmtId="166" formatCode="0_);[Red]\(0\)"/>
    <numFmt numFmtId="167" formatCode="&quot;$&quot;#,##0.00"/>
    <numFmt numFmtId="168" formatCode="0.0000"/>
    <numFmt numFmtId="169" formatCode="0_);\(0\)"/>
    <numFmt numFmtId="170" formatCode="dd\-mmm\-yy"/>
    <numFmt numFmtId="171" formatCode="#,##0.00000"/>
    <numFmt numFmtId="172" formatCode="0.000%"/>
    <numFmt numFmtId="173" formatCode="0.00000%"/>
    <numFmt numFmtId="174" formatCode="#,##0.000"/>
    <numFmt numFmtId="175" formatCode="0.000000%"/>
    <numFmt numFmtId="176" formatCode="mm/dd/yyyy"/>
    <numFmt numFmtId="177" formatCode="&quot;$&quot;#,##0.0000"/>
    <numFmt numFmtId="178" formatCode="&quot;$&quot;#,##0;[Red]&quot;$&quot;#,##0"/>
    <numFmt numFmtId="179" formatCode="0.0000%"/>
    <numFmt numFmtId="180" formatCode="m/d/yy;@"/>
    <numFmt numFmtId="181" formatCode="#,##0.000000000000000"/>
    <numFmt numFmtId="182" formatCode="0;[Red]0"/>
  </numFmts>
  <fonts count="93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b/>
      <sz val="12"/>
      <name val="SWISS"/>
    </font>
    <font>
      <sz val="12"/>
      <name val="SWISS"/>
    </font>
    <font>
      <u/>
      <sz val="12"/>
      <name val="SWISS"/>
    </font>
    <font>
      <b/>
      <u/>
      <sz val="12"/>
      <name val="SWISS"/>
    </font>
    <font>
      <b/>
      <sz val="11"/>
      <color theme="1"/>
      <name val="Calibri"/>
      <family val="2"/>
      <scheme val="minor"/>
    </font>
    <font>
      <sz val="12"/>
      <name val="Calibri"/>
      <family val="2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 (Body)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6"/>
      <color indexed="8"/>
      <name val="Calibri"/>
      <family val="2"/>
    </font>
    <font>
      <b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name val="Arial"/>
      <family val="2"/>
    </font>
    <font>
      <b/>
      <u/>
      <sz val="14"/>
      <name val="SWISS"/>
    </font>
    <font>
      <b/>
      <sz val="32"/>
      <name val="SWISS"/>
    </font>
    <font>
      <b/>
      <sz val="14"/>
      <name val="SWISS"/>
    </font>
    <font>
      <b/>
      <sz val="12"/>
      <color indexed="10"/>
      <name val="SWISS"/>
    </font>
    <font>
      <sz val="12"/>
      <color rgb="FFFF0000"/>
      <name val="SWISS"/>
    </font>
    <font>
      <b/>
      <sz val="12"/>
      <color rgb="FFFF0000"/>
      <name val="SWISS"/>
    </font>
    <font>
      <b/>
      <sz val="12"/>
      <color theme="9" tint="-0.249977111117893"/>
      <name val="SWISS"/>
    </font>
    <font>
      <b/>
      <sz val="12"/>
      <color indexed="14"/>
      <name val="SWISS"/>
    </font>
    <font>
      <i/>
      <sz val="12"/>
      <name val="SWISS"/>
    </font>
    <font>
      <b/>
      <sz val="12"/>
      <color indexed="17"/>
      <name val="SWISS"/>
    </font>
    <font>
      <b/>
      <sz val="12"/>
      <color rgb="FF00B050"/>
      <name val="SWISS"/>
    </font>
    <font>
      <sz val="12"/>
      <color indexed="10"/>
      <name val="SWISS"/>
    </font>
    <font>
      <sz val="12"/>
      <color indexed="13"/>
      <name val="SWISS"/>
    </font>
    <font>
      <b/>
      <sz val="12"/>
      <color indexed="13"/>
      <name val="SWISS"/>
    </font>
    <font>
      <b/>
      <sz val="12"/>
      <color rgb="FF0070C0"/>
      <name val="SWISS"/>
    </font>
    <font>
      <sz val="12"/>
      <name val="Arial MT"/>
    </font>
    <font>
      <sz val="11"/>
      <color theme="5" tint="0.39997558519241921"/>
      <name val="Calibri"/>
      <family val="2"/>
      <scheme val="minor"/>
    </font>
    <font>
      <b/>
      <sz val="12"/>
      <color rgb="FFFF0000"/>
      <name val="Calibri"/>
      <family val="2"/>
    </font>
    <font>
      <i/>
      <sz val="11"/>
      <color theme="1"/>
      <name val="Calibri"/>
      <family val="2"/>
      <scheme val="minor"/>
    </font>
    <font>
      <i/>
      <u/>
      <sz val="11"/>
      <name val="Calibri"/>
      <family val="2"/>
      <scheme val="minor"/>
    </font>
    <font>
      <b/>
      <sz val="14"/>
      <color indexed="8"/>
      <name val="Calibri"/>
      <family val="2"/>
    </font>
    <font>
      <b/>
      <sz val="12"/>
      <color theme="1"/>
      <name val="Calibri (Body)"/>
    </font>
    <font>
      <sz val="12"/>
      <color rgb="FFC00000"/>
      <name val="SWISS"/>
    </font>
    <font>
      <b/>
      <sz val="12"/>
      <color rgb="FFC00000"/>
      <name val="SWISS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u/>
      <sz val="11"/>
      <color theme="1"/>
      <name val="Arial"/>
      <family val="2"/>
    </font>
    <font>
      <b/>
      <u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rgb="FF0070C0"/>
      <name val="Arial"/>
      <family val="2"/>
    </font>
    <font>
      <b/>
      <sz val="11"/>
      <color rgb="FFFF0000"/>
      <name val="Arial"/>
      <family val="2"/>
    </font>
    <font>
      <b/>
      <sz val="12"/>
      <color rgb="FFFF0000"/>
      <name val="Calibri"/>
      <family val="2"/>
      <scheme val="minor"/>
    </font>
    <font>
      <b/>
      <sz val="11"/>
      <name val="Arial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sz val="9"/>
      <color indexed="81"/>
      <name val="Tahoma"/>
      <family val="2"/>
    </font>
    <font>
      <b/>
      <u/>
      <sz val="11"/>
      <name val="Arial"/>
      <family val="2"/>
    </font>
    <font>
      <b/>
      <sz val="9"/>
      <color indexed="81"/>
      <name val="Tahoma"/>
      <family val="2"/>
    </font>
    <font>
      <sz val="11"/>
      <color rgb="FFFF0000"/>
      <name val="Arial"/>
      <family val="2"/>
    </font>
    <font>
      <i/>
      <sz val="11"/>
      <color rgb="FFFF0000"/>
      <name val="Arial"/>
      <family val="2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8"/>
      <name val="Arial"/>
      <family val="2"/>
    </font>
    <font>
      <sz val="10"/>
      <color indexed="9"/>
      <name val="Arial"/>
      <family val="2"/>
    </font>
    <font>
      <u/>
      <sz val="10"/>
      <color indexed="12"/>
      <name val="Calibri"/>
      <family val="2"/>
      <scheme val="minor"/>
    </font>
    <font>
      <u/>
      <sz val="8"/>
      <color indexed="12"/>
      <name val="Calibri"/>
      <family val="2"/>
      <scheme val="minor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1"/>
      <color indexed="10"/>
      <name val="Arial"/>
      <family val="2"/>
    </font>
    <font>
      <sz val="11"/>
      <color indexed="10"/>
      <name val="Arial"/>
      <family val="2"/>
    </font>
    <font>
      <sz val="6"/>
      <color indexed="9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i/>
      <sz val="9"/>
      <color indexed="81"/>
      <name val="Tahoma"/>
      <family val="2"/>
    </font>
    <font>
      <b/>
      <sz val="12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Swiss"/>
    </font>
    <font>
      <b/>
      <sz val="14"/>
      <name val="Arial"/>
      <family val="2"/>
    </font>
    <font>
      <sz val="14"/>
      <name val="Arial"/>
      <family val="2"/>
    </font>
    <font>
      <b/>
      <sz val="11"/>
      <color indexed="8"/>
      <name val="Calibri"/>
      <family val="2"/>
    </font>
    <font>
      <sz val="14"/>
      <color indexed="8"/>
      <name val="Calibri"/>
      <family val="2"/>
    </font>
    <font>
      <b/>
      <u/>
      <sz val="11"/>
      <color indexed="8"/>
      <name val="Calibri"/>
      <family val="2"/>
    </font>
    <font>
      <b/>
      <sz val="16"/>
      <color rgb="FFFF0000"/>
      <name val="Calibri"/>
      <family val="2"/>
    </font>
    <font>
      <b/>
      <i/>
      <sz val="16"/>
      <color rgb="FFFF0000"/>
      <name val="Calibri"/>
      <family val="2"/>
    </font>
    <font>
      <i/>
      <sz val="11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9FF66"/>
        <bgColor indexed="64"/>
      </patternFill>
    </fill>
    <fill>
      <patternFill patternType="lightGrid"/>
    </fill>
  </fills>
  <borders count="14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DashDotDot">
        <color auto="1"/>
      </left>
      <right/>
      <top/>
      <bottom/>
      <diagonal/>
    </border>
    <border>
      <left style="mediumDashDotDot">
        <color auto="1"/>
      </left>
      <right/>
      <top/>
      <bottom style="mediumDashDotDot">
        <color auto="1"/>
      </bottom>
      <diagonal/>
    </border>
    <border>
      <left/>
      <right/>
      <top/>
      <bottom style="mediumDashDotDot">
        <color auto="1"/>
      </bottom>
      <diagonal/>
    </border>
    <border>
      <left style="thick">
        <color auto="1"/>
      </left>
      <right style="medium">
        <color auto="1"/>
      </right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double">
        <color indexed="8"/>
      </top>
      <bottom/>
      <diagonal/>
    </border>
    <border>
      <left style="thick">
        <color indexed="64"/>
      </left>
      <right style="thick">
        <color indexed="64"/>
      </right>
      <top style="double">
        <color indexed="8"/>
      </top>
      <bottom/>
      <diagonal/>
    </border>
    <border>
      <left/>
      <right/>
      <top/>
      <bottom style="double">
        <color indexed="8"/>
      </bottom>
      <diagonal/>
    </border>
    <border>
      <left style="thick">
        <color indexed="64"/>
      </left>
      <right style="thick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/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ck">
        <color auto="1"/>
      </right>
      <top style="medium">
        <color auto="1"/>
      </top>
      <bottom/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 style="thick">
        <color auto="1"/>
      </right>
      <top/>
      <bottom style="medium">
        <color auto="1"/>
      </bottom>
      <diagonal/>
    </border>
    <border>
      <left style="mediumDashDotDot">
        <color auto="1"/>
      </left>
      <right style="mediumDashDotDot">
        <color auto="1"/>
      </right>
      <top/>
      <bottom/>
      <diagonal/>
    </border>
    <border>
      <left style="mediumDashDotDot">
        <color auto="1"/>
      </left>
      <right style="mediumDashDotDot">
        <color auto="1"/>
      </right>
      <top/>
      <bottom style="mediumDashDotDot">
        <color auto="1"/>
      </bottom>
      <diagonal/>
    </border>
    <border>
      <left style="mediumDashDotDot">
        <color auto="1"/>
      </left>
      <right/>
      <top style="mediumDashDotDot">
        <color auto="1"/>
      </top>
      <bottom style="mediumDashed">
        <color auto="1"/>
      </bottom>
      <diagonal/>
    </border>
    <border>
      <left/>
      <right/>
      <top style="mediumDashDotDot">
        <color auto="1"/>
      </top>
      <bottom style="mediumDashed">
        <color auto="1"/>
      </bottom>
      <diagonal/>
    </border>
    <border>
      <left/>
      <right style="mediumDashDotDot">
        <color auto="1"/>
      </right>
      <top style="mediumDashDotDot">
        <color auto="1"/>
      </top>
      <bottom style="mediumDashed">
        <color auto="1"/>
      </bottom>
      <diagonal/>
    </border>
    <border>
      <left style="mediumDashDotDot">
        <color auto="1"/>
      </left>
      <right style="mediumDashDotDot">
        <color auto="1"/>
      </right>
      <top style="mediumDashDotDot">
        <color auto="1"/>
      </top>
      <bottom style="mediumDashed">
        <color auto="1"/>
      </bottom>
      <diagonal/>
    </border>
    <border>
      <left style="mediumDashDotDot">
        <color auto="1"/>
      </left>
      <right/>
      <top style="mediumDashed">
        <color auto="1"/>
      </top>
      <bottom style="mediumDashDotDot">
        <color auto="1"/>
      </bottom>
      <diagonal/>
    </border>
    <border>
      <left/>
      <right/>
      <top style="mediumDashed">
        <color auto="1"/>
      </top>
      <bottom style="mediumDashDotDot">
        <color auto="1"/>
      </bottom>
      <diagonal/>
    </border>
    <border>
      <left/>
      <right style="mediumDashDotDot">
        <color auto="1"/>
      </right>
      <top style="mediumDashed">
        <color auto="1"/>
      </top>
      <bottom style="mediumDashDotDot">
        <color auto="1"/>
      </bottom>
      <diagonal/>
    </border>
    <border>
      <left style="mediumDashDotDot">
        <color auto="1"/>
      </left>
      <right style="mediumDashDotDot">
        <color auto="1"/>
      </right>
      <top style="mediumDashed">
        <color auto="1"/>
      </top>
      <bottom style="mediumDashDotDot">
        <color auto="1"/>
      </bottom>
      <diagonal/>
    </border>
    <border>
      <left style="thick">
        <color rgb="FFFF0000"/>
      </left>
      <right style="thick">
        <color auto="1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ck">
        <color rgb="FFFF0000"/>
      </left>
      <right style="thick">
        <color rgb="FFFF0000"/>
      </right>
      <top style="medium">
        <color auto="1"/>
      </top>
      <bottom style="thick">
        <color rgb="FFFF0000"/>
      </bottom>
      <diagonal/>
    </border>
    <border>
      <left/>
      <right/>
      <top style="thin">
        <color indexed="8"/>
      </top>
      <bottom/>
      <diagonal/>
    </border>
    <border>
      <left style="thick">
        <color indexed="64"/>
      </left>
      <right style="thick">
        <color indexed="64"/>
      </right>
      <top style="thin">
        <color indexed="8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8"/>
      </bottom>
      <diagonal/>
    </border>
    <border>
      <left style="thick">
        <color indexed="8"/>
      </left>
      <right style="thick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double">
        <color indexed="8"/>
      </top>
      <bottom style="thick">
        <color indexed="64"/>
      </bottom>
      <diagonal/>
    </border>
    <border>
      <left/>
      <right/>
      <top style="thin">
        <color auto="1"/>
      </top>
      <bottom/>
      <diagonal/>
    </border>
    <border>
      <left style="thick">
        <color auto="1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ck">
        <color indexed="64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4"/>
      </bottom>
      <diagonal/>
    </border>
    <border>
      <left/>
      <right/>
      <top/>
      <bottom style="thin">
        <color indexed="53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/>
      <bottom style="medium">
        <color theme="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/>
      <bottom/>
      <diagonal/>
    </border>
    <border>
      <left/>
      <right/>
      <top style="thin">
        <color indexed="8"/>
      </top>
      <bottom/>
      <diagonal/>
    </border>
    <border>
      <left/>
      <right style="mediumDashDotDot">
        <color auto="1"/>
      </right>
      <top/>
      <bottom/>
      <diagonal/>
    </border>
    <border>
      <left style="mediumDashDotDot">
        <color auto="1"/>
      </left>
      <right style="mediumDashDotDot">
        <color auto="1"/>
      </right>
      <top style="mediumDashDotDot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rgb="FFFF0000"/>
      </bottom>
      <diagonal/>
    </border>
    <border>
      <left style="thick">
        <color rgb="FFFF0000"/>
      </left>
      <right style="thick">
        <color rgb="FFFF0000"/>
      </right>
      <top style="thin">
        <color rgb="FFFF0000"/>
      </top>
      <bottom style="thin">
        <color rgb="FFFF0000"/>
      </bottom>
      <diagonal/>
    </border>
    <border>
      <left style="thick">
        <color rgb="FFFF0000"/>
      </left>
      <right style="thick">
        <color rgb="FFFF0000"/>
      </right>
      <top style="thin">
        <color rgb="FFFF0000"/>
      </top>
      <bottom style="thick">
        <color rgb="FFFF0000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/>
      <diagonal/>
    </border>
    <border>
      <left style="thick">
        <color rgb="FFFF0000"/>
      </left>
      <right style="thin">
        <color rgb="FFFF0000"/>
      </right>
      <top style="thick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ck">
        <color rgb="FFFF0000"/>
      </top>
      <bottom style="thin">
        <color rgb="FFFF0000"/>
      </bottom>
      <diagonal/>
    </border>
    <border>
      <left style="thin">
        <color rgb="FFFF0000"/>
      </left>
      <right style="thick">
        <color rgb="FFFF0000"/>
      </right>
      <top style="thick">
        <color rgb="FFFF0000"/>
      </top>
      <bottom style="thin">
        <color rgb="FFFF0000"/>
      </bottom>
      <diagonal/>
    </border>
    <border>
      <left style="thick">
        <color rgb="FFFF0000"/>
      </left>
      <right style="thin">
        <color rgb="FFFF0000"/>
      </right>
      <top style="thin">
        <color rgb="FFFF0000"/>
      </top>
      <bottom style="thick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ck">
        <color rgb="FFFF0000"/>
      </bottom>
      <diagonal/>
    </border>
    <border>
      <left style="thin">
        <color rgb="FFFF0000"/>
      </left>
      <right style="thick">
        <color rgb="FFFF0000"/>
      </right>
      <top style="thin">
        <color rgb="FFFF0000"/>
      </top>
      <bottom style="thick">
        <color rgb="FFFF0000"/>
      </bottom>
      <diagonal/>
    </border>
    <border>
      <left style="thick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ck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/>
      <bottom/>
      <diagonal/>
    </border>
    <border>
      <left style="thin">
        <color rgb="FFFF0000"/>
      </left>
      <right style="thick">
        <color rgb="FFFF0000"/>
      </right>
      <top/>
      <bottom/>
      <diagonal/>
    </border>
    <border>
      <left/>
      <right style="thick">
        <color rgb="FFFF0000"/>
      </right>
      <top/>
      <bottom/>
      <diagonal/>
    </border>
    <border>
      <left/>
      <right style="thin">
        <color rgb="FFFF0000"/>
      </right>
      <top style="thick">
        <color rgb="FFFF0000"/>
      </top>
      <bottom style="thin">
        <color rgb="FFFF0000"/>
      </bottom>
      <diagonal/>
    </border>
    <border>
      <left/>
      <right style="thin">
        <color rgb="FFFF0000"/>
      </right>
      <top/>
      <bottom/>
      <diagonal/>
    </border>
    <border>
      <left/>
      <right style="thin">
        <color rgb="FFFF0000"/>
      </right>
      <top style="thin">
        <color rgb="FFFF0000"/>
      </top>
      <bottom style="thick">
        <color rgb="FFFF0000"/>
      </bottom>
      <diagonal/>
    </border>
    <border>
      <left style="mediumDashDotDot">
        <color auto="1"/>
      </left>
      <right/>
      <top style="mediumDashDotDot">
        <color auto="1"/>
      </top>
      <bottom/>
      <diagonal/>
    </border>
    <border>
      <left style="thick">
        <color indexed="64"/>
      </left>
      <right style="thick">
        <color auto="1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rgb="FF00B050"/>
      </left>
      <right style="thick">
        <color rgb="FF00B050"/>
      </right>
      <top style="thick">
        <color rgb="FF00B050"/>
      </top>
      <bottom style="thick">
        <color rgb="FF00B050"/>
      </bottom>
      <diagonal/>
    </border>
    <border>
      <left style="thick">
        <color rgb="FF0070C0"/>
      </left>
      <right style="thick">
        <color rgb="FF0070C0"/>
      </right>
      <top style="medium">
        <color auto="1"/>
      </top>
      <bottom style="thick">
        <color rgb="FF0070C0"/>
      </bottom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</borders>
  <cellStyleXfs count="18">
    <xf numFmtId="0" fontId="0" fillId="0" borderId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3" fillId="0" borderId="0"/>
    <xf numFmtId="9" fontId="15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6" fillId="0" borderId="0"/>
    <xf numFmtId="0" fontId="69" fillId="0" borderId="0" applyNumberFormat="0" applyFill="0" applyBorder="0" applyAlignment="0" applyProtection="0">
      <alignment vertical="top"/>
      <protection locked="0"/>
    </xf>
    <xf numFmtId="43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0" fontId="83" fillId="0" borderId="0"/>
  </cellStyleXfs>
  <cellXfs count="763">
    <xf numFmtId="0" fontId="0" fillId="0" borderId="0" xfId="0"/>
    <xf numFmtId="0" fontId="0" fillId="0" borderId="0" xfId="0" applyFill="1"/>
    <xf numFmtId="0" fontId="12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left"/>
    </xf>
    <xf numFmtId="0" fontId="14" fillId="0" borderId="0" xfId="0" applyFont="1"/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3" fontId="9" fillId="0" borderId="0" xfId="7" applyNumberFormat="1" applyFont="1"/>
    <xf numFmtId="3" fontId="8" fillId="0" borderId="0" xfId="7" applyNumberFormat="1" applyFont="1"/>
    <xf numFmtId="3" fontId="9" fillId="0" borderId="0" xfId="7" applyNumberFormat="1" applyFont="1" applyAlignment="1">
      <alignment horizontal="right"/>
    </xf>
    <xf numFmtId="166" fontId="9" fillId="0" borderId="0" xfId="7" applyNumberFormat="1" applyFont="1"/>
    <xf numFmtId="166" fontId="9" fillId="0" borderId="0" xfId="7" applyNumberFormat="1" applyFont="1" applyAlignment="1">
      <alignment horizontal="right"/>
    </xf>
    <xf numFmtId="164" fontId="9" fillId="0" borderId="0" xfId="7" applyNumberFormat="1" applyFont="1"/>
    <xf numFmtId="164" fontId="9" fillId="0" borderId="27" xfId="7" applyNumberFormat="1" applyFont="1" applyBorder="1"/>
    <xf numFmtId="3" fontId="32" fillId="0" borderId="0" xfId="7" applyNumberFormat="1" applyFont="1"/>
    <xf numFmtId="3" fontId="38" fillId="0" borderId="0" xfId="7" applyNumberFormat="1" applyFont="1"/>
    <xf numFmtId="164" fontId="10" fillId="0" borderId="0" xfId="7" applyNumberFormat="1" applyFont="1"/>
    <xf numFmtId="0" fontId="0" fillId="0" borderId="0" xfId="0" applyProtection="1"/>
    <xf numFmtId="0" fontId="41" fillId="0" borderId="15" xfId="0" applyFont="1" applyBorder="1" applyAlignment="1" applyProtection="1">
      <alignment horizontal="left"/>
    </xf>
    <xf numFmtId="10" fontId="7" fillId="0" borderId="9" xfId="0" applyNumberFormat="1" applyFont="1" applyFill="1" applyBorder="1" applyAlignment="1" applyProtection="1">
      <alignment horizontal="center"/>
    </xf>
    <xf numFmtId="164" fontId="7" fillId="0" borderId="0" xfId="0" applyNumberFormat="1" applyFont="1" applyFill="1" applyBorder="1" applyAlignment="1" applyProtection="1">
      <alignment horizontal="left" wrapText="1"/>
    </xf>
    <xf numFmtId="0" fontId="0" fillId="0" borderId="0" xfId="0" applyBorder="1" applyProtection="1"/>
    <xf numFmtId="0" fontId="0" fillId="0" borderId="14" xfId="0" applyBorder="1" applyProtection="1"/>
    <xf numFmtId="0" fontId="6" fillId="0" borderId="13" xfId="0" applyFont="1" applyBorder="1" applyAlignment="1" applyProtection="1">
      <alignment horizontal="right" vertical="center"/>
    </xf>
    <xf numFmtId="1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8" xfId="0" applyFont="1" applyBorder="1" applyAlignment="1" applyProtection="1">
      <alignment horizontal="right" vertical="center"/>
    </xf>
    <xf numFmtId="0" fontId="6" fillId="0" borderId="13" xfId="0" applyFont="1" applyBorder="1" applyAlignment="1" applyProtection="1">
      <alignment horizontal="right"/>
    </xf>
    <xf numFmtId="10" fontId="7" fillId="0" borderId="0" xfId="0" applyNumberFormat="1" applyFont="1" applyFill="1" applyBorder="1" applyAlignment="1" applyProtection="1">
      <alignment horizontal="center"/>
    </xf>
    <xf numFmtId="0" fontId="6" fillId="0" borderId="15" xfId="0" applyFont="1" applyBorder="1" applyAlignment="1" applyProtection="1">
      <alignment horizontal="right"/>
    </xf>
    <xf numFmtId="164" fontId="6" fillId="0" borderId="0" xfId="0" applyNumberFormat="1" applyFont="1" applyFill="1" applyBorder="1" applyAlignment="1" applyProtection="1">
      <alignment horizontal="center"/>
    </xf>
    <xf numFmtId="0" fontId="6" fillId="0" borderId="0" xfId="0" applyFont="1" applyBorder="1" applyAlignment="1" applyProtection="1">
      <alignment horizontal="right" vertical="center"/>
    </xf>
    <xf numFmtId="0" fontId="1" fillId="0" borderId="0" xfId="0" applyFont="1" applyBorder="1" applyProtection="1"/>
    <xf numFmtId="165" fontId="5" fillId="0" borderId="0" xfId="8" applyNumberFormat="1" applyFont="1" applyBorder="1" applyAlignment="1" applyProtection="1">
      <alignment horizontal="center"/>
    </xf>
    <xf numFmtId="164" fontId="5" fillId="0" borderId="0" xfId="0" applyNumberFormat="1" applyFont="1" applyBorder="1" applyAlignment="1" applyProtection="1">
      <alignment horizontal="center"/>
    </xf>
    <xf numFmtId="10" fontId="12" fillId="0" borderId="0" xfId="0" applyNumberFormat="1" applyFont="1" applyBorder="1" applyAlignment="1" applyProtection="1">
      <alignment horizontal="center"/>
    </xf>
    <xf numFmtId="165" fontId="6" fillId="0" borderId="0" xfId="0" applyNumberFormat="1" applyFont="1" applyBorder="1" applyAlignment="1" applyProtection="1">
      <alignment horizontal="center" vertical="center"/>
    </xf>
    <xf numFmtId="164" fontId="12" fillId="0" borderId="0" xfId="0" applyNumberFormat="1" applyFont="1" applyBorder="1" applyAlignment="1" applyProtection="1">
      <alignment horizontal="center"/>
    </xf>
    <xf numFmtId="164" fontId="6" fillId="0" borderId="0" xfId="0" applyNumberFormat="1" applyFont="1" applyBorder="1" applyAlignment="1" applyProtection="1">
      <alignment horizontal="center" vertical="center"/>
    </xf>
    <xf numFmtId="0" fontId="14" fillId="0" borderId="41" xfId="0" applyFont="1" applyBorder="1" applyAlignment="1" applyProtection="1">
      <alignment horizontal="right"/>
    </xf>
    <xf numFmtId="1" fontId="44" fillId="0" borderId="42" xfId="0" applyNumberFormat="1" applyFont="1" applyBorder="1" applyAlignment="1" applyProtection="1">
      <alignment horizontal="center"/>
    </xf>
    <xf numFmtId="1" fontId="44" fillId="0" borderId="42" xfId="0" applyNumberFormat="1" applyFont="1" applyFill="1" applyBorder="1" applyAlignment="1" applyProtection="1">
      <alignment horizontal="center"/>
    </xf>
    <xf numFmtId="0" fontId="14" fillId="0" borderId="43" xfId="0" applyFont="1" applyBorder="1" applyAlignment="1" applyProtection="1">
      <alignment horizontal="center"/>
    </xf>
    <xf numFmtId="164" fontId="6" fillId="0" borderId="0" xfId="0" applyNumberFormat="1" applyFont="1" applyBorder="1" applyAlignment="1" applyProtection="1">
      <alignment horizontal="center"/>
    </xf>
    <xf numFmtId="164" fontId="5" fillId="0" borderId="14" xfId="0" applyNumberFormat="1" applyFont="1" applyBorder="1" applyAlignment="1" applyProtection="1">
      <alignment horizontal="center"/>
    </xf>
    <xf numFmtId="0" fontId="6" fillId="0" borderId="0" xfId="0" applyFont="1" applyBorder="1" applyAlignment="1" applyProtection="1">
      <alignment horizontal="right"/>
    </xf>
    <xf numFmtId="164" fontId="5" fillId="0" borderId="14" xfId="2" applyNumberFormat="1" applyFont="1" applyBorder="1" applyAlignment="1" applyProtection="1">
      <alignment horizontal="center"/>
    </xf>
    <xf numFmtId="0" fontId="6" fillId="0" borderId="15" xfId="0" applyFont="1" applyBorder="1" applyAlignment="1" applyProtection="1">
      <alignment horizontal="right" vertical="center"/>
    </xf>
    <xf numFmtId="164" fontId="6" fillId="0" borderId="0" xfId="0" applyNumberFormat="1" applyFont="1" applyFill="1" applyBorder="1" applyAlignment="1" applyProtection="1">
      <alignment horizontal="center" vertical="center"/>
    </xf>
    <xf numFmtId="165" fontId="6" fillId="0" borderId="0" xfId="8" applyNumberFormat="1" applyFont="1" applyFill="1" applyBorder="1" applyAlignment="1" applyProtection="1">
      <alignment horizontal="center" vertical="center"/>
    </xf>
    <xf numFmtId="165" fontId="6" fillId="0" borderId="14" xfId="8" applyNumberFormat="1" applyFont="1" applyFill="1" applyBorder="1" applyAlignment="1" applyProtection="1">
      <alignment horizontal="center" vertical="center"/>
    </xf>
    <xf numFmtId="0" fontId="6" fillId="0" borderId="15" xfId="0" applyFont="1" applyBorder="1" applyAlignment="1" applyProtection="1">
      <alignment horizontal="left"/>
    </xf>
    <xf numFmtId="10" fontId="2" fillId="0" borderId="0" xfId="0" applyNumberFormat="1" applyFont="1" applyBorder="1" applyAlignment="1" applyProtection="1">
      <alignment horizontal="center" vertical="center"/>
    </xf>
    <xf numFmtId="3" fontId="6" fillId="0" borderId="15" xfId="0" applyNumberFormat="1" applyFont="1" applyBorder="1" applyAlignment="1" applyProtection="1">
      <alignment horizontal="right"/>
    </xf>
    <xf numFmtId="164" fontId="6" fillId="0" borderId="14" xfId="0" applyNumberFormat="1" applyFont="1" applyBorder="1" applyAlignment="1" applyProtection="1">
      <alignment horizontal="center"/>
    </xf>
    <xf numFmtId="3" fontId="6" fillId="0" borderId="44" xfId="0" applyNumberFormat="1" applyFont="1" applyBorder="1" applyAlignment="1" applyProtection="1">
      <alignment horizontal="right"/>
    </xf>
    <xf numFmtId="10" fontId="5" fillId="0" borderId="9" xfId="0" applyNumberFormat="1" applyFont="1" applyBorder="1" applyAlignment="1" applyProtection="1">
      <alignment horizontal="center" vertical="center"/>
    </xf>
    <xf numFmtId="0" fontId="0" fillId="0" borderId="45" xfId="0" applyBorder="1" applyProtection="1"/>
    <xf numFmtId="0" fontId="4" fillId="0" borderId="36" xfId="0" applyFont="1" applyFill="1" applyBorder="1" applyAlignment="1" applyProtection="1">
      <alignment horizontal="center" vertical="center"/>
    </xf>
    <xf numFmtId="0" fontId="4" fillId="0" borderId="37" xfId="0" applyFont="1" applyFill="1" applyBorder="1" applyAlignment="1" applyProtection="1">
      <alignment horizontal="center" vertical="center"/>
    </xf>
    <xf numFmtId="0" fontId="4" fillId="0" borderId="32" xfId="0" applyFont="1" applyFill="1" applyBorder="1" applyAlignment="1" applyProtection="1"/>
    <xf numFmtId="0" fontId="17" fillId="0" borderId="38" xfId="0" applyFont="1" applyBorder="1" applyAlignment="1" applyProtection="1">
      <alignment vertical="center"/>
    </xf>
    <xf numFmtId="0" fontId="2" fillId="0" borderId="39" xfId="0" applyFont="1" applyBorder="1" applyProtection="1"/>
    <xf numFmtId="0" fontId="2" fillId="0" borderId="40" xfId="0" applyFont="1" applyBorder="1" applyProtection="1"/>
    <xf numFmtId="3" fontId="5" fillId="0" borderId="15" xfId="0" applyNumberFormat="1" applyFont="1" applyFill="1" applyBorder="1" applyAlignment="1" applyProtection="1">
      <alignment horizontal="right" wrapText="1"/>
    </xf>
    <xf numFmtId="8" fontId="5" fillId="0" borderId="0" xfId="0" applyNumberFormat="1" applyFont="1" applyBorder="1" applyAlignment="1" applyProtection="1">
      <alignment horizontal="center"/>
    </xf>
    <xf numFmtId="6" fontId="5" fillId="0" borderId="14" xfId="0" applyNumberFormat="1" applyFont="1" applyBorder="1" applyAlignment="1" applyProtection="1">
      <alignment horizontal="center"/>
    </xf>
    <xf numFmtId="0" fontId="45" fillId="0" borderId="15" xfId="0" applyFont="1" applyBorder="1" applyProtection="1"/>
    <xf numFmtId="0" fontId="5" fillId="0" borderId="0" xfId="0" applyFont="1" applyBorder="1" applyAlignment="1" applyProtection="1">
      <alignment horizontal="center"/>
    </xf>
    <xf numFmtId="0" fontId="5" fillId="0" borderId="15" xfId="0" applyFont="1" applyBorder="1" applyAlignment="1" applyProtection="1">
      <alignment horizontal="right"/>
    </xf>
    <xf numFmtId="38" fontId="5" fillId="0" borderId="0" xfId="0" applyNumberFormat="1" applyFont="1" applyBorder="1" applyAlignment="1" applyProtection="1">
      <alignment horizontal="center"/>
    </xf>
    <xf numFmtId="6" fontId="5" fillId="0" borderId="0" xfId="0" applyNumberFormat="1" applyFont="1" applyBorder="1" applyAlignment="1" applyProtection="1">
      <alignment horizontal="center"/>
    </xf>
    <xf numFmtId="6" fontId="5" fillId="0" borderId="14" xfId="0" applyNumberFormat="1" applyFont="1" applyFill="1" applyBorder="1" applyAlignment="1" applyProtection="1">
      <alignment horizontal="center" vertical="center"/>
    </xf>
    <xf numFmtId="0" fontId="3" fillId="0" borderId="15" xfId="0" applyFont="1" applyFill="1" applyBorder="1" applyProtection="1"/>
    <xf numFmtId="164" fontId="5" fillId="0" borderId="0" xfId="2" applyNumberFormat="1" applyFont="1" applyBorder="1" applyAlignment="1" applyProtection="1">
      <alignment horizontal="center"/>
    </xf>
    <xf numFmtId="6" fontId="5" fillId="0" borderId="14" xfId="2" applyNumberFormat="1" applyFont="1" applyBorder="1" applyAlignment="1" applyProtection="1">
      <alignment horizontal="center"/>
    </xf>
    <xf numFmtId="0" fontId="5" fillId="0" borderId="15" xfId="0" applyFont="1" applyFill="1" applyBorder="1" applyAlignment="1" applyProtection="1">
      <alignment horizontal="right"/>
    </xf>
    <xf numFmtId="167" fontId="5" fillId="0" borderId="0" xfId="2" applyNumberFormat="1" applyFont="1" applyBorder="1" applyAlignment="1" applyProtection="1">
      <alignment horizontal="center"/>
    </xf>
    <xf numFmtId="0" fontId="5" fillId="0" borderId="0" xfId="0" applyFont="1" applyFill="1" applyAlignment="1" applyProtection="1">
      <alignment horizontal="center"/>
    </xf>
    <xf numFmtId="0" fontId="5" fillId="0" borderId="15" xfId="0" applyFont="1" applyFill="1" applyBorder="1" applyAlignment="1" applyProtection="1">
      <alignment horizontal="right" wrapText="1"/>
    </xf>
    <xf numFmtId="167" fontId="5" fillId="0" borderId="0" xfId="0" applyNumberFormat="1" applyFont="1" applyFill="1" applyBorder="1" applyAlignment="1" applyProtection="1">
      <alignment horizontal="center" vertical="center"/>
    </xf>
    <xf numFmtId="0" fontId="3" fillId="0" borderId="44" xfId="0" applyFont="1" applyFill="1" applyBorder="1" applyAlignment="1" applyProtection="1">
      <alignment horizontal="left" wrapText="1"/>
    </xf>
    <xf numFmtId="165" fontId="5" fillId="0" borderId="9" xfId="0" applyNumberFormat="1" applyFont="1" applyFill="1" applyBorder="1" applyAlignment="1" applyProtection="1">
      <alignment horizontal="center" vertical="center"/>
    </xf>
    <xf numFmtId="6" fontId="5" fillId="0" borderId="45" xfId="0" applyNumberFormat="1" applyFont="1" applyFill="1" applyBorder="1" applyAlignment="1" applyProtection="1">
      <alignment horizontal="center" vertical="center"/>
    </xf>
    <xf numFmtId="165" fontId="5" fillId="0" borderId="39" xfId="0" applyNumberFormat="1" applyFont="1" applyFill="1" applyBorder="1" applyAlignment="1" applyProtection="1">
      <alignment horizontal="center" vertical="center"/>
    </xf>
    <xf numFmtId="6" fontId="5" fillId="0" borderId="40" xfId="0" applyNumberFormat="1" applyFont="1" applyFill="1" applyBorder="1" applyAlignment="1" applyProtection="1">
      <alignment horizontal="center" vertical="center"/>
    </xf>
    <xf numFmtId="0" fontId="0" fillId="0" borderId="0" xfId="0" applyFill="1" applyProtection="1"/>
    <xf numFmtId="3" fontId="12" fillId="0" borderId="0" xfId="0" applyNumberFormat="1" applyFont="1" applyFill="1" applyProtection="1"/>
    <xf numFmtId="167" fontId="5" fillId="0" borderId="0" xfId="0" applyNumberFormat="1" applyFont="1" applyFill="1" applyBorder="1" applyAlignment="1" applyProtection="1">
      <alignment horizontal="center"/>
    </xf>
    <xf numFmtId="6" fontId="5" fillId="0" borderId="14" xfId="0" applyNumberFormat="1" applyFont="1" applyFill="1" applyBorder="1" applyProtection="1"/>
    <xf numFmtId="3" fontId="0" fillId="0" borderId="15" xfId="0" applyNumberFormat="1" applyFill="1" applyBorder="1" applyAlignment="1" applyProtection="1">
      <alignment horizontal="right" wrapText="1"/>
    </xf>
    <xf numFmtId="3" fontId="5" fillId="0" borderId="0" xfId="0" applyNumberFormat="1" applyFont="1" applyFill="1" applyBorder="1" applyAlignment="1" applyProtection="1">
      <alignment horizontal="center"/>
    </xf>
    <xf numFmtId="3" fontId="5" fillId="0" borderId="0" xfId="0" applyNumberFormat="1" applyFont="1" applyFill="1" applyBorder="1" applyAlignment="1" applyProtection="1">
      <alignment horizontal="right"/>
    </xf>
    <xf numFmtId="3" fontId="5" fillId="0" borderId="0" xfId="0" applyNumberFormat="1" applyFont="1" applyFill="1" applyBorder="1" applyProtection="1"/>
    <xf numFmtId="8" fontId="5" fillId="0" borderId="0" xfId="0" applyNumberFormat="1" applyFont="1" applyFill="1" applyBorder="1" applyAlignment="1" applyProtection="1">
      <alignment horizontal="center"/>
    </xf>
    <xf numFmtId="3" fontId="1" fillId="0" borderId="44" xfId="0" applyNumberFormat="1" applyFont="1" applyFill="1" applyBorder="1" applyAlignment="1" applyProtection="1">
      <alignment horizontal="right" wrapText="1"/>
    </xf>
    <xf numFmtId="3" fontId="5" fillId="0" borderId="9" xfId="0" applyNumberFormat="1" applyFont="1" applyFill="1" applyBorder="1" applyAlignment="1" applyProtection="1">
      <alignment horizontal="right"/>
    </xf>
    <xf numFmtId="3" fontId="5" fillId="0" borderId="9" xfId="0" applyNumberFormat="1" applyFont="1" applyFill="1" applyBorder="1" applyProtection="1"/>
    <xf numFmtId="6" fontId="5" fillId="0" borderId="45" xfId="0" applyNumberFormat="1" applyFont="1" applyFill="1" applyBorder="1" applyProtection="1"/>
    <xf numFmtId="0" fontId="17" fillId="0" borderId="15" xfId="0" applyFont="1" applyBorder="1" applyAlignment="1" applyProtection="1">
      <alignment vertical="center"/>
    </xf>
    <xf numFmtId="3" fontId="1" fillId="0" borderId="15" xfId="0" applyNumberFormat="1" applyFont="1" applyFill="1" applyBorder="1" applyAlignment="1" applyProtection="1">
      <alignment horizontal="right" wrapText="1"/>
    </xf>
    <xf numFmtId="165" fontId="5" fillId="0" borderId="0" xfId="0" applyNumberFormat="1" applyFont="1" applyFill="1" applyBorder="1" applyAlignment="1" applyProtection="1">
      <alignment horizontal="center"/>
    </xf>
    <xf numFmtId="6" fontId="5" fillId="0" borderId="14" xfId="0" applyNumberFormat="1" applyFont="1" applyFill="1" applyBorder="1" applyAlignment="1" applyProtection="1">
      <alignment horizontal="center"/>
    </xf>
    <xf numFmtId="3" fontId="0" fillId="0" borderId="35" xfId="0" applyNumberFormat="1" applyFill="1" applyBorder="1" applyAlignment="1" applyProtection="1">
      <alignment horizontal="right"/>
    </xf>
    <xf numFmtId="3" fontId="0" fillId="0" borderId="33" xfId="0" applyNumberFormat="1" applyFill="1" applyBorder="1" applyProtection="1"/>
    <xf numFmtId="3" fontId="0" fillId="0" borderId="34" xfId="0" applyNumberFormat="1" applyFill="1" applyBorder="1" applyProtection="1"/>
    <xf numFmtId="3" fontId="0" fillId="0" borderId="0" xfId="0" applyNumberFormat="1" applyFill="1" applyAlignment="1" applyProtection="1">
      <alignment horizontal="right" wrapText="1"/>
    </xf>
    <xf numFmtId="3" fontId="0" fillId="0" borderId="0" xfId="0" applyNumberFormat="1" applyFill="1" applyProtection="1"/>
    <xf numFmtId="3" fontId="0" fillId="0" borderId="0" xfId="0" applyNumberFormat="1" applyFill="1" applyAlignment="1" applyProtection="1">
      <alignment horizontal="right"/>
    </xf>
    <xf numFmtId="0" fontId="12" fillId="0" borderId="0" xfId="0" applyFont="1" applyFill="1" applyAlignment="1" applyProtection="1">
      <alignment horizontal="center"/>
    </xf>
    <xf numFmtId="1" fontId="12" fillId="0" borderId="0" xfId="0" applyNumberFormat="1" applyFont="1" applyFill="1" applyAlignment="1" applyProtection="1">
      <alignment horizontal="right"/>
    </xf>
    <xf numFmtId="0" fontId="12" fillId="0" borderId="0" xfId="0" applyFont="1" applyFill="1" applyAlignment="1" applyProtection="1">
      <alignment horizontal="right"/>
    </xf>
    <xf numFmtId="3" fontId="12" fillId="0" borderId="0" xfId="0" applyNumberFormat="1" applyFont="1" applyFill="1" applyAlignment="1" applyProtection="1">
      <alignment horizontal="center"/>
    </xf>
    <xf numFmtId="3" fontId="0" fillId="0" borderId="0" xfId="0" applyNumberFormat="1" applyFill="1" applyAlignment="1" applyProtection="1">
      <alignment horizontal="right" vertical="center"/>
    </xf>
    <xf numFmtId="38" fontId="0" fillId="0" borderId="0" xfId="0" applyNumberFormat="1" applyFill="1" applyProtection="1"/>
    <xf numFmtId="38" fontId="12" fillId="0" borderId="0" xfId="0" applyNumberFormat="1" applyFont="1" applyFill="1" applyProtection="1"/>
    <xf numFmtId="0" fontId="12" fillId="0" borderId="0" xfId="0" applyFont="1" applyFill="1" applyProtection="1"/>
    <xf numFmtId="0" fontId="0" fillId="0" borderId="0" xfId="0" applyFill="1" applyAlignment="1" applyProtection="1">
      <alignment horizontal="right"/>
    </xf>
    <xf numFmtId="1" fontId="0" fillId="0" borderId="0" xfId="0" applyNumberFormat="1" applyProtection="1"/>
    <xf numFmtId="168" fontId="0" fillId="0" borderId="0" xfId="0" applyNumberFormat="1" applyProtection="1"/>
    <xf numFmtId="0" fontId="0" fillId="0" borderId="0" xfId="0" applyAlignment="1" applyProtection="1">
      <alignment horizontal="right" vertical="center"/>
    </xf>
    <xf numFmtId="38" fontId="0" fillId="0" borderId="0" xfId="0" applyNumberFormat="1" applyProtection="1"/>
    <xf numFmtId="3" fontId="0" fillId="0" borderId="0" xfId="0" applyNumberFormat="1" applyProtection="1"/>
    <xf numFmtId="0" fontId="0" fillId="0" borderId="0" xfId="0" applyAlignment="1" applyProtection="1">
      <alignment horizontal="right"/>
    </xf>
    <xf numFmtId="0" fontId="42" fillId="0" borderId="0" xfId="0" applyFont="1" applyAlignment="1">
      <alignment horizontal="left"/>
    </xf>
    <xf numFmtId="0" fontId="42" fillId="0" borderId="0" xfId="0" applyFont="1"/>
    <xf numFmtId="0" fontId="4" fillId="0" borderId="0" xfId="0" applyFont="1" applyAlignment="1" applyProtection="1"/>
    <xf numFmtId="0" fontId="14" fillId="0" borderId="0" xfId="0" applyFont="1" applyFill="1" applyAlignment="1" applyProtection="1">
      <alignment horizontal="left" vertical="center"/>
    </xf>
    <xf numFmtId="0" fontId="0" fillId="0" borderId="10" xfId="0" applyFill="1" applyBorder="1" applyProtection="1"/>
    <xf numFmtId="0" fontId="0" fillId="0" borderId="0" xfId="0" applyFill="1" applyBorder="1" applyProtection="1"/>
    <xf numFmtId="169" fontId="12" fillId="0" borderId="0" xfId="1" applyNumberFormat="1" applyFont="1" applyFill="1" applyAlignment="1" applyProtection="1">
      <alignment horizontal="right"/>
    </xf>
    <xf numFmtId="3" fontId="0" fillId="0" borderId="10" xfId="0" applyNumberFormat="1" applyFill="1" applyBorder="1" applyAlignment="1" applyProtection="1">
      <alignment horizontal="center"/>
    </xf>
    <xf numFmtId="3" fontId="0" fillId="0" borderId="0" xfId="0" applyNumberFormat="1" applyFill="1" applyBorder="1" applyAlignment="1" applyProtection="1">
      <alignment horizontal="center"/>
    </xf>
    <xf numFmtId="3" fontId="12" fillId="0" borderId="0" xfId="0" applyNumberFormat="1" applyFont="1" applyFill="1" applyAlignment="1" applyProtection="1">
      <alignment horizontal="right"/>
    </xf>
    <xf numFmtId="38" fontId="21" fillId="0" borderId="0" xfId="0" applyNumberFormat="1" applyFont="1" applyFill="1" applyAlignment="1" applyProtection="1">
      <alignment horizontal="center"/>
    </xf>
    <xf numFmtId="3" fontId="12" fillId="0" borderId="0" xfId="0" applyNumberFormat="1" applyFont="1" applyAlignment="1" applyProtection="1">
      <alignment horizontal="right"/>
    </xf>
    <xf numFmtId="38" fontId="21" fillId="0" borderId="0" xfId="0" applyNumberFormat="1" applyFont="1" applyAlignment="1" applyProtection="1">
      <alignment horizontal="center"/>
    </xf>
    <xf numFmtId="38" fontId="12" fillId="0" borderId="0" xfId="0" applyNumberFormat="1" applyFont="1" applyFill="1" applyAlignment="1" applyProtection="1">
      <alignment horizontal="right"/>
    </xf>
    <xf numFmtId="38" fontId="0" fillId="0" borderId="0" xfId="0" applyNumberFormat="1" applyFill="1" applyAlignment="1" applyProtection="1">
      <alignment horizontal="center"/>
    </xf>
    <xf numFmtId="3" fontId="0" fillId="0" borderId="0" xfId="0" applyNumberFormat="1" applyAlignment="1" applyProtection="1">
      <alignment horizontal="right"/>
    </xf>
    <xf numFmtId="38" fontId="0" fillId="0" borderId="0" xfId="0" applyNumberFormat="1" applyAlignment="1" applyProtection="1">
      <alignment horizontal="center"/>
    </xf>
    <xf numFmtId="38" fontId="0" fillId="0" borderId="0" xfId="0" applyNumberFormat="1" applyFill="1" applyAlignment="1" applyProtection="1">
      <alignment horizontal="right"/>
    </xf>
    <xf numFmtId="165" fontId="0" fillId="0" borderId="0" xfId="0" applyNumberFormat="1" applyFill="1" applyAlignment="1" applyProtection="1">
      <alignment horizontal="center"/>
    </xf>
    <xf numFmtId="10" fontId="12" fillId="0" borderId="0" xfId="0" applyNumberFormat="1" applyFont="1" applyFill="1" applyAlignment="1" applyProtection="1">
      <alignment horizontal="center"/>
    </xf>
    <xf numFmtId="0" fontId="12" fillId="0" borderId="0" xfId="0" applyFont="1" applyAlignment="1" applyProtection="1">
      <alignment horizontal="right"/>
    </xf>
    <xf numFmtId="10" fontId="12" fillId="0" borderId="0" xfId="0" applyNumberFormat="1" applyFont="1" applyAlignment="1" applyProtection="1">
      <alignment horizontal="center"/>
    </xf>
    <xf numFmtId="38" fontId="12" fillId="0" borderId="0" xfId="0" applyNumberFormat="1" applyFont="1" applyFill="1" applyAlignment="1" applyProtection="1">
      <alignment horizontal="center"/>
    </xf>
    <xf numFmtId="38" fontId="12" fillId="0" borderId="0" xfId="0" applyNumberFormat="1" applyFont="1" applyAlignment="1" applyProtection="1">
      <alignment horizontal="center"/>
    </xf>
    <xf numFmtId="9" fontId="12" fillId="0" borderId="0" xfId="0" applyNumberFormat="1" applyFont="1" applyFill="1" applyAlignment="1" applyProtection="1">
      <alignment horizontal="center"/>
    </xf>
    <xf numFmtId="3" fontId="0" fillId="0" borderId="0" xfId="0" applyNumberFormat="1" applyFont="1" applyFill="1" applyAlignment="1" applyProtection="1">
      <alignment horizontal="right"/>
    </xf>
    <xf numFmtId="0" fontId="0" fillId="0" borderId="0" xfId="0" applyFont="1" applyAlignment="1" applyProtection="1">
      <alignment horizontal="right"/>
    </xf>
    <xf numFmtId="0" fontId="12" fillId="0" borderId="0" xfId="0" applyFont="1" applyAlignment="1" applyProtection="1">
      <alignment horizontal="center"/>
    </xf>
    <xf numFmtId="10" fontId="0" fillId="0" borderId="0" xfId="0" applyNumberFormat="1" applyFont="1" applyAlignment="1" applyProtection="1">
      <alignment horizontal="center"/>
    </xf>
    <xf numFmtId="164" fontId="12" fillId="0" borderId="0" xfId="0" applyNumberFormat="1" applyFont="1" applyFill="1" applyAlignment="1" applyProtection="1">
      <alignment horizontal="center" vertical="center"/>
    </xf>
    <xf numFmtId="38" fontId="12" fillId="0" borderId="0" xfId="0" applyNumberFormat="1" applyFont="1" applyProtection="1"/>
    <xf numFmtId="0" fontId="14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horizontal="right"/>
    </xf>
    <xf numFmtId="3" fontId="0" fillId="0" borderId="0" xfId="0" applyNumberFormat="1" applyAlignment="1" applyProtection="1">
      <alignment horizontal="center"/>
    </xf>
    <xf numFmtId="0" fontId="22" fillId="0" borderId="0" xfId="0" applyFont="1" applyAlignment="1" applyProtection="1">
      <alignment horizontal="right" vertical="center" wrapText="1"/>
    </xf>
    <xf numFmtId="8" fontId="0" fillId="0" borderId="0" xfId="0" applyNumberFormat="1" applyFill="1" applyAlignment="1" applyProtection="1">
      <alignment horizontal="center" vertical="center"/>
    </xf>
    <xf numFmtId="40" fontId="0" fillId="0" borderId="0" xfId="0" applyNumberFormat="1" applyProtection="1"/>
    <xf numFmtId="0" fontId="0" fillId="0" borderId="0" xfId="0" applyAlignment="1" applyProtection="1">
      <alignment horizontal="right" vertical="center" wrapText="1"/>
    </xf>
    <xf numFmtId="167" fontId="0" fillId="0" borderId="0" xfId="0" applyNumberFormat="1" applyAlignment="1" applyProtection="1">
      <alignment horizontal="center" vertical="center"/>
    </xf>
    <xf numFmtId="3" fontId="0" fillId="0" borderId="0" xfId="0" applyNumberFormat="1" applyFill="1" applyAlignment="1" applyProtection="1">
      <alignment horizontal="right" vertical="center" wrapText="1"/>
    </xf>
    <xf numFmtId="164" fontId="0" fillId="0" borderId="0" xfId="0" applyNumberFormat="1" applyFill="1" applyAlignment="1" applyProtection="1">
      <alignment horizontal="center" vertical="center"/>
    </xf>
    <xf numFmtId="10" fontId="0" fillId="0" borderId="0" xfId="0" applyNumberFormat="1" applyAlignment="1" applyProtection="1">
      <alignment horizontal="center" vertical="center"/>
    </xf>
    <xf numFmtId="165" fontId="0" fillId="0" borderId="0" xfId="0" applyNumberFormat="1" applyAlignment="1" applyProtection="1">
      <alignment horizontal="center" vertical="center"/>
    </xf>
    <xf numFmtId="167" fontId="0" fillId="0" borderId="0" xfId="0" applyNumberFormat="1" applyFill="1" applyAlignment="1" applyProtection="1">
      <alignment horizontal="center" vertical="center"/>
    </xf>
    <xf numFmtId="0" fontId="12" fillId="0" borderId="0" xfId="0" applyFont="1" applyAlignment="1" applyProtection="1">
      <alignment horizontal="right" vertical="center" wrapText="1"/>
    </xf>
    <xf numFmtId="167" fontId="12" fillId="0" borderId="0" xfId="0" applyNumberFormat="1" applyFont="1" applyAlignment="1" applyProtection="1">
      <alignment horizontal="center" vertical="center"/>
    </xf>
    <xf numFmtId="0" fontId="0" fillId="0" borderId="0" xfId="0" applyFont="1" applyAlignment="1" applyProtection="1">
      <alignment horizontal="right" vertical="center" wrapText="1"/>
    </xf>
    <xf numFmtId="167" fontId="0" fillId="0" borderId="0" xfId="0" applyNumberFormat="1" applyFont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left" vertical="center"/>
    </xf>
    <xf numFmtId="1" fontId="12" fillId="0" borderId="0" xfId="0" applyNumberFormat="1" applyFont="1" applyAlignment="1" applyProtection="1">
      <alignment horizontal="center" vertical="center"/>
    </xf>
    <xf numFmtId="0" fontId="0" fillId="0" borderId="0" xfId="0" applyFont="1" applyFill="1" applyAlignment="1" applyProtection="1">
      <alignment horizontal="right" vertical="center" wrapText="1"/>
    </xf>
    <xf numFmtId="1" fontId="0" fillId="0" borderId="0" xfId="0" applyNumberFormat="1" applyFont="1" applyFill="1" applyAlignment="1" applyProtection="1">
      <alignment horizontal="center" vertical="center"/>
    </xf>
    <xf numFmtId="8" fontId="0" fillId="0" borderId="0" xfId="0" applyNumberFormat="1" applyFont="1" applyFill="1" applyAlignment="1" applyProtection="1">
      <alignment horizontal="center" vertical="center"/>
    </xf>
    <xf numFmtId="1" fontId="12" fillId="0" borderId="0" xfId="0" applyNumberFormat="1" applyFont="1" applyFill="1" applyAlignment="1" applyProtection="1">
      <alignment horizontal="center" vertical="center"/>
    </xf>
    <xf numFmtId="8" fontId="0" fillId="0" borderId="0" xfId="0" applyNumberFormat="1" applyFont="1" applyAlignment="1" applyProtection="1">
      <alignment horizontal="center" vertical="center"/>
    </xf>
    <xf numFmtId="0" fontId="0" fillId="0" borderId="0" xfId="0" applyFont="1" applyFill="1" applyAlignment="1" applyProtection="1">
      <alignment horizontal="center" vertical="center"/>
    </xf>
    <xf numFmtId="167" fontId="0" fillId="0" borderId="0" xfId="0" applyNumberFormat="1" applyFont="1" applyFill="1" applyAlignment="1" applyProtection="1">
      <alignment horizontal="center" vertical="center"/>
    </xf>
    <xf numFmtId="8" fontId="12" fillId="0" borderId="0" xfId="0" applyNumberFormat="1" applyFont="1" applyAlignment="1" applyProtection="1">
      <alignment horizontal="center"/>
    </xf>
    <xf numFmtId="0" fontId="12" fillId="0" borderId="0" xfId="0" applyFont="1" applyFill="1" applyAlignment="1" applyProtection="1">
      <alignment horizontal="center" vertical="center"/>
    </xf>
    <xf numFmtId="167" fontId="12" fillId="0" borderId="0" xfId="0" applyNumberFormat="1" applyFont="1" applyFill="1" applyAlignment="1" applyProtection="1">
      <alignment horizontal="center" vertical="center"/>
    </xf>
    <xf numFmtId="165" fontId="12" fillId="0" borderId="0" xfId="0" applyNumberFormat="1" applyFont="1" applyFill="1" applyAlignment="1" applyProtection="1">
      <alignment horizontal="center" vertical="center"/>
    </xf>
    <xf numFmtId="3" fontId="0" fillId="0" borderId="46" xfId="0" applyNumberFormat="1" applyFill="1" applyBorder="1" applyProtection="1"/>
    <xf numFmtId="1" fontId="5" fillId="0" borderId="0" xfId="0" applyNumberFormat="1" applyFont="1" applyFill="1" applyBorder="1" applyAlignment="1" applyProtection="1">
      <alignment horizontal="center" vertical="center"/>
    </xf>
    <xf numFmtId="0" fontId="0" fillId="0" borderId="51" xfId="0" applyFill="1" applyBorder="1" applyProtection="1"/>
    <xf numFmtId="1" fontId="5" fillId="0" borderId="52" xfId="0" applyNumberFormat="1" applyFont="1" applyFill="1" applyBorder="1" applyAlignment="1" applyProtection="1">
      <alignment horizontal="center" vertical="center"/>
    </xf>
    <xf numFmtId="1" fontId="5" fillId="0" borderId="53" xfId="0" applyNumberFormat="1" applyFont="1" applyFill="1" applyBorder="1" applyAlignment="1" applyProtection="1">
      <alignment horizontal="center" vertical="center"/>
    </xf>
    <xf numFmtId="0" fontId="5" fillId="0" borderId="46" xfId="0" applyFont="1" applyFill="1" applyBorder="1" applyAlignment="1" applyProtection="1">
      <alignment horizontal="center" vertical="center"/>
    </xf>
    <xf numFmtId="3" fontId="0" fillId="0" borderId="46" xfId="0" applyNumberFormat="1" applyFill="1" applyBorder="1" applyAlignment="1" applyProtection="1">
      <alignment horizontal="center"/>
    </xf>
    <xf numFmtId="0" fontId="0" fillId="0" borderId="47" xfId="0" applyFill="1" applyBorder="1" applyProtection="1"/>
    <xf numFmtId="3" fontId="12" fillId="0" borderId="46" xfId="0" applyNumberFormat="1" applyFont="1" applyFill="1" applyBorder="1" applyAlignment="1" applyProtection="1">
      <alignment horizontal="center"/>
    </xf>
    <xf numFmtId="0" fontId="0" fillId="0" borderId="10" xfId="0" applyFill="1" applyBorder="1" applyAlignment="1" applyProtection="1">
      <alignment horizontal="center"/>
    </xf>
    <xf numFmtId="0" fontId="0" fillId="0" borderId="0" xfId="0" applyFill="1" applyBorder="1" applyAlignment="1" applyProtection="1">
      <alignment horizontal="center"/>
    </xf>
    <xf numFmtId="0" fontId="0" fillId="0" borderId="11" xfId="0" applyFill="1" applyBorder="1" applyAlignment="1" applyProtection="1">
      <alignment horizontal="center"/>
    </xf>
    <xf numFmtId="0" fontId="0" fillId="0" borderId="12" xfId="0" applyFill="1" applyBorder="1" applyAlignment="1" applyProtection="1">
      <alignment horizontal="center"/>
    </xf>
    <xf numFmtId="0" fontId="0" fillId="0" borderId="46" xfId="0" applyFill="1" applyBorder="1" applyAlignment="1" applyProtection="1">
      <alignment horizontal="center"/>
    </xf>
    <xf numFmtId="0" fontId="12" fillId="0" borderId="55" xfId="0" applyFont="1" applyBorder="1" applyAlignment="1">
      <alignment horizontal="right" vertical="center"/>
    </xf>
    <xf numFmtId="0" fontId="12" fillId="0" borderId="0" xfId="0" applyFont="1" applyBorder="1" applyAlignment="1" applyProtection="1">
      <alignment horizontal="right"/>
    </xf>
    <xf numFmtId="3" fontId="12" fillId="0" borderId="11" xfId="0" applyNumberFormat="1" applyFont="1" applyFill="1" applyBorder="1" applyAlignment="1" applyProtection="1">
      <alignment horizontal="center"/>
    </xf>
    <xf numFmtId="164" fontId="6" fillId="2" borderId="0" xfId="0" applyNumberFormat="1" applyFont="1" applyFill="1" applyBorder="1" applyAlignment="1" applyProtection="1">
      <alignment horizontal="center"/>
    </xf>
    <xf numFmtId="165" fontId="5" fillId="2" borderId="0" xfId="8" applyNumberFormat="1" applyFont="1" applyFill="1" applyBorder="1" applyAlignment="1" applyProtection="1">
      <alignment horizontal="center"/>
    </xf>
    <xf numFmtId="164" fontId="5" fillId="2" borderId="0" xfId="0" applyNumberFormat="1" applyFont="1" applyFill="1" applyBorder="1" applyAlignment="1" applyProtection="1">
      <alignment horizontal="center"/>
    </xf>
    <xf numFmtId="10" fontId="0" fillId="0" borderId="0" xfId="0" applyNumberFormat="1" applyFill="1" applyAlignment="1" applyProtection="1">
      <alignment horizontal="center"/>
    </xf>
    <xf numFmtId="3" fontId="0" fillId="0" borderId="0" xfId="0" applyNumberFormat="1" applyFill="1" applyAlignment="1" applyProtection="1">
      <alignment horizontal="center"/>
    </xf>
    <xf numFmtId="10" fontId="12" fillId="0" borderId="57" xfId="0" applyNumberFormat="1" applyFont="1" applyFill="1" applyBorder="1" applyAlignment="1" applyProtection="1">
      <alignment horizontal="center"/>
    </xf>
    <xf numFmtId="3" fontId="12" fillId="0" borderId="0" xfId="0" applyNumberFormat="1" applyFont="1" applyFill="1" applyAlignment="1" applyProtection="1">
      <alignment horizontal="right" vertical="center"/>
    </xf>
    <xf numFmtId="10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9" fontId="12" fillId="0" borderId="7" xfId="0" applyNumberFormat="1" applyFont="1" applyFill="1" applyBorder="1" applyAlignment="1" applyProtection="1">
      <alignment horizontal="center"/>
    </xf>
    <xf numFmtId="38" fontId="12" fillId="0" borderId="0" xfId="0" applyNumberFormat="1" applyFont="1" applyFill="1" applyBorder="1" applyAlignment="1" applyProtection="1">
      <alignment horizontal="center"/>
    </xf>
    <xf numFmtId="0" fontId="12" fillId="0" borderId="0" xfId="0" applyFont="1" applyFill="1" applyBorder="1" applyAlignment="1">
      <alignment horizontal="center"/>
    </xf>
    <xf numFmtId="0" fontId="12" fillId="0" borderId="8" xfId="0" applyFont="1" applyFill="1" applyBorder="1" applyAlignment="1">
      <alignment horizontal="center"/>
    </xf>
    <xf numFmtId="10" fontId="12" fillId="0" borderId="0" xfId="0" applyNumberFormat="1" applyFont="1" applyFill="1" applyBorder="1" applyAlignment="1" applyProtection="1">
      <alignment horizontal="center"/>
    </xf>
    <xf numFmtId="10" fontId="12" fillId="0" borderId="8" xfId="0" applyNumberFormat="1" applyFont="1" applyFill="1" applyBorder="1" applyAlignment="1" applyProtection="1">
      <alignment horizontal="center"/>
    </xf>
    <xf numFmtId="9" fontId="12" fillId="0" borderId="60" xfId="0" applyNumberFormat="1" applyFont="1" applyFill="1" applyBorder="1" applyAlignment="1" applyProtection="1">
      <alignment horizontal="center"/>
    </xf>
    <xf numFmtId="38" fontId="12" fillId="0" borderId="9" xfId="0" applyNumberFormat="1" applyFont="1" applyFill="1" applyBorder="1" applyAlignment="1" applyProtection="1">
      <alignment horizontal="center"/>
    </xf>
    <xf numFmtId="10" fontId="12" fillId="0" borderId="61" xfId="0" applyNumberFormat="1" applyFont="1" applyFill="1" applyBorder="1" applyAlignment="1" applyProtection="1">
      <alignment horizontal="center"/>
    </xf>
    <xf numFmtId="3" fontId="12" fillId="0" borderId="7" xfId="0" applyNumberFormat="1" applyFont="1" applyFill="1" applyBorder="1" applyAlignment="1" applyProtection="1">
      <alignment horizontal="center"/>
    </xf>
    <xf numFmtId="3" fontId="12" fillId="0" borderId="60" xfId="0" applyNumberFormat="1" applyFont="1" applyFill="1" applyBorder="1" applyAlignment="1" applyProtection="1">
      <alignment horizontal="center"/>
    </xf>
    <xf numFmtId="38" fontId="12" fillId="0" borderId="7" xfId="0" applyNumberFormat="1" applyFont="1" applyFill="1" applyBorder="1" applyAlignment="1" applyProtection="1">
      <alignment horizontal="center"/>
    </xf>
    <xf numFmtId="38" fontId="12" fillId="0" borderId="60" xfId="0" applyNumberFormat="1" applyFont="1" applyFill="1" applyBorder="1" applyAlignment="1" applyProtection="1">
      <alignment horizontal="center"/>
    </xf>
    <xf numFmtId="9" fontId="12" fillId="0" borderId="58" xfId="0" applyNumberFormat="1" applyFont="1" applyFill="1" applyBorder="1" applyAlignment="1" applyProtection="1">
      <alignment horizontal="center" vertical="center"/>
    </xf>
    <xf numFmtId="38" fontId="12" fillId="0" borderId="58" xfId="0" applyNumberFormat="1" applyFont="1" applyFill="1" applyBorder="1" applyAlignment="1" applyProtection="1">
      <alignment horizontal="center" vertical="center"/>
    </xf>
    <xf numFmtId="0" fontId="12" fillId="0" borderId="39" xfId="0" applyFont="1" applyFill="1" applyBorder="1" applyAlignment="1">
      <alignment horizontal="center" vertical="center" wrapText="1"/>
    </xf>
    <xf numFmtId="0" fontId="12" fillId="0" borderId="39" xfId="0" applyFont="1" applyFill="1" applyBorder="1" applyAlignment="1">
      <alignment horizontal="center" vertical="center"/>
    </xf>
    <xf numFmtId="38" fontId="12" fillId="0" borderId="39" xfId="0" applyNumberFormat="1" applyFont="1" applyFill="1" applyBorder="1" applyAlignment="1" applyProtection="1">
      <alignment horizontal="center" vertical="center"/>
    </xf>
    <xf numFmtId="0" fontId="12" fillId="0" borderId="59" xfId="0" applyFont="1" applyFill="1" applyBorder="1" applyAlignment="1">
      <alignment horizontal="center" vertical="center"/>
    </xf>
    <xf numFmtId="0" fontId="0" fillId="0" borderId="0" xfId="0" applyAlignment="1" applyProtection="1">
      <alignment horizontal="center"/>
    </xf>
    <xf numFmtId="10" fontId="0" fillId="0" borderId="0" xfId="0" applyNumberFormat="1" applyFont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3" fontId="0" fillId="0" borderId="0" xfId="0" applyNumberFormat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167" fontId="0" fillId="0" borderId="0" xfId="0" applyNumberFormat="1" applyAlignment="1">
      <alignment horizontal="center"/>
    </xf>
    <xf numFmtId="10" fontId="12" fillId="0" borderId="0" xfId="0" applyNumberFormat="1" applyFont="1" applyFill="1" applyAlignment="1" applyProtection="1">
      <alignment horizontal="center" vertical="center"/>
    </xf>
    <xf numFmtId="0" fontId="21" fillId="0" borderId="0" xfId="0" applyFont="1" applyFill="1" applyAlignment="1" applyProtection="1">
      <alignment horizontal="center"/>
    </xf>
    <xf numFmtId="0" fontId="21" fillId="0" borderId="0" xfId="0" applyFont="1" applyAlignment="1" applyProtection="1">
      <alignment horizontal="center" wrapText="1"/>
    </xf>
    <xf numFmtId="0" fontId="21" fillId="0" borderId="0" xfId="0" applyFont="1" applyAlignment="1">
      <alignment horizontal="center" wrapText="1"/>
    </xf>
    <xf numFmtId="167" fontId="6" fillId="0" borderId="0" xfId="0" applyNumberFormat="1" applyFont="1" applyBorder="1" applyAlignment="1" applyProtection="1">
      <alignment horizontal="center"/>
    </xf>
    <xf numFmtId="0" fontId="41" fillId="0" borderId="15" xfId="0" applyFont="1" applyBorder="1" applyAlignment="1" applyProtection="1">
      <alignment horizontal="right" vertical="center"/>
    </xf>
    <xf numFmtId="164" fontId="41" fillId="0" borderId="0" xfId="0" applyNumberFormat="1" applyFont="1" applyFill="1" applyBorder="1" applyAlignment="1" applyProtection="1">
      <alignment horizontal="center" vertical="center"/>
    </xf>
    <xf numFmtId="0" fontId="0" fillId="0" borderId="0" xfId="0" applyBorder="1"/>
    <xf numFmtId="178" fontId="1" fillId="0" borderId="0" xfId="0" applyNumberFormat="1" applyFont="1" applyBorder="1"/>
    <xf numFmtId="0" fontId="0" fillId="0" borderId="9" xfId="0" applyBorder="1"/>
    <xf numFmtId="10" fontId="12" fillId="0" borderId="62" xfId="0" applyNumberFormat="1" applyFont="1" applyFill="1" applyBorder="1" applyAlignment="1" applyProtection="1">
      <alignment horizontal="center"/>
    </xf>
    <xf numFmtId="3" fontId="24" fillId="0" borderId="0" xfId="7" applyNumberFormat="1" applyFont="1"/>
    <xf numFmtId="3" fontId="24" fillId="0" borderId="0" xfId="7" applyNumberFormat="1" applyFont="1" applyAlignment="1">
      <alignment horizontal="center"/>
    </xf>
    <xf numFmtId="49" fontId="24" fillId="0" borderId="0" xfId="7" applyNumberFormat="1" applyFont="1" applyAlignment="1">
      <alignment horizontal="center"/>
    </xf>
    <xf numFmtId="3" fontId="9" fillId="0" borderId="19" xfId="7" applyNumberFormat="1" applyFont="1" applyBorder="1"/>
    <xf numFmtId="3" fontId="26" fillId="0" borderId="0" xfId="7" applyNumberFormat="1" applyFont="1"/>
    <xf numFmtId="3" fontId="26" fillId="0" borderId="0" xfId="7" applyNumberFormat="1" applyFont="1" applyAlignment="1">
      <alignment horizontal="center"/>
    </xf>
    <xf numFmtId="3" fontId="8" fillId="0" borderId="0" xfId="7" applyNumberFormat="1" applyFont="1" applyAlignment="1">
      <alignment horizontal="center"/>
    </xf>
    <xf numFmtId="3" fontId="8" fillId="0" borderId="20" xfId="7" applyNumberFormat="1" applyFont="1" applyBorder="1" applyAlignment="1">
      <alignment horizontal="center"/>
    </xf>
    <xf numFmtId="3" fontId="24" fillId="0" borderId="20" xfId="7" applyNumberFormat="1" applyFont="1" applyBorder="1" applyAlignment="1">
      <alignment horizontal="center"/>
    </xf>
    <xf numFmtId="3" fontId="10" fillId="0" borderId="0" xfId="7" applyNumberFormat="1" applyFont="1"/>
    <xf numFmtId="3" fontId="9" fillId="0" borderId="20" xfId="7" applyNumberFormat="1" applyFont="1" applyBorder="1"/>
    <xf numFmtId="170" fontId="8" fillId="0" borderId="0" xfId="7" applyNumberFormat="1" applyFont="1"/>
    <xf numFmtId="170" fontId="27" fillId="0" borderId="0" xfId="7" applyNumberFormat="1" applyFont="1" applyAlignment="1">
      <alignment horizontal="right"/>
    </xf>
    <xf numFmtId="3" fontId="8" fillId="0" borderId="20" xfId="7" applyNumberFormat="1" applyFont="1" applyBorder="1"/>
    <xf numFmtId="3" fontId="8" fillId="0" borderId="29" xfId="7" applyNumberFormat="1" applyFont="1" applyBorder="1"/>
    <xf numFmtId="3" fontId="9" fillId="0" borderId="29" xfId="7" applyNumberFormat="1" applyFont="1" applyBorder="1"/>
    <xf numFmtId="3" fontId="9" fillId="0" borderId="63" xfId="7" applyNumberFormat="1" applyFont="1" applyBorder="1"/>
    <xf numFmtId="3" fontId="9" fillId="0" borderId="64" xfId="7" applyNumberFormat="1" applyFont="1" applyBorder="1"/>
    <xf numFmtId="3" fontId="9" fillId="0" borderId="5" xfId="7" applyNumberFormat="1" applyFont="1" applyBorder="1"/>
    <xf numFmtId="3" fontId="9" fillId="0" borderId="21" xfId="7" applyNumberFormat="1" applyFont="1" applyBorder="1" applyAlignment="1">
      <alignment horizontal="right"/>
    </xf>
    <xf numFmtId="37" fontId="28" fillId="0" borderId="21" xfId="7" applyNumberFormat="1" applyFont="1" applyBorder="1" applyAlignment="1">
      <alignment horizontal="right"/>
    </xf>
    <xf numFmtId="37" fontId="28" fillId="0" borderId="21" xfId="7" applyNumberFormat="1" applyFont="1" applyBorder="1"/>
    <xf numFmtId="166" fontId="9" fillId="0" borderId="21" xfId="7" applyNumberFormat="1" applyFont="1" applyBorder="1"/>
    <xf numFmtId="166" fontId="8" fillId="0" borderId="21" xfId="7" applyNumberFormat="1" applyFont="1" applyBorder="1"/>
    <xf numFmtId="166" fontId="8" fillId="0" borderId="0" xfId="7" applyNumberFormat="1" applyFont="1"/>
    <xf numFmtId="166" fontId="8" fillId="0" borderId="21" xfId="7" applyNumberFormat="1" applyFont="1" applyBorder="1" applyAlignment="1">
      <alignment horizontal="right"/>
    </xf>
    <xf numFmtId="166" fontId="8" fillId="0" borderId="22" xfId="7" applyNumberFormat="1" applyFont="1" applyBorder="1" applyAlignment="1">
      <alignment horizontal="right"/>
    </xf>
    <xf numFmtId="166" fontId="9" fillId="0" borderId="21" xfId="7" applyNumberFormat="1" applyFont="1" applyBorder="1" applyAlignment="1">
      <alignment horizontal="right"/>
    </xf>
    <xf numFmtId="37" fontId="28" fillId="0" borderId="0" xfId="7" applyNumberFormat="1" applyFont="1" applyAlignment="1">
      <alignment horizontal="right"/>
    </xf>
    <xf numFmtId="37" fontId="28" fillId="0" borderId="0" xfId="7" applyNumberFormat="1" applyFont="1"/>
    <xf numFmtId="166" fontId="8" fillId="0" borderId="0" xfId="7" applyNumberFormat="1" applyFont="1" applyAlignment="1">
      <alignment horizontal="right"/>
    </xf>
    <xf numFmtId="166" fontId="8" fillId="0" borderId="20" xfId="7" applyNumberFormat="1" applyFont="1" applyBorder="1" applyAlignment="1">
      <alignment horizontal="right"/>
    </xf>
    <xf numFmtId="166" fontId="8" fillId="0" borderId="20" xfId="7" applyNumberFormat="1" applyFont="1" applyBorder="1"/>
    <xf numFmtId="166" fontId="28" fillId="0" borderId="0" xfId="7" applyNumberFormat="1" applyFont="1" applyAlignment="1">
      <alignment horizontal="right"/>
    </xf>
    <xf numFmtId="166" fontId="29" fillId="0" borderId="0" xfId="7" applyNumberFormat="1" applyFont="1" applyAlignment="1">
      <alignment horizontal="right"/>
    </xf>
    <xf numFmtId="38" fontId="9" fillId="0" borderId="0" xfId="7" applyNumberFormat="1" applyFont="1"/>
    <xf numFmtId="38" fontId="9" fillId="0" borderId="5" xfId="7" applyNumberFormat="1" applyFont="1" applyBorder="1"/>
    <xf numFmtId="38" fontId="8" fillId="0" borderId="5" xfId="7" applyNumberFormat="1" applyFont="1" applyBorder="1"/>
    <xf numFmtId="38" fontId="8" fillId="0" borderId="23" xfId="7" applyNumberFormat="1" applyFont="1" applyBorder="1"/>
    <xf numFmtId="38" fontId="8" fillId="0" borderId="24" xfId="7" applyNumberFormat="1" applyFont="1" applyBorder="1"/>
    <xf numFmtId="38" fontId="8" fillId="0" borderId="25" xfId="7" applyNumberFormat="1" applyFont="1" applyBorder="1"/>
    <xf numFmtId="38" fontId="9" fillId="0" borderId="25" xfId="7" applyNumberFormat="1" applyFont="1" applyBorder="1"/>
    <xf numFmtId="3" fontId="9" fillId="0" borderId="21" xfId="7" applyNumberFormat="1" applyFont="1" applyBorder="1"/>
    <xf numFmtId="3" fontId="9" fillId="0" borderId="22" xfId="7" applyNumberFormat="1" applyFont="1" applyBorder="1"/>
    <xf numFmtId="164" fontId="9" fillId="0" borderId="20" xfId="7" applyNumberFormat="1" applyFont="1" applyBorder="1"/>
    <xf numFmtId="164" fontId="9" fillId="0" borderId="5" xfId="7" applyNumberFormat="1" applyFont="1" applyBorder="1"/>
    <xf numFmtId="164" fontId="9" fillId="0" borderId="24" xfId="7" applyNumberFormat="1" applyFont="1" applyBorder="1"/>
    <xf numFmtId="3" fontId="9" fillId="0" borderId="26" xfId="7" applyNumberFormat="1" applyFont="1" applyBorder="1"/>
    <xf numFmtId="167" fontId="9" fillId="0" borderId="0" xfId="7" applyNumberFormat="1" applyFont="1"/>
    <xf numFmtId="167" fontId="9" fillId="0" borderId="5" xfId="7" applyNumberFormat="1" applyFont="1" applyBorder="1"/>
    <xf numFmtId="167" fontId="9" fillId="0" borderId="24" xfId="7" applyNumberFormat="1" applyFont="1" applyBorder="1"/>
    <xf numFmtId="3" fontId="8" fillId="0" borderId="26" xfId="7" applyNumberFormat="1" applyFont="1" applyBorder="1"/>
    <xf numFmtId="4" fontId="9" fillId="0" borderId="0" xfId="7" applyNumberFormat="1" applyFont="1" applyAlignment="1">
      <alignment horizontal="right"/>
    </xf>
    <xf numFmtId="3" fontId="30" fillId="0" borderId="0" xfId="7" applyNumberFormat="1" applyFont="1"/>
    <xf numFmtId="170" fontId="30" fillId="0" borderId="0" xfId="7" applyNumberFormat="1" applyFont="1"/>
    <xf numFmtId="3" fontId="30" fillId="0" borderId="20" xfId="7" applyNumberFormat="1" applyFont="1" applyBorder="1"/>
    <xf numFmtId="170" fontId="30" fillId="0" borderId="0" xfId="7" applyNumberFormat="1" applyFont="1" applyAlignment="1">
      <alignment horizontal="right"/>
    </xf>
    <xf numFmtId="170" fontId="31" fillId="0" borderId="0" xfId="7" applyNumberFormat="1" applyFont="1"/>
    <xf numFmtId="3" fontId="31" fillId="0" borderId="0" xfId="7" applyNumberFormat="1" applyFont="1"/>
    <xf numFmtId="170" fontId="31" fillId="0" borderId="0" xfId="7" applyNumberFormat="1" applyFont="1" applyAlignment="1">
      <alignment horizontal="right"/>
    </xf>
    <xf numFmtId="170" fontId="8" fillId="0" borderId="0" xfId="7" applyNumberFormat="1" applyFont="1" applyAlignment="1">
      <alignment horizontal="right"/>
    </xf>
    <xf numFmtId="3" fontId="33" fillId="0" borderId="0" xfId="7" applyNumberFormat="1" applyFont="1"/>
    <xf numFmtId="170" fontId="33" fillId="0" borderId="0" xfId="7" applyNumberFormat="1" applyFont="1"/>
    <xf numFmtId="3" fontId="34" fillId="0" borderId="0" xfId="7" applyNumberFormat="1" applyFont="1"/>
    <xf numFmtId="3" fontId="34" fillId="0" borderId="20" xfId="7" applyNumberFormat="1" applyFont="1" applyBorder="1"/>
    <xf numFmtId="171" fontId="8" fillId="0" borderId="0" xfId="7" applyNumberFormat="1" applyFont="1"/>
    <xf numFmtId="3" fontId="27" fillId="0" borderId="0" xfId="7" applyNumberFormat="1" applyFont="1"/>
    <xf numFmtId="171" fontId="27" fillId="0" borderId="0" xfId="7" applyNumberFormat="1" applyFont="1"/>
    <xf numFmtId="3" fontId="35" fillId="0" borderId="0" xfId="7" applyNumberFormat="1" applyFont="1"/>
    <xf numFmtId="3" fontId="36" fillId="0" borderId="0" xfId="7" applyNumberFormat="1" applyFont="1"/>
    <xf numFmtId="3" fontId="37" fillId="0" borderId="0" xfId="7" applyNumberFormat="1" applyFont="1"/>
    <xf numFmtId="3" fontId="46" fillId="0" borderId="0" xfId="7" applyNumberFormat="1" applyFont="1"/>
    <xf numFmtId="170" fontId="47" fillId="0" borderId="0" xfId="7" applyNumberFormat="1" applyFont="1" applyAlignment="1">
      <alignment horizontal="right"/>
    </xf>
    <xf numFmtId="3" fontId="47" fillId="0" borderId="0" xfId="7" applyNumberFormat="1" applyFont="1"/>
    <xf numFmtId="171" fontId="47" fillId="0" borderId="0" xfId="7" applyNumberFormat="1" applyFont="1"/>
    <xf numFmtId="3" fontId="46" fillId="0" borderId="20" xfId="7" applyNumberFormat="1" applyFont="1" applyBorder="1"/>
    <xf numFmtId="170" fontId="38" fillId="0" borderId="0" xfId="7" applyNumberFormat="1" applyFont="1" applyAlignment="1">
      <alignment horizontal="right"/>
    </xf>
    <xf numFmtId="171" fontId="38" fillId="0" borderId="0" xfId="7" applyNumberFormat="1" applyFont="1"/>
    <xf numFmtId="3" fontId="38" fillId="0" borderId="20" xfId="7" applyNumberFormat="1" applyFont="1" applyBorder="1"/>
    <xf numFmtId="3" fontId="38" fillId="0" borderId="29" xfId="7" applyNumberFormat="1" applyFont="1" applyBorder="1"/>
    <xf numFmtId="3" fontId="9" fillId="0" borderId="28" xfId="7" applyNumberFormat="1" applyFont="1" applyBorder="1"/>
    <xf numFmtId="3" fontId="9" fillId="0" borderId="65" xfId="7" applyNumberFormat="1" applyFont="1" applyBorder="1"/>
    <xf numFmtId="3" fontId="9" fillId="0" borderId="66" xfId="7" applyNumberFormat="1" applyFont="1" applyBorder="1"/>
    <xf numFmtId="3" fontId="9" fillId="0" borderId="67" xfId="7" applyNumberFormat="1" applyFont="1" applyBorder="1"/>
    <xf numFmtId="3" fontId="9" fillId="0" borderId="1" xfId="7" applyNumberFormat="1" applyFont="1" applyBorder="1"/>
    <xf numFmtId="10" fontId="9" fillId="0" borderId="0" xfId="7" applyNumberFormat="1" applyFont="1"/>
    <xf numFmtId="3" fontId="9" fillId="0" borderId="23" xfId="7" applyNumberFormat="1" applyFont="1" applyBorder="1"/>
    <xf numFmtId="3" fontId="9" fillId="0" borderId="68" xfId="7" applyNumberFormat="1" applyFont="1" applyBorder="1"/>
    <xf numFmtId="3" fontId="9" fillId="0" borderId="0" xfId="7" applyNumberFormat="1" applyFont="1" applyAlignment="1">
      <alignment horizontal="center"/>
    </xf>
    <xf numFmtId="172" fontId="9" fillId="0" borderId="0" xfId="7" applyNumberFormat="1" applyFont="1"/>
    <xf numFmtId="10" fontId="9" fillId="0" borderId="0" xfId="7" applyNumberFormat="1" applyFont="1" applyAlignment="1">
      <alignment horizontal="center"/>
    </xf>
    <xf numFmtId="10" fontId="10" fillId="0" borderId="0" xfId="7" applyNumberFormat="1" applyFont="1" applyAlignment="1">
      <alignment horizontal="center"/>
    </xf>
    <xf numFmtId="3" fontId="10" fillId="0" borderId="0" xfId="7" applyNumberFormat="1" applyFont="1" applyAlignment="1">
      <alignment horizontal="center"/>
    </xf>
    <xf numFmtId="4" fontId="9" fillId="0" borderId="0" xfId="7" applyNumberFormat="1" applyFont="1"/>
    <xf numFmtId="165" fontId="9" fillId="0" borderId="0" xfId="7" applyNumberFormat="1" applyFont="1"/>
    <xf numFmtId="0" fontId="9" fillId="0" borderId="0" xfId="7" applyFont="1"/>
    <xf numFmtId="171" fontId="9" fillId="0" borderId="0" xfId="7" applyNumberFormat="1" applyFont="1"/>
    <xf numFmtId="164" fontId="9" fillId="0" borderId="63" xfId="7" applyNumberFormat="1" applyFont="1" applyBorder="1"/>
    <xf numFmtId="167" fontId="39" fillId="0" borderId="0" xfId="7" applyNumberFormat="1" applyFont="1"/>
    <xf numFmtId="3" fontId="9" fillId="0" borderId="63" xfId="7" applyNumberFormat="1" applyFont="1" applyBorder="1" applyAlignment="1">
      <alignment horizontal="center"/>
    </xf>
    <xf numFmtId="10" fontId="9" fillId="0" borderId="63" xfId="7" applyNumberFormat="1" applyFont="1" applyBorder="1"/>
    <xf numFmtId="10" fontId="9" fillId="0" borderId="0" xfId="7" applyNumberFormat="1" applyFont="1" applyAlignment="1">
      <alignment horizontal="right"/>
    </xf>
    <xf numFmtId="173" fontId="9" fillId="0" borderId="0" xfId="7" applyNumberFormat="1" applyFont="1"/>
    <xf numFmtId="3" fontId="9" fillId="0" borderId="0" xfId="7" applyNumberFormat="1" applyFont="1" applyAlignment="1">
      <alignment horizontal="left"/>
    </xf>
    <xf numFmtId="174" fontId="9" fillId="0" borderId="0" xfId="7" applyNumberFormat="1" applyFont="1"/>
    <xf numFmtId="175" fontId="9" fillId="0" borderId="0" xfId="7" applyNumberFormat="1" applyFont="1"/>
    <xf numFmtId="176" fontId="9" fillId="0" borderId="0" xfId="7" applyNumberFormat="1" applyFont="1" applyAlignment="1">
      <alignment horizontal="center"/>
    </xf>
    <xf numFmtId="176" fontId="9" fillId="0" borderId="63" xfId="7" applyNumberFormat="1" applyFont="1" applyBorder="1" applyAlignment="1">
      <alignment horizontal="center"/>
    </xf>
    <xf numFmtId="1" fontId="9" fillId="0" borderId="0" xfId="7" applyNumberFormat="1" applyFont="1"/>
    <xf numFmtId="3" fontId="11" fillId="0" borderId="0" xfId="7" applyNumberFormat="1" applyFont="1"/>
    <xf numFmtId="177" fontId="9" fillId="0" borderId="0" xfId="7" applyNumberFormat="1" applyFont="1"/>
    <xf numFmtId="3" fontId="9" fillId="0" borderId="30" xfId="7" applyNumberFormat="1" applyFont="1" applyBorder="1"/>
    <xf numFmtId="3" fontId="10" fillId="0" borderId="30" xfId="7" applyNumberFormat="1" applyFont="1" applyBorder="1"/>
    <xf numFmtId="3" fontId="9" fillId="0" borderId="31" xfId="7" applyNumberFormat="1" applyFont="1" applyBorder="1"/>
    <xf numFmtId="3" fontId="8" fillId="0" borderId="0" xfId="7" applyNumberFormat="1" applyFont="1" applyAlignment="1">
      <alignment horizontal="right"/>
    </xf>
    <xf numFmtId="0" fontId="9" fillId="0" borderId="63" xfId="7" applyFont="1" applyBorder="1"/>
    <xf numFmtId="0" fontId="9" fillId="0" borderId="63" xfId="7" applyFont="1" applyBorder="1" applyAlignment="1">
      <alignment horizontal="center"/>
    </xf>
    <xf numFmtId="1" fontId="5" fillId="0" borderId="0" xfId="0" applyNumberFormat="1" applyFont="1" applyFill="1" applyBorder="1" applyAlignment="1" applyProtection="1">
      <alignment horizontal="center"/>
    </xf>
    <xf numFmtId="0" fontId="48" fillId="0" borderId="36" xfId="9" applyFont="1" applyBorder="1"/>
    <xf numFmtId="0" fontId="49" fillId="0" borderId="37" xfId="9" applyFont="1" applyBorder="1"/>
    <xf numFmtId="0" fontId="1" fillId="0" borderId="0" xfId="9"/>
    <xf numFmtId="0" fontId="1" fillId="4" borderId="0" xfId="9" applyFill="1"/>
    <xf numFmtId="0" fontId="50" fillId="0" borderId="15" xfId="9" applyFont="1" applyBorder="1"/>
    <xf numFmtId="0" fontId="49" fillId="0" borderId="0" xfId="9" applyFont="1"/>
    <xf numFmtId="0" fontId="52" fillId="0" borderId="0" xfId="9" applyFont="1"/>
    <xf numFmtId="0" fontId="53" fillId="0" borderId="15" xfId="9" applyFont="1" applyBorder="1"/>
    <xf numFmtId="0" fontId="49" fillId="0" borderId="15" xfId="9" applyFont="1" applyBorder="1"/>
    <xf numFmtId="164" fontId="49" fillId="0" borderId="0" xfId="9" applyNumberFormat="1" applyFont="1"/>
    <xf numFmtId="164" fontId="49" fillId="0" borderId="0" xfId="9" quotePrefix="1" applyNumberFormat="1" applyFont="1" applyAlignment="1">
      <alignment horizontal="right"/>
    </xf>
    <xf numFmtId="165" fontId="49" fillId="0" borderId="0" xfId="10" applyNumberFormat="1" applyFont="1" applyFill="1" applyBorder="1" applyProtection="1"/>
    <xf numFmtId="164" fontId="53" fillId="0" borderId="0" xfId="9" applyNumberFormat="1" applyFont="1"/>
    <xf numFmtId="164" fontId="49" fillId="0" borderId="0" xfId="10" applyNumberFormat="1" applyFont="1" applyFill="1" applyBorder="1" applyProtection="1"/>
    <xf numFmtId="0" fontId="5" fillId="4" borderId="0" xfId="9" applyFont="1" applyFill="1"/>
    <xf numFmtId="0" fontId="5" fillId="0" borderId="0" xfId="9" applyFont="1"/>
    <xf numFmtId="165" fontId="54" fillId="0" borderId="0" xfId="10" applyNumberFormat="1" applyFont="1" applyFill="1" applyBorder="1" applyProtection="1"/>
    <xf numFmtId="6" fontId="53" fillId="0" borderId="0" xfId="9" applyNumberFormat="1" applyFont="1"/>
    <xf numFmtId="0" fontId="56" fillId="0" borderId="0" xfId="9" applyFont="1"/>
    <xf numFmtId="0" fontId="49" fillId="0" borderId="15" xfId="9" applyFont="1" applyBorder="1" applyAlignment="1">
      <alignment horizontal="left" wrapText="1"/>
    </xf>
    <xf numFmtId="6" fontId="49" fillId="0" borderId="0" xfId="9" applyNumberFormat="1" applyFont="1"/>
    <xf numFmtId="0" fontId="56" fillId="4" borderId="0" xfId="9" applyFont="1" applyFill="1"/>
    <xf numFmtId="164" fontId="49" fillId="0" borderId="29" xfId="9" applyNumberFormat="1" applyFont="1" applyBorder="1"/>
    <xf numFmtId="165" fontId="49" fillId="0" borderId="0" xfId="10" applyNumberFormat="1" applyFont="1" applyFill="1" applyBorder="1" applyAlignment="1" applyProtection="1">
      <alignment horizontal="right"/>
    </xf>
    <xf numFmtId="0" fontId="58" fillId="0" borderId="0" xfId="9" applyFont="1"/>
    <xf numFmtId="0" fontId="50" fillId="0" borderId="0" xfId="9" applyFont="1"/>
    <xf numFmtId="0" fontId="5" fillId="0" borderId="6" xfId="0" applyFont="1" applyBorder="1" applyAlignment="1" applyProtection="1">
      <alignment horizontal="center" vertical="center" wrapText="1"/>
    </xf>
    <xf numFmtId="165" fontId="59" fillId="0" borderId="0" xfId="10" applyNumberFormat="1" applyFont="1" applyFill="1" applyBorder="1" applyProtection="1"/>
    <xf numFmtId="0" fontId="53" fillId="0" borderId="69" xfId="9" applyFont="1" applyBorder="1"/>
    <xf numFmtId="164" fontId="49" fillId="0" borderId="0" xfId="9" applyNumberFormat="1" applyFont="1" applyBorder="1"/>
    <xf numFmtId="164" fontId="49" fillId="0" borderId="0" xfId="9" applyNumberFormat="1" applyFont="1" applyBorder="1" applyAlignment="1">
      <alignment horizontal="right"/>
    </xf>
    <xf numFmtId="164" fontId="49" fillId="0" borderId="0" xfId="9" quotePrefix="1" applyNumberFormat="1" applyFont="1" applyBorder="1" applyAlignment="1">
      <alignment horizontal="right"/>
    </xf>
    <xf numFmtId="164" fontId="53" fillId="0" borderId="0" xfId="9" applyNumberFormat="1" applyFont="1" applyBorder="1"/>
    <xf numFmtId="164" fontId="53" fillId="0" borderId="0" xfId="9" applyNumberFormat="1" applyFont="1" applyBorder="1" applyAlignment="1">
      <alignment horizontal="right"/>
    </xf>
    <xf numFmtId="164" fontId="49" fillId="0" borderId="0" xfId="9" applyNumberFormat="1" applyFont="1" applyBorder="1" applyAlignment="1" applyProtection="1">
      <alignment horizontal="right"/>
    </xf>
    <xf numFmtId="164" fontId="49" fillId="0" borderId="57" xfId="9" applyNumberFormat="1" applyFont="1" applyFill="1" applyBorder="1" applyProtection="1"/>
    <xf numFmtId="0" fontId="49" fillId="0" borderId="70" xfId="9" applyFont="1" applyBorder="1" applyAlignment="1">
      <alignment horizontal="right"/>
    </xf>
    <xf numFmtId="0" fontId="51" fillId="0" borderId="71" xfId="9" applyFont="1" applyBorder="1"/>
    <xf numFmtId="0" fontId="51" fillId="0" borderId="69" xfId="9" applyFont="1" applyBorder="1" applyAlignment="1">
      <alignment horizontal="center"/>
    </xf>
    <xf numFmtId="0" fontId="49" fillId="0" borderId="0" xfId="9" applyFont="1" applyBorder="1"/>
    <xf numFmtId="0" fontId="49" fillId="0" borderId="0" xfId="9" applyFont="1" applyBorder="1" applyAlignment="1">
      <alignment horizontal="right"/>
    </xf>
    <xf numFmtId="164" fontId="49" fillId="0" borderId="0" xfId="9" applyNumberFormat="1" applyFont="1" applyBorder="1" applyProtection="1"/>
    <xf numFmtId="164" fontId="49" fillId="0" borderId="29" xfId="9" applyNumberFormat="1" applyFont="1" applyBorder="1" applyAlignment="1">
      <alignment horizontal="right"/>
    </xf>
    <xf numFmtId="0" fontId="59" fillId="0" borderId="72" xfId="9" applyFont="1" applyBorder="1"/>
    <xf numFmtId="164" fontId="59" fillId="0" borderId="29" xfId="9" applyNumberFormat="1" applyFont="1" applyBorder="1"/>
    <xf numFmtId="165" fontId="59" fillId="0" borderId="29" xfId="10" applyNumberFormat="1" applyFont="1" applyFill="1" applyBorder="1" applyProtection="1"/>
    <xf numFmtId="164" fontId="49" fillId="0" borderId="0" xfId="9" applyNumberFormat="1" applyFont="1" applyFill="1"/>
    <xf numFmtId="6" fontId="49" fillId="0" borderId="0" xfId="9" applyNumberFormat="1" applyFont="1" applyFill="1"/>
    <xf numFmtId="0" fontId="49" fillId="0" borderId="15" xfId="9" applyFont="1" applyFill="1" applyBorder="1" applyAlignment="1">
      <alignment horizontal="center"/>
    </xf>
    <xf numFmtId="0" fontId="49" fillId="0" borderId="0" xfId="9" applyFont="1" applyFill="1"/>
    <xf numFmtId="10" fontId="53" fillId="0" borderId="0" xfId="10" applyNumberFormat="1" applyFont="1" applyFill="1" applyBorder="1" applyAlignment="1" applyProtection="1">
      <alignment horizontal="center"/>
      <protection locked="0"/>
    </xf>
    <xf numFmtId="165" fontId="49" fillId="0" borderId="14" xfId="10" applyNumberFormat="1" applyFont="1" applyFill="1" applyBorder="1" applyAlignment="1" applyProtection="1">
      <alignment horizontal="right"/>
    </xf>
    <xf numFmtId="0" fontId="53" fillId="5" borderId="72" xfId="9" applyFont="1" applyFill="1" applyBorder="1"/>
    <xf numFmtId="6" fontId="53" fillId="5" borderId="1" xfId="9" applyNumberFormat="1" applyFont="1" applyFill="1" applyBorder="1"/>
    <xf numFmtId="0" fontId="1" fillId="0" borderId="0" xfId="9" applyFill="1"/>
    <xf numFmtId="0" fontId="51" fillId="0" borderId="75" xfId="9" applyFont="1" applyBorder="1" applyAlignment="1">
      <alignment horizontal="center"/>
    </xf>
    <xf numFmtId="0" fontId="1" fillId="0" borderId="14" xfId="9" applyBorder="1"/>
    <xf numFmtId="0" fontId="49" fillId="0" borderId="14" xfId="9" applyFont="1" applyBorder="1"/>
    <xf numFmtId="164" fontId="49" fillId="0" borderId="14" xfId="9" applyNumberFormat="1" applyFont="1" applyBorder="1" applyAlignment="1">
      <alignment horizontal="right"/>
    </xf>
    <xf numFmtId="164" fontId="49" fillId="0" borderId="56" xfId="9" applyNumberFormat="1" applyFont="1" applyFill="1" applyBorder="1" applyProtection="1"/>
    <xf numFmtId="164" fontId="49" fillId="0" borderId="14" xfId="9" applyNumberFormat="1" applyFont="1" applyBorder="1"/>
    <xf numFmtId="164" fontId="49" fillId="0" borderId="14" xfId="9" quotePrefix="1" applyNumberFormat="1" applyFont="1" applyBorder="1" applyAlignment="1">
      <alignment horizontal="right"/>
    </xf>
    <xf numFmtId="164" fontId="53" fillId="0" borderId="14" xfId="9" applyNumberFormat="1" applyFont="1" applyBorder="1"/>
    <xf numFmtId="165" fontId="49" fillId="0" borderId="14" xfId="10" applyNumberFormat="1" applyFont="1" applyFill="1" applyBorder="1" applyProtection="1"/>
    <xf numFmtId="164" fontId="49" fillId="0" borderId="14" xfId="10" applyNumberFormat="1" applyFont="1" applyFill="1" applyBorder="1" applyProtection="1"/>
    <xf numFmtId="164" fontId="49" fillId="0" borderId="73" xfId="9" applyNumberFormat="1" applyFont="1" applyBorder="1"/>
    <xf numFmtId="165" fontId="59" fillId="0" borderId="73" xfId="10" applyNumberFormat="1" applyFont="1" applyFill="1" applyBorder="1" applyProtection="1"/>
    <xf numFmtId="164" fontId="49" fillId="0" borderId="14" xfId="9" applyNumberFormat="1" applyFont="1" applyFill="1" applyBorder="1"/>
    <xf numFmtId="6" fontId="53" fillId="0" borderId="14" xfId="9" applyNumberFormat="1" applyFont="1" applyBorder="1"/>
    <xf numFmtId="6" fontId="49" fillId="0" borderId="14" xfId="9" applyNumberFormat="1" applyFont="1" applyBorder="1"/>
    <xf numFmtId="0" fontId="54" fillId="0" borderId="74" xfId="9" applyFont="1" applyBorder="1"/>
    <xf numFmtId="0" fontId="51" fillId="0" borderId="74" xfId="9" applyFont="1" applyBorder="1"/>
    <xf numFmtId="0" fontId="51" fillId="0" borderId="15" xfId="9" applyFont="1" applyBorder="1"/>
    <xf numFmtId="179" fontId="49" fillId="0" borderId="0" xfId="10" applyNumberFormat="1" applyFont="1" applyFill="1" applyBorder="1" applyAlignment="1" applyProtection="1">
      <alignment horizontal="right"/>
    </xf>
    <xf numFmtId="179" fontId="49" fillId="0" borderId="0" xfId="10" applyNumberFormat="1" applyFont="1" applyFill="1" applyBorder="1" applyProtection="1"/>
    <xf numFmtId="179" fontId="59" fillId="0" borderId="0" xfId="10" applyNumberFormat="1" applyFont="1" applyFill="1" applyBorder="1" applyProtection="1"/>
    <xf numFmtId="0" fontId="55" fillId="0" borderId="0" xfId="9" applyFont="1" applyBorder="1"/>
    <xf numFmtId="0" fontId="1" fillId="0" borderId="0" xfId="9" applyBorder="1"/>
    <xf numFmtId="6" fontId="53" fillId="0" borderId="0" xfId="9" applyNumberFormat="1" applyFont="1" applyBorder="1"/>
    <xf numFmtId="0" fontId="1" fillId="0" borderId="78" xfId="9" applyFill="1" applyBorder="1"/>
    <xf numFmtId="0" fontId="1" fillId="0" borderId="79" xfId="9" applyFill="1" applyBorder="1"/>
    <xf numFmtId="0" fontId="1" fillId="0" borderId="80" xfId="9" applyFill="1" applyBorder="1"/>
    <xf numFmtId="0" fontId="1" fillId="0" borderId="32" xfId="9" applyBorder="1"/>
    <xf numFmtId="0" fontId="55" fillId="5" borderId="1" xfId="9" applyFont="1" applyFill="1" applyBorder="1"/>
    <xf numFmtId="0" fontId="1" fillId="5" borderId="1" xfId="9" applyFill="1" applyBorder="1"/>
    <xf numFmtId="0" fontId="56" fillId="0" borderId="0" xfId="9" applyFont="1" applyFill="1"/>
    <xf numFmtId="0" fontId="5" fillId="0" borderId="81" xfId="0" applyFont="1" applyBorder="1" applyAlignment="1">
      <alignment horizontal="right" wrapText="1"/>
    </xf>
    <xf numFmtId="0" fontId="5" fillId="0" borderId="81" xfId="0" applyFont="1" applyBorder="1" applyAlignment="1">
      <alignment horizontal="center" vertical="center"/>
    </xf>
    <xf numFmtId="0" fontId="5" fillId="0" borderId="81" xfId="0" applyFont="1" applyBorder="1" applyAlignment="1">
      <alignment horizontal="center"/>
    </xf>
    <xf numFmtId="0" fontId="4" fillId="0" borderId="15" xfId="0" applyFont="1" applyBorder="1"/>
    <xf numFmtId="0" fontId="1" fillId="0" borderId="84" xfId="0" applyFont="1" applyBorder="1"/>
    <xf numFmtId="0" fontId="1" fillId="0" borderId="15" xfId="0" applyFont="1" applyBorder="1"/>
    <xf numFmtId="0" fontId="0" fillId="0" borderId="44" xfId="0" applyBorder="1"/>
    <xf numFmtId="0" fontId="6" fillId="0" borderId="77" xfId="0" applyFont="1" applyBorder="1" applyAlignment="1" applyProtection="1">
      <alignment horizontal="right"/>
    </xf>
    <xf numFmtId="0" fontId="5" fillId="0" borderId="6" xfId="0" applyFont="1" applyFill="1" applyBorder="1" applyAlignment="1" applyProtection="1">
      <alignment horizontal="center" vertical="center" wrapText="1"/>
    </xf>
    <xf numFmtId="0" fontId="0" fillId="0" borderId="14" xfId="0" applyBorder="1"/>
    <xf numFmtId="0" fontId="1" fillId="0" borderId="85" xfId="0" applyFont="1" applyBorder="1"/>
    <xf numFmtId="0" fontId="5" fillId="0" borderId="83" xfId="0" applyFont="1" applyBorder="1" applyAlignment="1">
      <alignment horizontal="center" vertical="center" wrapText="1"/>
    </xf>
    <xf numFmtId="178" fontId="5" fillId="0" borderId="14" xfId="0" applyNumberFormat="1" applyFont="1" applyBorder="1" applyAlignment="1">
      <alignment horizontal="center"/>
    </xf>
    <xf numFmtId="0" fontId="63" fillId="0" borderId="74" xfId="9" applyFont="1" applyBorder="1" applyAlignment="1">
      <alignment horizontal="center"/>
    </xf>
    <xf numFmtId="0" fontId="49" fillId="0" borderId="70" xfId="9" applyFont="1" applyFill="1" applyBorder="1" applyAlignment="1" applyProtection="1">
      <alignment horizontal="center"/>
    </xf>
    <xf numFmtId="0" fontId="49" fillId="0" borderId="0" xfId="9" applyFont="1" applyFill="1" applyProtection="1"/>
    <xf numFmtId="164" fontId="6" fillId="0" borderId="0" xfId="0" applyNumberFormat="1" applyFont="1" applyFill="1" applyBorder="1" applyAlignment="1" applyProtection="1">
      <alignment horizontal="center" vertical="center" wrapText="1"/>
    </xf>
    <xf numFmtId="164" fontId="13" fillId="0" borderId="0" xfId="0" applyNumberFormat="1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horizontal="center" vertical="center"/>
    </xf>
    <xf numFmtId="0" fontId="40" fillId="0" borderId="32" xfId="0" applyFont="1" applyFill="1" applyBorder="1" applyProtection="1"/>
    <xf numFmtId="0" fontId="0" fillId="0" borderId="9" xfId="0" applyBorder="1" applyProtection="1"/>
    <xf numFmtId="0" fontId="1" fillId="0" borderId="77" xfId="0" applyFont="1" applyBorder="1"/>
    <xf numFmtId="0" fontId="5" fillId="0" borderId="82" xfId="0" applyFont="1" applyBorder="1" applyAlignment="1">
      <alignment horizontal="right" wrapText="1"/>
    </xf>
    <xf numFmtId="164" fontId="49" fillId="0" borderId="57" xfId="9" applyNumberFormat="1" applyFont="1" applyBorder="1"/>
    <xf numFmtId="164" fontId="49" fillId="0" borderId="56" xfId="9" applyNumberFormat="1" applyFont="1" applyBorder="1"/>
    <xf numFmtId="0" fontId="51" fillId="0" borderId="76" xfId="9" applyFont="1" applyFill="1" applyBorder="1" applyAlignment="1">
      <alignment horizontal="center"/>
    </xf>
    <xf numFmtId="0" fontId="53" fillId="0" borderId="86" xfId="9" applyFont="1" applyBorder="1"/>
    <xf numFmtId="179" fontId="49" fillId="0" borderId="14" xfId="10" applyNumberFormat="1" applyFont="1" applyFill="1" applyBorder="1" applyAlignment="1" applyProtection="1">
      <alignment horizontal="right"/>
    </xf>
    <xf numFmtId="6" fontId="53" fillId="5" borderId="73" xfId="9" applyNumberFormat="1" applyFont="1" applyFill="1" applyBorder="1"/>
    <xf numFmtId="0" fontId="51" fillId="0" borderId="86" xfId="9" applyFont="1" applyBorder="1" applyAlignment="1">
      <alignment horizontal="center"/>
    </xf>
    <xf numFmtId="179" fontId="49" fillId="0" borderId="14" xfId="10" applyNumberFormat="1" applyFont="1" applyFill="1" applyBorder="1" applyProtection="1"/>
    <xf numFmtId="179" fontId="59" fillId="0" borderId="14" xfId="10" applyNumberFormat="1" applyFont="1" applyFill="1" applyBorder="1" applyProtection="1"/>
    <xf numFmtId="167" fontId="0" fillId="0" borderId="0" xfId="0" applyNumberFormat="1" applyFill="1" applyAlignment="1" applyProtection="1">
      <alignment horizontal="center"/>
    </xf>
    <xf numFmtId="0" fontId="12" fillId="0" borderId="87" xfId="0" applyFont="1" applyBorder="1" applyAlignment="1" applyProtection="1">
      <alignment horizontal="right" vertical="center" wrapText="1"/>
    </xf>
    <xf numFmtId="0" fontId="0" fillId="0" borderId="0" xfId="0" applyFill="1" applyAlignment="1" applyProtection="1">
      <alignment horizontal="right" vertical="center" wrapText="1"/>
    </xf>
    <xf numFmtId="0" fontId="12" fillId="0" borderId="88" xfId="0" applyFont="1" applyFill="1" applyBorder="1" applyAlignment="1" applyProtection="1">
      <alignment horizontal="center" vertical="center"/>
    </xf>
    <xf numFmtId="167" fontId="12" fillId="0" borderId="88" xfId="0" applyNumberFormat="1" applyFont="1" applyFill="1" applyBorder="1" applyAlignment="1" applyProtection="1">
      <alignment horizontal="center" vertical="center"/>
    </xf>
    <xf numFmtId="167" fontId="12" fillId="0" borderId="89" xfId="0" applyNumberFormat="1" applyFont="1" applyFill="1" applyBorder="1" applyAlignment="1" applyProtection="1">
      <alignment horizontal="center" vertical="center"/>
    </xf>
    <xf numFmtId="173" fontId="49" fillId="0" borderId="0" xfId="10" applyNumberFormat="1" applyFont="1" applyFill="1" applyBorder="1" applyAlignment="1" applyProtection="1">
      <alignment horizontal="right"/>
    </xf>
    <xf numFmtId="173" fontId="49" fillId="0" borderId="14" xfId="10" applyNumberFormat="1" applyFont="1" applyFill="1" applyBorder="1" applyAlignment="1" applyProtection="1">
      <alignment horizontal="right"/>
    </xf>
    <xf numFmtId="173" fontId="53" fillId="0" borderId="57" xfId="10" applyNumberFormat="1" applyFont="1" applyFill="1" applyBorder="1" applyAlignment="1" applyProtection="1">
      <alignment horizontal="center"/>
    </xf>
    <xf numFmtId="173" fontId="53" fillId="0" borderId="56" xfId="10" applyNumberFormat="1" applyFont="1" applyFill="1" applyBorder="1" applyAlignment="1" applyProtection="1">
      <alignment horizontal="center"/>
    </xf>
    <xf numFmtId="0" fontId="57" fillId="6" borderId="74" xfId="9" applyFont="1" applyFill="1" applyBorder="1"/>
    <xf numFmtId="0" fontId="57" fillId="6" borderId="75" xfId="9" applyFont="1" applyFill="1" applyBorder="1"/>
    <xf numFmtId="6" fontId="57" fillId="6" borderId="75" xfId="11" applyNumberFormat="1" applyFont="1" applyFill="1" applyBorder="1" applyProtection="1"/>
    <xf numFmtId="6" fontId="57" fillId="6" borderId="86" xfId="11" applyNumberFormat="1" applyFont="1" applyFill="1" applyBorder="1" applyProtection="1"/>
    <xf numFmtId="0" fontId="57" fillId="6" borderId="15" xfId="9" applyFont="1" applyFill="1" applyBorder="1"/>
    <xf numFmtId="0" fontId="57" fillId="6" borderId="0" xfId="9" applyFont="1" applyFill="1" applyBorder="1"/>
    <xf numFmtId="6" fontId="61" fillId="6" borderId="0" xfId="12" applyNumberFormat="1" applyFont="1" applyFill="1" applyBorder="1" applyProtection="1"/>
    <xf numFmtId="6" fontId="61" fillId="6" borderId="14" xfId="12" applyNumberFormat="1" applyFont="1" applyFill="1" applyBorder="1" applyProtection="1"/>
    <xf numFmtId="0" fontId="57" fillId="6" borderId="72" xfId="9" applyFont="1" applyFill="1" applyBorder="1"/>
    <xf numFmtId="0" fontId="57" fillId="6" borderId="1" xfId="9" applyFont="1" applyFill="1" applyBorder="1"/>
    <xf numFmtId="6" fontId="57" fillId="6" borderId="1" xfId="11" applyNumberFormat="1" applyFont="1" applyFill="1" applyBorder="1" applyProtection="1"/>
    <xf numFmtId="6" fontId="57" fillId="6" borderId="73" xfId="11" applyNumberFormat="1" applyFont="1" applyFill="1" applyBorder="1" applyProtection="1"/>
    <xf numFmtId="0" fontId="67" fillId="7" borderId="0" xfId="13" applyFont="1" applyFill="1"/>
    <xf numFmtId="0" fontId="68" fillId="7" borderId="0" xfId="13" applyFont="1" applyFill="1"/>
    <xf numFmtId="0" fontId="66" fillId="0" borderId="0" xfId="13"/>
    <xf numFmtId="0" fontId="70" fillId="8" borderId="0" xfId="14" applyFont="1" applyFill="1" applyAlignment="1" applyProtection="1"/>
    <xf numFmtId="0" fontId="66" fillId="8" borderId="0" xfId="13" applyFill="1"/>
    <xf numFmtId="0" fontId="71" fillId="8" borderId="0" xfId="13" applyFont="1" applyFill="1" applyAlignment="1">
      <alignment horizontal="right"/>
    </xf>
    <xf numFmtId="0" fontId="59" fillId="7" borderId="90" xfId="13" applyFont="1" applyFill="1" applyBorder="1" applyAlignment="1">
      <alignment horizontal="left" vertical="center" indent="1"/>
    </xf>
    <xf numFmtId="0" fontId="73" fillId="7" borderId="90" xfId="13" applyFont="1" applyFill="1" applyBorder="1" applyAlignment="1">
      <alignment horizontal="left" vertical="center" indent="1"/>
    </xf>
    <xf numFmtId="0" fontId="73" fillId="7" borderId="90" xfId="13" applyFont="1" applyFill="1" applyBorder="1" applyAlignment="1">
      <alignment horizontal="center" wrapText="1"/>
    </xf>
    <xf numFmtId="0" fontId="66" fillId="9" borderId="91" xfId="13" applyFill="1" applyBorder="1" applyAlignment="1">
      <alignment horizontal="center" wrapText="1"/>
    </xf>
    <xf numFmtId="0" fontId="59" fillId="8" borderId="0" xfId="13" applyFont="1" applyFill="1" applyAlignment="1">
      <alignment horizontal="right" indent="1"/>
    </xf>
    <xf numFmtId="0" fontId="59" fillId="0" borderId="0" xfId="13" applyFont="1" applyAlignment="1">
      <alignment horizontal="right" indent="1"/>
    </xf>
    <xf numFmtId="172" fontId="59" fillId="0" borderId="0" xfId="16" applyNumberFormat="1" applyFont="1"/>
    <xf numFmtId="10" fontId="59" fillId="0" borderId="93" xfId="16" applyNumberFormat="1" applyFont="1" applyBorder="1" applyAlignment="1" applyProtection="1">
      <alignment horizontal="right"/>
      <protection locked="0"/>
    </xf>
    <xf numFmtId="43" fontId="59" fillId="2" borderId="0" xfId="15" applyFont="1" applyFill="1"/>
    <xf numFmtId="1" fontId="59" fillId="0" borderId="93" xfId="13" applyNumberFormat="1" applyFont="1" applyBorder="1" applyAlignment="1" applyProtection="1">
      <alignment horizontal="right"/>
      <protection locked="0"/>
    </xf>
    <xf numFmtId="43" fontId="59" fillId="0" borderId="0" xfId="15" applyFont="1"/>
    <xf numFmtId="14" fontId="59" fillId="0" borderId="93" xfId="13" applyNumberFormat="1" applyFont="1" applyBorder="1" applyAlignment="1" applyProtection="1">
      <alignment horizontal="right"/>
      <protection locked="0"/>
    </xf>
    <xf numFmtId="43" fontId="59" fillId="0" borderId="0" xfId="15" applyFont="1" applyAlignment="1">
      <alignment horizontal="right"/>
    </xf>
    <xf numFmtId="0" fontId="74" fillId="0" borderId="0" xfId="13" applyFont="1" applyAlignment="1">
      <alignment horizontal="right"/>
    </xf>
    <xf numFmtId="14" fontId="72" fillId="0" borderId="93" xfId="13" applyNumberFormat="1" applyFont="1" applyBorder="1" applyAlignment="1" applyProtection="1">
      <alignment horizontal="right"/>
      <protection locked="0"/>
    </xf>
    <xf numFmtId="0" fontId="75" fillId="0" borderId="0" xfId="13" applyFont="1" applyAlignment="1">
      <alignment horizontal="right"/>
    </xf>
    <xf numFmtId="0" fontId="66" fillId="8" borderId="0" xfId="13" applyFill="1" applyAlignment="1">
      <alignment horizontal="right" indent="1"/>
    </xf>
    <xf numFmtId="0" fontId="76" fillId="0" borderId="0" xfId="13" applyFont="1" applyAlignment="1">
      <alignment horizontal="right"/>
    </xf>
    <xf numFmtId="0" fontId="57" fillId="0" borderId="0" xfId="13" applyFont="1" applyAlignment="1">
      <alignment horizontal="right" indent="1"/>
    </xf>
    <xf numFmtId="43" fontId="77" fillId="0" borderId="0" xfId="15" applyFont="1"/>
    <xf numFmtId="0" fontId="23" fillId="0" borderId="0" xfId="13" applyFont="1" applyAlignment="1">
      <alignment horizontal="left"/>
    </xf>
    <xf numFmtId="0" fontId="73" fillId="7" borderId="94" xfId="13" applyFont="1" applyFill="1" applyBorder="1" applyAlignment="1">
      <alignment horizontal="center"/>
    </xf>
    <xf numFmtId="0" fontId="66" fillId="7" borderId="94" xfId="13" applyFill="1" applyBorder="1" applyAlignment="1">
      <alignment horizontal="center" wrapText="1"/>
    </xf>
    <xf numFmtId="0" fontId="66" fillId="7" borderId="94" xfId="13" applyFill="1" applyBorder="1" applyAlignment="1">
      <alignment horizontal="right" wrapText="1"/>
    </xf>
    <xf numFmtId="0" fontId="78" fillId="0" borderId="0" xfId="13" applyFont="1" applyAlignment="1">
      <alignment horizontal="center"/>
    </xf>
    <xf numFmtId="0" fontId="71" fillId="8" borderId="0" xfId="13" applyFont="1" applyFill="1" applyAlignment="1">
      <alignment horizontal="center" vertical="center"/>
    </xf>
    <xf numFmtId="14" fontId="71" fillId="8" borderId="0" xfId="13" applyNumberFormat="1" applyFont="1" applyFill="1" applyAlignment="1">
      <alignment horizontal="right" vertical="center"/>
    </xf>
    <xf numFmtId="0" fontId="71" fillId="8" borderId="0" xfId="13" applyFont="1" applyFill="1" applyAlignment="1">
      <alignment horizontal="right" vertical="center"/>
    </xf>
    <xf numFmtId="4" fontId="72" fillId="8" borderId="0" xfId="13" applyNumberFormat="1" applyFont="1" applyFill="1" applyAlignment="1">
      <alignment horizontal="right" vertical="center"/>
    </xf>
    <xf numFmtId="3" fontId="66" fillId="0" borderId="0" xfId="13" applyNumberFormat="1"/>
    <xf numFmtId="0" fontId="72" fillId="0" borderId="0" xfId="13" applyFont="1" applyAlignment="1">
      <alignment horizontal="center" vertical="center"/>
    </xf>
    <xf numFmtId="4" fontId="72" fillId="0" borderId="0" xfId="13" applyNumberFormat="1" applyFont="1" applyAlignment="1">
      <alignment horizontal="right" vertical="center"/>
    </xf>
    <xf numFmtId="0" fontId="72" fillId="0" borderId="0" xfId="13" applyFont="1" applyAlignment="1">
      <alignment vertical="center"/>
    </xf>
    <xf numFmtId="37" fontId="66" fillId="0" borderId="0" xfId="13" applyNumberFormat="1"/>
    <xf numFmtId="0" fontId="66" fillId="0" borderId="0" xfId="13" applyAlignment="1">
      <alignment vertical="center"/>
    </xf>
    <xf numFmtId="0" fontId="66" fillId="7" borderId="94" xfId="13" applyFill="1" applyBorder="1" applyAlignment="1">
      <alignment horizontal="center" vertical="center"/>
    </xf>
    <xf numFmtId="0" fontId="66" fillId="7" borderId="94" xfId="13" applyFill="1" applyBorder="1" applyAlignment="1">
      <alignment horizontal="center" vertical="center" wrapText="1"/>
    </xf>
    <xf numFmtId="0" fontId="66" fillId="7" borderId="94" xfId="13" applyFill="1" applyBorder="1" applyAlignment="1">
      <alignment horizontal="right" vertical="center" wrapText="1"/>
    </xf>
    <xf numFmtId="0" fontId="71" fillId="8" borderId="0" xfId="13" applyFont="1" applyFill="1" applyAlignment="1">
      <alignment horizontal="center"/>
    </xf>
    <xf numFmtId="14" fontId="71" fillId="8" borderId="0" xfId="13" applyNumberFormat="1" applyFont="1" applyFill="1" applyAlignment="1">
      <alignment horizontal="center"/>
    </xf>
    <xf numFmtId="4" fontId="71" fillId="8" borderId="0" xfId="13" applyNumberFormat="1" applyFont="1" applyFill="1" applyAlignment="1">
      <alignment horizontal="right"/>
    </xf>
    <xf numFmtId="0" fontId="71" fillId="0" borderId="0" xfId="13" applyFont="1" applyAlignment="1">
      <alignment horizontal="center"/>
    </xf>
    <xf numFmtId="180" fontId="71" fillId="0" borderId="0" xfId="13" applyNumberFormat="1" applyFont="1" applyAlignment="1">
      <alignment horizontal="center"/>
    </xf>
    <xf numFmtId="4" fontId="71" fillId="0" borderId="0" xfId="13" applyNumberFormat="1" applyFont="1" applyAlignment="1">
      <alignment horizontal="center"/>
    </xf>
    <xf numFmtId="4" fontId="71" fillId="0" borderId="95" xfId="13" applyNumberFormat="1" applyFont="1" applyBorder="1" applyAlignment="1" applyProtection="1">
      <alignment horizontal="center"/>
      <protection locked="0"/>
    </xf>
    <xf numFmtId="4" fontId="71" fillId="0" borderId="0" xfId="13" applyNumberFormat="1" applyFont="1" applyAlignment="1">
      <alignment horizontal="right"/>
    </xf>
    <xf numFmtId="4" fontId="71" fillId="0" borderId="96" xfId="13" applyNumberFormat="1" applyFont="1" applyBorder="1" applyAlignment="1" applyProtection="1">
      <alignment horizontal="center"/>
      <protection locked="0"/>
    </xf>
    <xf numFmtId="0" fontId="0" fillId="0" borderId="0" xfId="16" applyNumberFormat="1" applyFont="1"/>
    <xf numFmtId="172" fontId="0" fillId="0" borderId="0" xfId="16" applyNumberFormat="1" applyFont="1"/>
    <xf numFmtId="4" fontId="71" fillId="0" borderId="92" xfId="13" applyNumberFormat="1" applyFont="1" applyBorder="1" applyAlignment="1" applyProtection="1">
      <alignment horizontal="center"/>
      <protection locked="0"/>
    </xf>
    <xf numFmtId="0" fontId="66" fillId="10" borderId="0" xfId="13" applyFill="1"/>
    <xf numFmtId="0" fontId="66" fillId="10" borderId="0" xfId="13" applyFill="1" applyAlignment="1">
      <alignment horizontal="center"/>
    </xf>
    <xf numFmtId="0" fontId="5" fillId="0" borderId="0" xfId="0" applyFont="1" applyBorder="1" applyAlignment="1" applyProtection="1">
      <alignment horizontal="center" vertical="center" wrapText="1"/>
    </xf>
    <xf numFmtId="178" fontId="5" fillId="0" borderId="0" xfId="0" applyNumberFormat="1" applyFont="1" applyBorder="1" applyAlignment="1">
      <alignment horizontal="center" vertical="center"/>
    </xf>
    <xf numFmtId="0" fontId="82" fillId="0" borderId="15" xfId="0" applyFont="1" applyBorder="1" applyAlignment="1">
      <alignment horizontal="center" vertical="top" wrapText="1"/>
    </xf>
    <xf numFmtId="0" fontId="82" fillId="0" borderId="15" xfId="0" applyFont="1" applyBorder="1" applyAlignment="1">
      <alignment horizontal="right" vertical="top" wrapText="1"/>
    </xf>
    <xf numFmtId="3" fontId="8" fillId="0" borderId="0" xfId="17" applyNumberFormat="1" applyFont="1"/>
    <xf numFmtId="3" fontId="9" fillId="0" borderId="0" xfId="17" applyNumberFormat="1" applyFont="1"/>
    <xf numFmtId="165" fontId="9" fillId="0" borderId="0" xfId="17" applyNumberFormat="1" applyFont="1"/>
    <xf numFmtId="0" fontId="83" fillId="0" borderId="0" xfId="17"/>
    <xf numFmtId="3" fontId="8" fillId="0" borderId="0" xfId="17" applyNumberFormat="1" applyFont="1" applyAlignment="1">
      <alignment horizontal="right"/>
    </xf>
    <xf numFmtId="3" fontId="9" fillId="0" borderId="0" xfId="17" applyNumberFormat="1" applyFont="1" applyAlignment="1">
      <alignment horizontal="center"/>
    </xf>
    <xf numFmtId="3" fontId="10" fillId="0" borderId="0" xfId="17" applyNumberFormat="1" applyFont="1" applyAlignment="1">
      <alignment horizontal="center"/>
    </xf>
    <xf numFmtId="10" fontId="9" fillId="0" borderId="0" xfId="17" applyNumberFormat="1" applyFont="1" applyAlignment="1">
      <alignment horizontal="center"/>
    </xf>
    <xf numFmtId="10" fontId="9" fillId="0" borderId="0" xfId="17" applyNumberFormat="1" applyFont="1"/>
    <xf numFmtId="3" fontId="11" fillId="0" borderId="0" xfId="17" applyNumberFormat="1" applyFont="1" applyAlignment="1">
      <alignment horizontal="center"/>
    </xf>
    <xf numFmtId="10" fontId="11" fillId="0" borderId="0" xfId="17" applyNumberFormat="1" applyFont="1" applyAlignment="1">
      <alignment horizontal="center"/>
    </xf>
    <xf numFmtId="3" fontId="8" fillId="0" borderId="0" xfId="17" applyNumberFormat="1" applyFont="1" applyAlignment="1">
      <alignment horizontal="center"/>
    </xf>
    <xf numFmtId="3" fontId="9" fillId="0" borderId="97" xfId="17" applyNumberFormat="1" applyFont="1" applyBorder="1"/>
    <xf numFmtId="10" fontId="9" fillId="0" borderId="97" xfId="17" applyNumberFormat="1" applyFont="1" applyBorder="1"/>
    <xf numFmtId="1" fontId="9" fillId="0" borderId="97" xfId="17" applyNumberFormat="1" applyFont="1" applyBorder="1" applyAlignment="1">
      <alignment horizontal="center"/>
    </xf>
    <xf numFmtId="0" fontId="8" fillId="0" borderId="0" xfId="17" applyFont="1" applyAlignment="1">
      <alignment horizontal="center"/>
    </xf>
    <xf numFmtId="0" fontId="9" fillId="0" borderId="97" xfId="17" applyFont="1" applyBorder="1" applyAlignment="1">
      <alignment horizontal="center"/>
    </xf>
    <xf numFmtId="181" fontId="83" fillId="0" borderId="0" xfId="17" applyNumberFormat="1"/>
    <xf numFmtId="3" fontId="9" fillId="0" borderId="29" xfId="17" applyNumberFormat="1" applyFont="1" applyBorder="1"/>
    <xf numFmtId="0" fontId="8" fillId="0" borderId="29" xfId="17" applyFont="1" applyBorder="1" applyAlignment="1">
      <alignment horizontal="center"/>
    </xf>
    <xf numFmtId="3" fontId="83" fillId="0" borderId="0" xfId="17" applyNumberFormat="1"/>
    <xf numFmtId="0" fontId="84" fillId="0" borderId="0" xfId="17" applyFont="1" applyAlignment="1">
      <alignment horizontal="right"/>
    </xf>
    <xf numFmtId="3" fontId="84" fillId="0" borderId="0" xfId="17" applyNumberFormat="1" applyFont="1" applyAlignment="1">
      <alignment horizontal="center"/>
    </xf>
    <xf numFmtId="0" fontId="85" fillId="7" borderId="0" xfId="13" applyFont="1" applyFill="1" applyAlignment="1">
      <alignment vertical="center"/>
    </xf>
    <xf numFmtId="0" fontId="86" fillId="7" borderId="0" xfId="13" applyFont="1" applyFill="1"/>
    <xf numFmtId="41" fontId="59" fillId="0" borderId="92" xfId="15" applyNumberFormat="1" applyFont="1" applyBorder="1" applyProtection="1">
      <protection locked="0"/>
    </xf>
    <xf numFmtId="4" fontId="77" fillId="0" borderId="0" xfId="13" applyNumberFormat="1" applyFont="1" applyAlignment="1">
      <alignment horizontal="right"/>
    </xf>
    <xf numFmtId="3" fontId="77" fillId="0" borderId="96" xfId="13" applyNumberFormat="1" applyFont="1" applyBorder="1" applyAlignment="1" applyProtection="1">
      <alignment horizontal="center"/>
      <protection locked="0"/>
    </xf>
    <xf numFmtId="3" fontId="8" fillId="0" borderId="0" xfId="17" applyNumberFormat="1" applyFont="1" applyFill="1"/>
    <xf numFmtId="0" fontId="88" fillId="0" borderId="0" xfId="17" applyFont="1"/>
    <xf numFmtId="0" fontId="44" fillId="0" borderId="0" xfId="17" applyFont="1" applyAlignment="1">
      <alignment horizontal="right"/>
    </xf>
    <xf numFmtId="3" fontId="44" fillId="0" borderId="0" xfId="17" applyNumberFormat="1" applyFont="1" applyAlignment="1">
      <alignment horizontal="center"/>
    </xf>
    <xf numFmtId="3" fontId="87" fillId="0" borderId="0" xfId="17" applyNumberFormat="1" applyFont="1" applyAlignment="1">
      <alignment horizontal="center"/>
    </xf>
    <xf numFmtId="0" fontId="89" fillId="0" borderId="0" xfId="17" applyFont="1" applyAlignment="1">
      <alignment horizontal="center"/>
    </xf>
    <xf numFmtId="3" fontId="73" fillId="0" borderId="0" xfId="13" applyNumberFormat="1" applyFont="1" applyAlignment="1">
      <alignment horizontal="center"/>
    </xf>
    <xf numFmtId="0" fontId="0" fillId="0" borderId="98" xfId="0" applyFill="1" applyBorder="1" applyAlignment="1" applyProtection="1">
      <alignment horizontal="center"/>
    </xf>
    <xf numFmtId="0" fontId="5" fillId="0" borderId="99" xfId="0" applyFont="1" applyFill="1" applyBorder="1" applyAlignment="1" applyProtection="1">
      <alignment horizontal="center" vertical="center" wrapText="1"/>
    </xf>
    <xf numFmtId="178" fontId="1" fillId="0" borderId="14" xfId="0" applyNumberFormat="1" applyFont="1" applyBorder="1" applyAlignment="1">
      <alignment vertical="center"/>
    </xf>
    <xf numFmtId="178" fontId="5" fillId="0" borderId="100" xfId="0" applyNumberFormat="1" applyFont="1" applyBorder="1" applyAlignment="1">
      <alignment horizontal="center" vertical="center"/>
    </xf>
    <xf numFmtId="178" fontId="1" fillId="0" borderId="14" xfId="0" applyNumberFormat="1" applyFont="1" applyBorder="1"/>
    <xf numFmtId="0" fontId="5" fillId="0" borderId="101" xfId="0" applyFont="1" applyBorder="1" applyAlignment="1">
      <alignment horizontal="center" vertical="center" wrapText="1"/>
    </xf>
    <xf numFmtId="178" fontId="14" fillId="0" borderId="102" xfId="0" applyNumberFormat="1" applyFont="1" applyBorder="1" applyAlignment="1">
      <alignment horizontal="center"/>
    </xf>
    <xf numFmtId="3" fontId="0" fillId="0" borderId="98" xfId="0" applyNumberFormat="1" applyFill="1" applyBorder="1" applyAlignment="1" applyProtection="1">
      <alignment horizontal="center"/>
    </xf>
    <xf numFmtId="0" fontId="5" fillId="0" borderId="109" xfId="0" applyFont="1" applyBorder="1" applyAlignment="1">
      <alignment horizontal="center" vertical="center"/>
    </xf>
    <xf numFmtId="0" fontId="5" fillId="0" borderId="107" xfId="0" applyFont="1" applyBorder="1" applyAlignment="1">
      <alignment horizontal="center" vertical="center" wrapText="1"/>
    </xf>
    <xf numFmtId="0" fontId="1" fillId="0" borderId="107" xfId="0" applyFont="1" applyBorder="1"/>
    <xf numFmtId="0" fontId="56" fillId="0" borderId="110" xfId="0" applyFont="1" applyBorder="1" applyAlignment="1">
      <alignment vertical="top" wrapText="1"/>
    </xf>
    <xf numFmtId="0" fontId="5" fillId="0" borderId="104" xfId="0" applyFont="1" applyBorder="1" applyAlignment="1" applyProtection="1">
      <alignment horizontal="center" vertical="center" wrapText="1"/>
    </xf>
    <xf numFmtId="178" fontId="5" fillId="0" borderId="104" xfId="0" applyNumberFormat="1" applyFont="1" applyBorder="1" applyAlignment="1">
      <alignment horizontal="center" vertical="center"/>
    </xf>
    <xf numFmtId="178" fontId="5" fillId="0" borderId="105" xfId="0" applyNumberFormat="1" applyFont="1" applyBorder="1" applyAlignment="1">
      <alignment horizontal="center" vertical="center"/>
    </xf>
    <xf numFmtId="164" fontId="6" fillId="0" borderId="2" xfId="0" applyNumberFormat="1" applyFont="1" applyFill="1" applyBorder="1" applyAlignment="1" applyProtection="1">
      <alignment horizontal="center" vertical="center" wrapText="1"/>
    </xf>
    <xf numFmtId="0" fontId="5" fillId="0" borderId="114" xfId="0" applyFont="1" applyBorder="1" applyAlignment="1">
      <alignment horizontal="center" wrapText="1"/>
    </xf>
    <xf numFmtId="182" fontId="5" fillId="0" borderId="116" xfId="0" applyNumberFormat="1" applyFont="1" applyBorder="1" applyAlignment="1" applyProtection="1">
      <alignment horizontal="center" vertical="center"/>
      <protection locked="0"/>
    </xf>
    <xf numFmtId="182" fontId="5" fillId="0" borderId="117" xfId="0" applyNumberFormat="1" applyFont="1" applyBorder="1" applyAlignment="1" applyProtection="1">
      <alignment horizontal="center" vertical="center"/>
      <protection locked="0"/>
    </xf>
    <xf numFmtId="164" fontId="6" fillId="0" borderId="87" xfId="0" applyNumberFormat="1" applyFont="1" applyFill="1" applyBorder="1" applyAlignment="1" applyProtection="1">
      <alignment horizontal="center"/>
    </xf>
    <xf numFmtId="0" fontId="5" fillId="0" borderId="107" xfId="0" applyFont="1" applyBorder="1" applyAlignment="1">
      <alignment horizontal="center" vertical="center"/>
    </xf>
    <xf numFmtId="0" fontId="5" fillId="0" borderId="107" xfId="0" applyFont="1" applyBorder="1" applyAlignment="1">
      <alignment horizontal="center"/>
    </xf>
    <xf numFmtId="173" fontId="6" fillId="0" borderId="115" xfId="0" applyNumberFormat="1" applyFont="1" applyFill="1" applyBorder="1" applyAlignment="1" applyProtection="1">
      <alignment horizontal="center" vertical="center"/>
      <protection locked="0"/>
    </xf>
    <xf numFmtId="173" fontId="6" fillId="0" borderId="116" xfId="0" applyNumberFormat="1" applyFont="1" applyBorder="1" applyAlignment="1" applyProtection="1">
      <alignment horizontal="center" vertical="center"/>
      <protection locked="0"/>
    </xf>
    <xf numFmtId="173" fontId="6" fillId="0" borderId="116" xfId="0" applyNumberFormat="1" applyFont="1" applyFill="1" applyBorder="1" applyAlignment="1" applyProtection="1">
      <alignment horizontal="center" vertical="center"/>
      <protection locked="0"/>
    </xf>
    <xf numFmtId="173" fontId="5" fillId="0" borderId="116" xfId="0" applyNumberFormat="1" applyFont="1" applyBorder="1" applyAlignment="1" applyProtection="1">
      <alignment horizontal="center" vertical="center"/>
      <protection locked="0"/>
    </xf>
    <xf numFmtId="173" fontId="6" fillId="0" borderId="117" xfId="0" applyNumberFormat="1" applyFont="1" applyFill="1" applyBorder="1" applyAlignment="1" applyProtection="1">
      <alignment horizontal="center" vertical="center"/>
      <protection locked="0"/>
    </xf>
    <xf numFmtId="173" fontId="6" fillId="0" borderId="118" xfId="0" applyNumberFormat="1" applyFont="1" applyFill="1" applyBorder="1" applyAlignment="1" applyProtection="1">
      <alignment horizontal="center" vertical="center"/>
      <protection locked="0"/>
    </xf>
    <xf numFmtId="173" fontId="6" fillId="0" borderId="119" xfId="0" applyNumberFormat="1" applyFont="1" applyFill="1" applyBorder="1" applyAlignment="1" applyProtection="1">
      <alignment horizontal="center" vertical="center"/>
      <protection locked="0"/>
    </xf>
    <xf numFmtId="173" fontId="5" fillId="0" borderId="119" xfId="0" applyNumberFormat="1" applyFont="1" applyBorder="1" applyAlignment="1" applyProtection="1">
      <alignment horizontal="center" vertical="center"/>
      <protection locked="0"/>
    </xf>
    <xf numFmtId="173" fontId="6" fillId="0" borderId="120" xfId="0" applyNumberFormat="1" applyFont="1" applyFill="1" applyBorder="1" applyAlignment="1" applyProtection="1">
      <alignment horizontal="center" vertical="center"/>
      <protection locked="0"/>
    </xf>
    <xf numFmtId="0" fontId="90" fillId="0" borderId="13" xfId="0" applyFont="1" applyBorder="1" applyAlignment="1" applyProtection="1">
      <alignment horizontal="center" vertical="center"/>
    </xf>
    <xf numFmtId="3" fontId="12" fillId="0" borderId="57" xfId="0" applyNumberFormat="1" applyFont="1" applyFill="1" applyBorder="1" applyAlignment="1" applyProtection="1">
      <alignment horizontal="center" vertical="center"/>
      <protection locked="0"/>
    </xf>
    <xf numFmtId="182" fontId="5" fillId="0" borderId="119" xfId="0" applyNumberFormat="1" applyFont="1" applyBorder="1" applyAlignment="1" applyProtection="1">
      <alignment horizontal="center" vertical="center"/>
      <protection locked="0"/>
    </xf>
    <xf numFmtId="182" fontId="5" fillId="0" borderId="120" xfId="0" applyNumberFormat="1" applyFont="1" applyBorder="1" applyAlignment="1" applyProtection="1">
      <alignment horizontal="center" vertical="center"/>
      <protection locked="0"/>
    </xf>
    <xf numFmtId="0" fontId="1" fillId="0" borderId="116" xfId="0" applyFont="1" applyBorder="1" applyAlignment="1" applyProtection="1">
      <alignment vertical="center"/>
      <protection locked="0"/>
    </xf>
    <xf numFmtId="178" fontId="1" fillId="0" borderId="117" xfId="0" applyNumberFormat="1" applyFont="1" applyBorder="1" applyAlignment="1" applyProtection="1">
      <alignment vertical="center"/>
      <protection locked="0"/>
    </xf>
    <xf numFmtId="0" fontId="1" fillId="0" borderId="122" xfId="0" applyFont="1" applyBorder="1" applyAlignment="1" applyProtection="1">
      <alignment vertical="center"/>
      <protection locked="0"/>
    </xf>
    <xf numFmtId="178" fontId="1" fillId="0" borderId="123" xfId="0" applyNumberFormat="1" applyFont="1" applyBorder="1" applyAlignment="1" applyProtection="1">
      <alignment vertical="center"/>
      <protection locked="0"/>
    </xf>
    <xf numFmtId="0" fontId="1" fillId="0" borderId="118" xfId="0" applyFont="1" applyBorder="1" applyAlignment="1" applyProtection="1">
      <alignment vertical="center"/>
      <protection locked="0"/>
    </xf>
    <xf numFmtId="0" fontId="1" fillId="0" borderId="119" xfId="0" applyFont="1" applyBorder="1" applyAlignment="1" applyProtection="1">
      <alignment vertical="center"/>
      <protection locked="0"/>
    </xf>
    <xf numFmtId="178" fontId="1" fillId="0" borderId="119" xfId="0" applyNumberFormat="1" applyFont="1" applyBorder="1" applyAlignment="1" applyProtection="1">
      <alignment vertical="center"/>
      <protection locked="0"/>
    </xf>
    <xf numFmtId="178" fontId="1" fillId="0" borderId="120" xfId="0" applyNumberFormat="1" applyFont="1" applyBorder="1" applyAlignment="1" applyProtection="1">
      <alignment vertical="center"/>
      <protection locked="0"/>
    </xf>
    <xf numFmtId="164" fontId="13" fillId="0" borderId="111" xfId="0" applyNumberFormat="1" applyFont="1" applyFill="1" applyBorder="1" applyAlignment="1" applyProtection="1">
      <alignment horizontal="center" vertical="center" wrapText="1"/>
      <protection locked="0"/>
    </xf>
    <xf numFmtId="164" fontId="13" fillId="0" borderId="112" xfId="0" applyNumberFormat="1" applyFont="1" applyFill="1" applyBorder="1" applyAlignment="1" applyProtection="1">
      <alignment horizontal="center" vertical="center" wrapText="1"/>
      <protection locked="0"/>
    </xf>
    <xf numFmtId="164" fontId="13" fillId="0" borderId="113" xfId="0" applyNumberFormat="1" applyFont="1" applyFill="1" applyBorder="1" applyAlignment="1" applyProtection="1">
      <alignment horizontal="center" vertical="center" wrapText="1"/>
      <protection locked="0"/>
    </xf>
    <xf numFmtId="164" fontId="6" fillId="0" borderId="4" xfId="0" applyNumberFormat="1" applyFont="1" applyFill="1" applyBorder="1" applyAlignment="1" applyProtection="1">
      <alignment horizontal="center" vertical="center"/>
    </xf>
    <xf numFmtId="164" fontId="13" fillId="0" borderId="3" xfId="0" applyNumberFormat="1" applyFont="1" applyFill="1" applyBorder="1" applyAlignment="1" applyProtection="1">
      <alignment horizontal="center" vertical="center" wrapText="1"/>
    </xf>
    <xf numFmtId="164" fontId="13" fillId="0" borderId="4" xfId="0" applyNumberFormat="1" applyFont="1" applyFill="1" applyBorder="1" applyAlignment="1" applyProtection="1">
      <alignment horizontal="center" vertical="center" wrapText="1"/>
    </xf>
    <xf numFmtId="10" fontId="7" fillId="0" borderId="2" xfId="0" applyNumberFormat="1" applyFont="1" applyFill="1" applyBorder="1" applyAlignment="1" applyProtection="1">
      <alignment horizontal="center" vertical="center"/>
    </xf>
    <xf numFmtId="10" fontId="7" fillId="0" borderId="3" xfId="0" applyNumberFormat="1" applyFont="1" applyFill="1" applyBorder="1" applyAlignment="1" applyProtection="1">
      <alignment horizontal="center" vertical="center"/>
    </xf>
    <xf numFmtId="10" fontId="7" fillId="0" borderId="4" xfId="0" applyNumberFormat="1" applyFont="1" applyFill="1" applyBorder="1" applyAlignment="1" applyProtection="1">
      <alignment horizontal="center" vertical="center"/>
    </xf>
    <xf numFmtId="182" fontId="5" fillId="0" borderId="127" xfId="0" applyNumberFormat="1" applyFont="1" applyBorder="1" applyAlignment="1" applyProtection="1">
      <alignment horizontal="center" vertical="center"/>
      <protection locked="0"/>
    </xf>
    <xf numFmtId="182" fontId="5" fillId="0" borderId="129" xfId="0" applyNumberFormat="1" applyFont="1" applyBorder="1" applyAlignment="1" applyProtection="1">
      <alignment horizontal="center" vertical="center"/>
      <protection locked="0"/>
    </xf>
    <xf numFmtId="0" fontId="5" fillId="0" borderId="126" xfId="0" applyFont="1" applyBorder="1" applyAlignment="1" applyProtection="1">
      <alignment horizontal="center" vertical="center" wrapText="1"/>
    </xf>
    <xf numFmtId="0" fontId="1" fillId="0" borderId="126" xfId="0" applyFont="1" applyBorder="1" applyAlignment="1" applyProtection="1">
      <alignment vertical="center"/>
    </xf>
    <xf numFmtId="178" fontId="14" fillId="0" borderId="14" xfId="0" applyNumberFormat="1" applyFont="1" applyBorder="1" applyAlignment="1">
      <alignment horizontal="center"/>
    </xf>
    <xf numFmtId="3" fontId="12" fillId="0" borderId="10" xfId="0" applyNumberFormat="1" applyFont="1" applyFill="1" applyBorder="1" applyAlignment="1" applyProtection="1">
      <alignment horizontal="center"/>
    </xf>
    <xf numFmtId="3" fontId="12" fillId="0" borderId="0" xfId="0" applyNumberFormat="1" applyFont="1" applyFill="1" applyBorder="1" applyAlignment="1" applyProtection="1">
      <alignment horizontal="right"/>
    </xf>
    <xf numFmtId="3" fontId="12" fillId="0" borderId="47" xfId="0" applyNumberFormat="1" applyFont="1" applyFill="1" applyBorder="1" applyAlignment="1" applyProtection="1">
      <alignment horizontal="center"/>
    </xf>
    <xf numFmtId="3" fontId="0" fillId="0" borderId="99" xfId="0" applyNumberFormat="1" applyFill="1" applyBorder="1" applyAlignment="1" applyProtection="1">
      <alignment horizontal="center"/>
    </xf>
    <xf numFmtId="3" fontId="0" fillId="0" borderId="130" xfId="0" applyNumberFormat="1" applyFill="1" applyBorder="1" applyAlignment="1" applyProtection="1">
      <alignment horizontal="center"/>
    </xf>
    <xf numFmtId="164" fontId="7" fillId="2" borderId="2" xfId="0" applyNumberFormat="1" applyFont="1" applyFill="1" applyBorder="1" applyAlignment="1" applyProtection="1">
      <alignment horizontal="center" vertical="center"/>
    </xf>
    <xf numFmtId="164" fontId="7" fillId="2" borderId="3" xfId="0" applyNumberFormat="1" applyFont="1" applyFill="1" applyBorder="1" applyAlignment="1" applyProtection="1">
      <alignment horizontal="center" vertical="center"/>
    </xf>
    <xf numFmtId="164" fontId="7" fillId="2" borderId="4" xfId="0" applyNumberFormat="1" applyFont="1" applyFill="1" applyBorder="1" applyAlignment="1" applyProtection="1">
      <alignment horizontal="center" vertical="center"/>
    </xf>
    <xf numFmtId="164" fontId="6" fillId="11" borderId="0" xfId="0" applyNumberFormat="1" applyFont="1" applyFill="1" applyBorder="1" applyAlignment="1" applyProtection="1">
      <alignment horizontal="center"/>
    </xf>
    <xf numFmtId="164" fontId="5" fillId="11" borderId="0" xfId="0" applyNumberFormat="1" applyFont="1" applyFill="1" applyBorder="1" applyAlignment="1" applyProtection="1">
      <alignment horizontal="center"/>
    </xf>
    <xf numFmtId="164" fontId="13" fillId="11" borderId="111" xfId="0" applyNumberFormat="1" applyFont="1" applyFill="1" applyBorder="1" applyAlignment="1" applyProtection="1">
      <alignment horizontal="center" vertical="center" wrapText="1"/>
      <protection locked="0"/>
    </xf>
    <xf numFmtId="164" fontId="13" fillId="11" borderId="112" xfId="0" applyNumberFormat="1" applyFont="1" applyFill="1" applyBorder="1" applyAlignment="1" applyProtection="1">
      <alignment horizontal="center" vertical="center" wrapText="1"/>
      <protection locked="0"/>
    </xf>
    <xf numFmtId="164" fontId="13" fillId="11" borderId="11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87" xfId="0" applyFont="1" applyFill="1" applyBorder="1" applyAlignment="1" applyProtection="1">
      <alignment horizontal="right" vertical="center" wrapText="1"/>
    </xf>
    <xf numFmtId="0" fontId="0" fillId="0" borderId="88" xfId="0" applyFont="1" applyFill="1" applyBorder="1" applyAlignment="1" applyProtection="1">
      <alignment horizontal="center" vertical="center"/>
    </xf>
    <xf numFmtId="167" fontId="0" fillId="0" borderId="88" xfId="0" applyNumberFormat="1" applyFont="1" applyFill="1" applyBorder="1" applyAlignment="1" applyProtection="1">
      <alignment horizontal="center" vertical="center"/>
    </xf>
    <xf numFmtId="167" fontId="0" fillId="0" borderId="89" xfId="0" applyNumberFormat="1" applyFont="1" applyFill="1" applyBorder="1" applyAlignment="1" applyProtection="1">
      <alignment horizontal="center" vertical="center"/>
    </xf>
    <xf numFmtId="167" fontId="12" fillId="0" borderId="75" xfId="0" applyNumberFormat="1" applyFont="1" applyBorder="1" applyAlignment="1" applyProtection="1">
      <alignment horizontal="center" vertical="center"/>
    </xf>
    <xf numFmtId="167" fontId="12" fillId="0" borderId="106" xfId="0" applyNumberFormat="1" applyFont="1" applyBorder="1" applyAlignment="1" applyProtection="1">
      <alignment horizontal="center" vertical="center"/>
    </xf>
    <xf numFmtId="0" fontId="12" fillId="0" borderId="105" xfId="0" applyFont="1" applyBorder="1" applyAlignment="1" applyProtection="1">
      <alignment horizontal="right" vertical="center" wrapText="1"/>
    </xf>
    <xf numFmtId="167" fontId="12" fillId="0" borderId="1" xfId="0" applyNumberFormat="1" applyFont="1" applyBorder="1" applyAlignment="1" applyProtection="1">
      <alignment horizontal="center" vertical="center"/>
    </xf>
    <xf numFmtId="167" fontId="0" fillId="0" borderId="1" xfId="0" applyNumberFormat="1" applyFont="1" applyBorder="1" applyAlignment="1" applyProtection="1">
      <alignment horizontal="center" vertical="center"/>
    </xf>
    <xf numFmtId="167" fontId="0" fillId="0" borderId="103" xfId="0" applyNumberFormat="1" applyFont="1" applyBorder="1" applyAlignment="1" applyProtection="1">
      <alignment horizontal="center" vertical="center"/>
    </xf>
    <xf numFmtId="165" fontId="5" fillId="0" borderId="0" xfId="0" applyNumberFormat="1" applyFont="1" applyBorder="1" applyAlignment="1" applyProtection="1">
      <alignment horizontal="center" vertical="center"/>
    </xf>
    <xf numFmtId="164" fontId="53" fillId="0" borderId="0" xfId="9" applyNumberFormat="1" applyFont="1" applyFill="1" applyBorder="1"/>
    <xf numFmtId="164" fontId="53" fillId="0" borderId="14" xfId="9" applyNumberFormat="1" applyFont="1" applyFill="1" applyBorder="1"/>
    <xf numFmtId="38" fontId="0" fillId="0" borderId="0" xfId="0" applyNumberFormat="1" applyAlignment="1" applyProtection="1">
      <alignment horizontal="right"/>
    </xf>
    <xf numFmtId="165" fontId="54" fillId="0" borderId="73" xfId="10" applyNumberFormat="1" applyFont="1" applyFill="1" applyBorder="1" applyProtection="1"/>
    <xf numFmtId="0" fontId="12" fillId="0" borderId="108" xfId="0" applyFont="1" applyBorder="1" applyAlignment="1" applyProtection="1">
      <alignment horizontal="left" vertical="center" wrapText="1"/>
    </xf>
    <xf numFmtId="0" fontId="0" fillId="0" borderId="0" xfId="0" applyAlignment="1">
      <alignment horizontal="right" vertical="center" wrapText="1"/>
    </xf>
    <xf numFmtId="6" fontId="0" fillId="0" borderId="0" xfId="0" applyNumberFormat="1" applyAlignment="1">
      <alignment horizontal="center" vertical="center"/>
    </xf>
    <xf numFmtId="164" fontId="5" fillId="0" borderId="0" xfId="0" applyNumberFormat="1" applyFont="1" applyFill="1" applyBorder="1" applyAlignment="1" applyProtection="1">
      <alignment horizontal="center"/>
    </xf>
    <xf numFmtId="0" fontId="17" fillId="0" borderId="36" xfId="0" applyFont="1" applyBorder="1" applyAlignment="1" applyProtection="1">
      <alignment horizontal="center" vertical="center"/>
    </xf>
    <xf numFmtId="164" fontId="6" fillId="0" borderId="37" xfId="0" applyNumberFormat="1" applyFont="1" applyFill="1" applyBorder="1" applyAlignment="1" applyProtection="1">
      <alignment horizontal="center" vertical="center" wrapText="1"/>
    </xf>
    <xf numFmtId="0" fontId="6" fillId="2" borderId="15" xfId="0" applyFont="1" applyFill="1" applyBorder="1" applyAlignment="1" applyProtection="1">
      <alignment horizontal="right"/>
    </xf>
    <xf numFmtId="0" fontId="6" fillId="11" borderId="15" xfId="0" applyFont="1" applyFill="1" applyBorder="1" applyAlignment="1" applyProtection="1">
      <alignment horizontal="right"/>
    </xf>
    <xf numFmtId="165" fontId="5" fillId="11" borderId="0" xfId="8" applyNumberFormat="1" applyFont="1" applyFill="1" applyBorder="1" applyAlignment="1" applyProtection="1">
      <alignment horizontal="center"/>
    </xf>
    <xf numFmtId="0" fontId="6" fillId="0" borderId="35" xfId="0" applyFont="1" applyBorder="1" applyAlignment="1" applyProtection="1">
      <alignment horizontal="right"/>
    </xf>
    <xf numFmtId="164" fontId="6" fillId="0" borderId="33" xfId="0" applyNumberFormat="1" applyFont="1" applyFill="1" applyBorder="1" applyAlignment="1" applyProtection="1">
      <alignment horizontal="center"/>
    </xf>
    <xf numFmtId="165" fontId="5" fillId="0" borderId="33" xfId="8" applyNumberFormat="1" applyFont="1" applyBorder="1" applyAlignment="1" applyProtection="1">
      <alignment horizontal="center"/>
    </xf>
    <xf numFmtId="164" fontId="5" fillId="0" borderId="33" xfId="0" applyNumberFormat="1" applyFont="1" applyBorder="1" applyAlignment="1" applyProtection="1">
      <alignment horizontal="center"/>
    </xf>
    <xf numFmtId="164" fontId="6" fillId="0" borderId="33" xfId="0" applyNumberFormat="1" applyFont="1" applyBorder="1" applyAlignment="1" applyProtection="1">
      <alignment horizontal="center" vertical="center"/>
    </xf>
    <xf numFmtId="164" fontId="6" fillId="0" borderId="32" xfId="0" applyNumberFormat="1" applyFont="1" applyFill="1" applyBorder="1" applyAlignment="1" applyProtection="1">
      <alignment horizontal="center" vertical="center" wrapText="1"/>
    </xf>
    <xf numFmtId="2" fontId="7" fillId="0" borderId="14" xfId="0" applyNumberFormat="1" applyFont="1" applyFill="1" applyBorder="1" applyAlignment="1" applyProtection="1">
      <alignment horizontal="center"/>
    </xf>
    <xf numFmtId="164" fontId="5" fillId="2" borderId="14" xfId="0" applyNumberFormat="1" applyFont="1" applyFill="1" applyBorder="1" applyAlignment="1" applyProtection="1">
      <alignment horizontal="center"/>
    </xf>
    <xf numFmtId="164" fontId="5" fillId="11" borderId="14" xfId="0" applyNumberFormat="1" applyFont="1" applyFill="1" applyBorder="1" applyAlignment="1" applyProtection="1">
      <alignment horizontal="center"/>
    </xf>
    <xf numFmtId="164" fontId="5" fillId="0" borderId="34" xfId="0" applyNumberFormat="1" applyFont="1" applyBorder="1" applyAlignment="1" applyProtection="1">
      <alignment horizontal="center"/>
    </xf>
    <xf numFmtId="164" fontId="6" fillId="0" borderId="19" xfId="0" applyNumberFormat="1" applyFont="1" applyFill="1" applyBorder="1" applyAlignment="1" applyProtection="1">
      <alignment horizontal="center" vertical="center" wrapText="1"/>
    </xf>
    <xf numFmtId="164" fontId="12" fillId="2" borderId="102" xfId="0" applyNumberFormat="1" applyFont="1" applyFill="1" applyBorder="1" applyAlignment="1" applyProtection="1">
      <alignment horizontal="center" wrapText="1"/>
    </xf>
    <xf numFmtId="0" fontId="0" fillId="0" borderId="131" xfId="0" applyBorder="1" applyProtection="1"/>
    <xf numFmtId="164" fontId="12" fillId="2" borderId="131" xfId="0" applyNumberFormat="1" applyFont="1" applyFill="1" applyBorder="1" applyAlignment="1" applyProtection="1">
      <alignment horizontal="center"/>
    </xf>
    <xf numFmtId="0" fontId="5" fillId="0" borderId="131" xfId="0" applyFont="1" applyBorder="1" applyAlignment="1">
      <alignment vertical="center" wrapText="1"/>
    </xf>
    <xf numFmtId="0" fontId="14" fillId="0" borderId="132" xfId="0" applyFont="1" applyBorder="1" applyAlignment="1" applyProtection="1">
      <alignment horizontal="right"/>
    </xf>
    <xf numFmtId="1" fontId="44" fillId="0" borderId="133" xfId="0" applyNumberFormat="1" applyFont="1" applyBorder="1" applyAlignment="1" applyProtection="1">
      <alignment horizontal="center"/>
    </xf>
    <xf numFmtId="1" fontId="44" fillId="0" borderId="133" xfId="0" applyNumberFormat="1" applyFont="1" applyFill="1" applyBorder="1" applyAlignment="1" applyProtection="1">
      <alignment horizontal="center"/>
    </xf>
    <xf numFmtId="0" fontId="14" fillId="0" borderId="134" xfId="0" applyFont="1" applyBorder="1" applyAlignment="1" applyProtection="1">
      <alignment horizontal="center"/>
    </xf>
    <xf numFmtId="164" fontId="0" fillId="0" borderId="135" xfId="0" applyNumberFormat="1" applyFill="1" applyBorder="1" applyAlignment="1" applyProtection="1">
      <alignment horizontal="center" vertical="center"/>
    </xf>
    <xf numFmtId="38" fontId="12" fillId="0" borderId="135" xfId="0" applyNumberFormat="1" applyFont="1" applyFill="1" applyBorder="1" applyAlignment="1" applyProtection="1">
      <alignment horizontal="center"/>
    </xf>
    <xf numFmtId="10" fontId="12" fillId="0" borderId="136" xfId="0" applyNumberFormat="1" applyFont="1" applyFill="1" applyBorder="1" applyAlignment="1" applyProtection="1">
      <alignment horizontal="center"/>
    </xf>
    <xf numFmtId="10" fontId="12" fillId="0" borderId="137" xfId="0" applyNumberFormat="1" applyFont="1" applyFill="1" applyBorder="1" applyAlignment="1" applyProtection="1">
      <alignment horizontal="center"/>
    </xf>
    <xf numFmtId="0" fontId="56" fillId="0" borderId="15" xfId="0" applyFont="1" applyBorder="1" applyAlignment="1">
      <alignment vertical="top" wrapText="1"/>
    </xf>
    <xf numFmtId="178" fontId="5" fillId="0" borderId="14" xfId="0" applyNumberFormat="1" applyFont="1" applyBorder="1" applyAlignment="1">
      <alignment horizontal="center" vertical="center"/>
    </xf>
    <xf numFmtId="165" fontId="5" fillId="0" borderId="0" xfId="0" applyNumberFormat="1" applyFont="1" applyBorder="1" applyAlignment="1" applyProtection="1">
      <alignment horizontal="center"/>
    </xf>
    <xf numFmtId="182" fontId="5" fillId="12" borderId="128" xfId="0" applyNumberFormat="1" applyFont="1" applyFill="1" applyBorder="1" applyAlignment="1" applyProtection="1">
      <alignment horizontal="center" vertical="center"/>
    </xf>
    <xf numFmtId="182" fontId="5" fillId="12" borderId="124" xfId="0" applyNumberFormat="1" applyFont="1" applyFill="1" applyBorder="1" applyAlignment="1" applyProtection="1">
      <alignment horizontal="center" vertical="center"/>
    </xf>
    <xf numFmtId="182" fontId="5" fillId="12" borderId="125" xfId="0" applyNumberFormat="1" applyFont="1" applyFill="1" applyBorder="1" applyAlignment="1" applyProtection="1">
      <alignment horizontal="center" vertical="center"/>
    </xf>
    <xf numFmtId="0" fontId="1" fillId="0" borderId="121" xfId="0" applyFont="1" applyFill="1" applyBorder="1" applyAlignment="1" applyProtection="1">
      <alignment vertical="center"/>
      <protection locked="0"/>
    </xf>
    <xf numFmtId="178" fontId="1" fillId="0" borderId="116" xfId="0" applyNumberFormat="1" applyFont="1" applyFill="1" applyBorder="1" applyAlignment="1" applyProtection="1">
      <alignment vertical="center"/>
      <protection locked="0"/>
    </xf>
    <xf numFmtId="178" fontId="1" fillId="0" borderId="122" xfId="0" applyNumberFormat="1" applyFont="1" applyFill="1" applyBorder="1" applyAlignment="1" applyProtection="1">
      <alignment vertical="center"/>
      <protection locked="0"/>
    </xf>
    <xf numFmtId="164" fontId="12" fillId="0" borderId="135" xfId="0" applyNumberFormat="1" applyFont="1" applyBorder="1" applyAlignment="1" applyProtection="1">
      <alignment horizontal="center"/>
    </xf>
    <xf numFmtId="164" fontId="49" fillId="2" borderId="0" xfId="10" applyNumberFormat="1" applyFont="1" applyFill="1" applyBorder="1" applyProtection="1"/>
    <xf numFmtId="164" fontId="49" fillId="2" borderId="14" xfId="10" applyNumberFormat="1" applyFont="1" applyFill="1" applyBorder="1" applyProtection="1"/>
    <xf numFmtId="6" fontId="5" fillId="0" borderId="0" xfId="0" applyNumberFormat="1" applyFont="1" applyFill="1" applyBorder="1" applyAlignment="1" applyProtection="1">
      <alignment horizontal="center"/>
    </xf>
    <xf numFmtId="0" fontId="49" fillId="2" borderId="15" xfId="9" applyFont="1" applyFill="1" applyBorder="1"/>
    <xf numFmtId="0" fontId="1" fillId="0" borderId="115" xfId="0" applyFont="1" applyFill="1" applyBorder="1" applyAlignment="1" applyProtection="1">
      <alignment vertical="center"/>
      <protection locked="0"/>
    </xf>
    <xf numFmtId="164" fontId="49" fillId="2" borderId="0" xfId="9" applyNumberFormat="1" applyFont="1" applyFill="1" applyBorder="1" applyAlignment="1">
      <alignment horizontal="right"/>
    </xf>
    <xf numFmtId="164" fontId="49" fillId="2" borderId="14" xfId="9" applyNumberFormat="1" applyFont="1" applyFill="1" applyBorder="1" applyAlignment="1">
      <alignment horizontal="right"/>
    </xf>
    <xf numFmtId="164" fontId="49" fillId="0" borderId="86" xfId="10" applyNumberFormat="1" applyFont="1" applyFill="1" applyBorder="1" applyProtection="1"/>
    <xf numFmtId="164" fontId="53" fillId="0" borderId="69" xfId="9" applyNumberFormat="1" applyFont="1" applyBorder="1"/>
    <xf numFmtId="0" fontId="44" fillId="0" borderId="0" xfId="0" applyFont="1" applyAlignment="1">
      <alignment horizontal="left"/>
    </xf>
    <xf numFmtId="0" fontId="4" fillId="3" borderId="16" xfId="0" applyFont="1" applyFill="1" applyBorder="1" applyAlignment="1" applyProtection="1">
      <alignment horizontal="center" vertical="center"/>
    </xf>
    <xf numFmtId="0" fontId="4" fillId="3" borderId="17" xfId="0" applyFont="1" applyFill="1" applyBorder="1" applyAlignment="1" applyProtection="1">
      <alignment horizontal="center" vertical="center"/>
    </xf>
    <xf numFmtId="0" fontId="4" fillId="3" borderId="18" xfId="0" applyFont="1" applyFill="1" applyBorder="1" applyAlignment="1" applyProtection="1">
      <alignment horizontal="center" vertical="center"/>
    </xf>
    <xf numFmtId="0" fontId="20" fillId="0" borderId="0" xfId="0" applyFont="1" applyAlignment="1" applyProtection="1">
      <alignment horizontal="center"/>
    </xf>
    <xf numFmtId="0" fontId="1" fillId="0" borderId="36" xfId="0" applyFont="1" applyBorder="1" applyAlignment="1" applyProtection="1">
      <alignment horizontal="center" vertical="center" wrapText="1"/>
    </xf>
    <xf numFmtId="0" fontId="1" fillId="0" borderId="37" xfId="0" applyFont="1" applyBorder="1" applyAlignment="1" applyProtection="1">
      <alignment horizontal="center" vertical="center" wrapText="1"/>
    </xf>
    <xf numFmtId="0" fontId="20" fillId="0" borderId="0" xfId="0" applyFont="1" applyAlignment="1" applyProtection="1">
      <alignment horizontal="center" vertical="center"/>
    </xf>
    <xf numFmtId="0" fontId="5" fillId="0" borderId="131" xfId="0" applyFont="1" applyBorder="1" applyAlignment="1">
      <alignment horizontal="center" vertical="center" wrapText="1"/>
    </xf>
    <xf numFmtId="178" fontId="82" fillId="0" borderId="138" xfId="0" applyNumberFormat="1" applyFont="1" applyBorder="1" applyAlignment="1">
      <alignment horizontal="center" vertical="center"/>
    </xf>
    <xf numFmtId="0" fontId="5" fillId="0" borderId="139" xfId="0" applyFont="1" applyBorder="1" applyAlignment="1" applyProtection="1">
      <alignment horizontal="center" wrapText="1"/>
    </xf>
    <xf numFmtId="0" fontId="5" fillId="0" borderId="114" xfId="0" applyFont="1" applyBorder="1" applyAlignment="1" applyProtection="1">
      <alignment horizontal="center" wrapText="1"/>
    </xf>
    <xf numFmtId="0" fontId="5" fillId="0" borderId="48" xfId="0" applyFont="1" applyFill="1" applyBorder="1" applyAlignment="1" applyProtection="1">
      <alignment horizontal="center" vertical="center"/>
    </xf>
    <xf numFmtId="0" fontId="5" fillId="0" borderId="49" xfId="0" applyFont="1" applyFill="1" applyBorder="1" applyAlignment="1" applyProtection="1">
      <alignment horizontal="center" vertical="center"/>
    </xf>
    <xf numFmtId="0" fontId="5" fillId="0" borderId="50" xfId="0" applyFont="1" applyFill="1" applyBorder="1" applyAlignment="1" applyProtection="1">
      <alignment horizontal="center" vertical="center"/>
    </xf>
    <xf numFmtId="0" fontId="5" fillId="0" borderId="52" xfId="0" applyFont="1" applyFill="1" applyBorder="1" applyAlignment="1" applyProtection="1">
      <alignment horizontal="center" vertical="center"/>
    </xf>
    <xf numFmtId="0" fontId="5" fillId="0" borderId="54" xfId="0" applyFont="1" applyFill="1" applyBorder="1" applyAlignment="1" applyProtection="1">
      <alignment horizontal="center" vertical="center"/>
    </xf>
    <xf numFmtId="3" fontId="12" fillId="0" borderId="10" xfId="0" applyNumberFormat="1" applyFont="1" applyFill="1" applyBorder="1" applyAlignment="1" applyProtection="1">
      <alignment horizontal="center"/>
    </xf>
    <xf numFmtId="3" fontId="12" fillId="0" borderId="98" xfId="0" applyNumberFormat="1" applyFont="1" applyFill="1" applyBorder="1" applyAlignment="1" applyProtection="1">
      <alignment horizontal="center"/>
    </xf>
    <xf numFmtId="3" fontId="25" fillId="0" borderId="0" xfId="7" applyNumberFormat="1" applyFont="1" applyAlignment="1">
      <alignment horizontal="center"/>
    </xf>
    <xf numFmtId="0" fontId="23" fillId="0" borderId="0" xfId="7" applyAlignment="1">
      <alignment horizontal="center"/>
    </xf>
    <xf numFmtId="0" fontId="23" fillId="0" borderId="0" xfId="7"/>
  </cellXfs>
  <cellStyles count="18">
    <cellStyle name="Comma" xfId="1" builtinId="3"/>
    <cellStyle name="Comma 2" xfId="12"/>
    <cellStyle name="Comma 4" xfId="15"/>
    <cellStyle name="Currency" xfId="2" builtinId="4"/>
    <cellStyle name="Currency 2" xfId="11"/>
    <cellStyle name="Followed Hyperlink" xfId="4" builtinId="9" hidden="1"/>
    <cellStyle name="Followed Hyperlink" xfId="6" builtinId="9" hidden="1"/>
    <cellStyle name="Hyperlink" xfId="3" builtinId="8" hidden="1"/>
    <cellStyle name="Hyperlink" xfId="5" builtinId="8" hidden="1"/>
    <cellStyle name="Hyperlink 2" xfId="14"/>
    <cellStyle name="Normal" xfId="0" builtinId="0"/>
    <cellStyle name="Normal 2" xfId="7"/>
    <cellStyle name="Normal 3" xfId="9"/>
    <cellStyle name="Normal 4" xfId="13"/>
    <cellStyle name="Normal 5" xfId="17"/>
    <cellStyle name="Percent" xfId="8" builtinId="5"/>
    <cellStyle name="Percent 2" xfId="10"/>
    <cellStyle name="Percent 2 2" xfId="16"/>
  </cellStyles>
  <dxfs count="20">
    <dxf>
      <font>
        <condense val="0"/>
        <extend val="0"/>
        <color indexed="10"/>
      </font>
    </dxf>
    <dxf>
      <border>
        <bottom style="thin">
          <color indexed="55"/>
        </bottom>
      </border>
    </dxf>
    <dxf>
      <font>
        <condense val="0"/>
        <extend val="0"/>
        <color indexed="10"/>
      </font>
    </dxf>
    <dxf>
      <border>
        <bottom style="thin">
          <color indexed="55"/>
        </bottom>
      </border>
    </dxf>
    <dxf>
      <font>
        <condense val="0"/>
        <extend val="0"/>
        <color indexed="10"/>
      </font>
    </dxf>
    <dxf>
      <border>
        <bottom style="thin">
          <color indexed="55"/>
        </bottom>
      </border>
    </dxf>
    <dxf>
      <font>
        <condense val="0"/>
        <extend val="0"/>
        <color indexed="10"/>
      </font>
    </dxf>
    <dxf>
      <border>
        <bottom style="thin">
          <color indexed="55"/>
        </bottom>
      </border>
    </dxf>
    <dxf>
      <font>
        <condense val="0"/>
        <extend val="0"/>
        <color indexed="10"/>
      </font>
    </dxf>
    <dxf>
      <border>
        <bottom style="thin">
          <color indexed="55"/>
        </bottom>
      </border>
    </dxf>
    <dxf>
      <font>
        <condense val="0"/>
        <extend val="0"/>
        <color indexed="10"/>
      </font>
    </dxf>
    <dxf>
      <border>
        <bottom style="thin">
          <color indexed="55"/>
        </bottom>
      </border>
    </dxf>
    <dxf>
      <font>
        <condense val="0"/>
        <extend val="0"/>
        <color indexed="10"/>
      </font>
    </dxf>
    <dxf>
      <border>
        <bottom style="thin">
          <color indexed="55"/>
        </bottom>
      </border>
    </dxf>
    <dxf>
      <font>
        <condense val="0"/>
        <extend val="0"/>
        <color indexed="10"/>
      </font>
    </dxf>
    <dxf>
      <border>
        <bottom style="thin">
          <color indexed="55"/>
        </bottom>
      </border>
    </dxf>
    <dxf>
      <font>
        <condense val="0"/>
        <extend val="0"/>
        <color indexed="10"/>
      </font>
    </dxf>
    <dxf>
      <border>
        <bottom style="thin">
          <color indexed="55"/>
        </bottom>
      </border>
    </dxf>
    <dxf>
      <font>
        <condense val="0"/>
        <extend val="0"/>
        <color indexed="10"/>
      </font>
    </dxf>
    <dxf>
      <border>
        <bottom style="thin">
          <color indexed="55"/>
        </bottom>
      </border>
    </dxf>
  </dxfs>
  <tableStyles count="0" defaultTableStyle="TableStyleMedium9" defaultPivotStyle="PivotStyleLight16"/>
  <colors>
    <mruColors>
      <color rgb="FF66FF66"/>
      <color rgb="FF99FF66"/>
      <color rgb="FFCCFF66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 i="0" baseline="0"/>
              <a:t>10-Year </a:t>
            </a:r>
          </a:p>
          <a:p>
            <a:pPr algn="ctr">
              <a:defRPr/>
            </a:pPr>
            <a:r>
              <a:rPr lang="en-US" sz="2000" b="1" i="0" baseline="0"/>
              <a:t>Taxpayer Impact Summary</a:t>
            </a:r>
          </a:p>
        </c:rich>
      </c:tx>
      <c:overlay val="0"/>
      <c:spPr>
        <a:noFill/>
        <a:ln w="2540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Base Average Property Tax</c:v>
          </c:tx>
          <c:spPr>
            <a:solidFill>
              <a:srgbClr val="00B0F0"/>
            </a:solidFill>
            <a:ln w="25400">
              <a:solidFill>
                <a:srgbClr val="FF0000"/>
              </a:solidFill>
            </a:ln>
            <a:effectLst/>
            <a:sp3d contourW="25400">
              <a:contourClr>
                <a:srgbClr val="FF0000"/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Dashboard!$D$60:$M$60</c:f>
              <c:numCache>
                <c:formatCode>0</c:formatCode>
                <c:ptCount val="10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</c:numCache>
            </c:numRef>
          </c:cat>
          <c:val>
            <c:numRef>
              <c:f>Dashboard!$D$62:$M$62</c:f>
              <c:numCache>
                <c:formatCode>"$"#,##0</c:formatCode>
                <c:ptCount val="10"/>
                <c:pt idx="0">
                  <c:v>8482.9247894927357</c:v>
                </c:pt>
                <c:pt idx="1">
                  <c:v>8696.0161579503929</c:v>
                </c:pt>
                <c:pt idx="2">
                  <c:v>8914.9142232295508</c:v>
                </c:pt>
                <c:pt idx="3">
                  <c:v>9139.0495572050149</c:v>
                </c:pt>
                <c:pt idx="4">
                  <c:v>9367.2846602406917</c:v>
                </c:pt>
                <c:pt idx="5">
                  <c:v>9594.2624161267086</c:v>
                </c:pt>
                <c:pt idx="6">
                  <c:v>9757.1572704949231</c:v>
                </c:pt>
                <c:pt idx="7">
                  <c:v>9994.9518006083345</c:v>
                </c:pt>
                <c:pt idx="8">
                  <c:v>10248.436378189162</c:v>
                </c:pt>
                <c:pt idx="9">
                  <c:v>10506.858704932978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89-45F0-904E-6BA34FF7EE91}"/>
            </c:ext>
          </c:extLst>
        </c:ser>
        <c:ser>
          <c:idx val="1"/>
          <c:order val="1"/>
          <c:tx>
            <c:v>New Excluded Debt Tax Increase</c:v>
          </c:tx>
          <c:spPr>
            <a:solidFill>
              <a:srgbClr val="FFFF00"/>
            </a:solidFill>
            <a:ln w="31750">
              <a:solidFill>
                <a:schemeClr val="tx1"/>
              </a:solidFill>
            </a:ln>
            <a:effectLst/>
            <a:sp3d contourW="31750">
              <a:contourClr>
                <a:schemeClr val="tx1"/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Dashboard!$D$60:$M$60</c:f>
              <c:numCache>
                <c:formatCode>0</c:formatCode>
                <c:ptCount val="10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</c:numCache>
            </c:numRef>
          </c:cat>
          <c:val>
            <c:numRef>
              <c:f>Dashboard!$D$64:$M$64</c:f>
              <c:numCache>
                <c:formatCode>"$"#,##0</c:formatCode>
                <c:ptCount val="10"/>
                <c:pt idx="0">
                  <c:v>0</c:v>
                </c:pt>
                <c:pt idx="1">
                  <c:v>70.206829819437189</c:v>
                </c:pt>
                <c:pt idx="2">
                  <c:v>69.901884779272223</c:v>
                </c:pt>
                <c:pt idx="3">
                  <c:v>735.96367561288207</c:v>
                </c:pt>
                <c:pt idx="4">
                  <c:v>778.3042640008789</c:v>
                </c:pt>
                <c:pt idx="5">
                  <c:v>774.92003588188163</c:v>
                </c:pt>
                <c:pt idx="6">
                  <c:v>771.54938185220453</c:v>
                </c:pt>
                <c:pt idx="7">
                  <c:v>768.19228528423992</c:v>
                </c:pt>
                <c:pt idx="8">
                  <c:v>764.84872821218414</c:v>
                </c:pt>
                <c:pt idx="9">
                  <c:v>761.51869138415714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89-45F0-904E-6BA34FF7EE91}"/>
            </c:ext>
          </c:extLst>
        </c:ser>
        <c:ser>
          <c:idx val="2"/>
          <c:order val="2"/>
          <c:tx>
            <c:v>Operating Override Tax Increase</c:v>
          </c:tx>
          <c:spPr>
            <a:solidFill>
              <a:srgbClr val="66FF66"/>
            </a:solidFill>
            <a:ln w="25400">
              <a:solidFill>
                <a:srgbClr val="FF0000"/>
              </a:solidFill>
            </a:ln>
            <a:effectLst/>
            <a:sp3d contourW="25400">
              <a:contourClr>
                <a:srgbClr val="FF0000"/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Dashboard!$D$60:$M$60</c:f>
              <c:numCache>
                <c:formatCode>0</c:formatCode>
                <c:ptCount val="10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</c:numCache>
            </c:numRef>
          </c:cat>
          <c:val>
            <c:numRef>
              <c:f>Dashboard!$D$66:$M$66</c:f>
              <c:numCache>
                <c:formatCode>"$"#,##0</c:formatCode>
                <c:ptCount val="10"/>
                <c:pt idx="0">
                  <c:v>0</c:v>
                </c:pt>
                <c:pt idx="1">
                  <c:v>483.05406889165715</c:v>
                </c:pt>
                <c:pt idx="2">
                  <c:v>492.97980982024637</c:v>
                </c:pt>
                <c:pt idx="3">
                  <c:v>503.10869196127533</c:v>
                </c:pt>
                <c:pt idx="4">
                  <c:v>513.44487975882112</c:v>
                </c:pt>
                <c:pt idx="5">
                  <c:v>523.99262296957022</c:v>
                </c:pt>
                <c:pt idx="6">
                  <c:v>534.75625841107649</c:v>
                </c:pt>
                <c:pt idx="7">
                  <c:v>545.74021174575137</c:v>
                </c:pt>
                <c:pt idx="8">
                  <c:v>556.94899930149404</c:v>
                </c:pt>
                <c:pt idx="9">
                  <c:v>568.38722992957992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089-45F0-904E-6BA34FF7EE9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0"/>
        <c:overlap val="100"/>
        <c:axId val="1669154607"/>
        <c:axId val="1669132143"/>
      </c:barChart>
      <c:catAx>
        <c:axId val="166915460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 i="0" baseline="0"/>
                  <a:t>Fiscal Year</a:t>
                </a:r>
              </a:p>
            </c:rich>
          </c:tx>
          <c:layout>
            <c:manualLayout>
              <c:xMode val="edge"/>
              <c:yMode val="edge"/>
              <c:x val="0.46554685698283532"/>
              <c:y val="0.9485126357485130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9132143"/>
        <c:crosses val="autoZero"/>
        <c:auto val="1"/>
        <c:lblAlgn val="ctr"/>
        <c:lblOffset val="100"/>
        <c:noMultiLvlLbl val="0"/>
      </c:catAx>
      <c:valAx>
        <c:axId val="1669132143"/>
        <c:scaling>
          <c:orientation val="minMax"/>
          <c:max val="18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19050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 baseline="0"/>
                  <a:t>Average Property Tax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9154607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solidFill>
            <a:srgbClr val="FFFF00"/>
          </a:solidFill>
          <a:ln w="19050" cap="flat" cmpd="sng" algn="ctr">
            <a:solidFill>
              <a:srgbClr val="00B05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924136545947513E-2"/>
          <c:y val="0.15248242905806991"/>
          <c:w val="0.88239126710811799"/>
          <c:h val="0.66058811797461492"/>
        </c:manualLayout>
      </c:layout>
      <c:lineChart>
        <c:grouping val="standard"/>
        <c:varyColors val="0"/>
        <c:ser>
          <c:idx val="0"/>
          <c:order val="0"/>
          <c:tx>
            <c:v>Total Debt Service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square"/>
            <c:size val="10"/>
            <c:spPr>
              <a:solidFill>
                <a:srgbClr val="00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'Fifteen-Year Debt Schedule'!$Z$6:$AN$6</c:f>
              <c:strCach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strCache>
            </c:strRef>
          </c:cat>
          <c:val>
            <c:numRef>
              <c:f>'Fifteen-Year Debt Schedule'!$Z$55:$AN$55</c:f>
              <c:numCache>
                <c:formatCode>#,##0</c:formatCode>
                <c:ptCount val="15"/>
                <c:pt idx="0">
                  <c:v>0</c:v>
                </c:pt>
                <c:pt idx="1">
                  <c:v>7983203.6336274501</c:v>
                </c:pt>
                <c:pt idx="2">
                  <c:v>5707373.378333332</c:v>
                </c:pt>
                <c:pt idx="3">
                  <c:v>5586289.7383333333</c:v>
                </c:pt>
                <c:pt idx="4">
                  <c:v>5402247.5106862765</c:v>
                </c:pt>
                <c:pt idx="5">
                  <c:v>5103282.4947058838</c:v>
                </c:pt>
                <c:pt idx="6">
                  <c:v>4953858.3970588241</c:v>
                </c:pt>
                <c:pt idx="7">
                  <c:v>4799779.8394117635</c:v>
                </c:pt>
                <c:pt idx="8">
                  <c:v>4289717.9417647067</c:v>
                </c:pt>
                <c:pt idx="9">
                  <c:v>2570221.4641176471</c:v>
                </c:pt>
                <c:pt idx="10">
                  <c:v>2318863.676470588</c:v>
                </c:pt>
                <c:pt idx="11">
                  <c:v>2262593.3088235296</c:v>
                </c:pt>
                <c:pt idx="12">
                  <c:v>2204460.4411764694</c:v>
                </c:pt>
                <c:pt idx="13">
                  <c:v>2134465.0735294111</c:v>
                </c:pt>
                <c:pt idx="14">
                  <c:v>1877294.7058823537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ED-48FD-8B1A-EED1F9A00EE0}"/>
            </c:ext>
          </c:extLst>
        </c:ser>
        <c:ser>
          <c:idx val="1"/>
          <c:order val="1"/>
          <c:tx>
            <c:v>Financial Policy Guideline</c:v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diamond"/>
            <c:size val="11"/>
            <c:spPr>
              <a:solidFill>
                <a:srgbClr val="FF00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'Fifteen-Year Debt Schedule'!$Z$6:$AN$6</c:f>
              <c:strCach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strCache>
            </c:strRef>
          </c:cat>
          <c:val>
            <c:numRef>
              <c:f>'Fifteen-Year Debt Schedule'!$Z$57:$AN$57</c:f>
              <c:numCache>
                <c:formatCode>#,##0</c:formatCode>
                <c:ptCount val="15"/>
                <c:pt idx="0">
                  <c:v>8183423.3999999994</c:v>
                </c:pt>
                <c:pt idx="1">
                  <c:v>8381916.6749999998</c:v>
                </c:pt>
                <c:pt idx="2">
                  <c:v>8549555.0085000005</c:v>
                </c:pt>
                <c:pt idx="3">
                  <c:v>8720546.10867</c:v>
                </c:pt>
                <c:pt idx="4">
                  <c:v>8894957.0308433995</c:v>
                </c:pt>
                <c:pt idx="5">
                  <c:v>9072856.1714602672</c:v>
                </c:pt>
                <c:pt idx="6">
                  <c:v>9254313.2948894724</c:v>
                </c:pt>
                <c:pt idx="7">
                  <c:v>9439399.5607872624</c:v>
                </c:pt>
                <c:pt idx="8">
                  <c:v>9628187.5520030074</c:v>
                </c:pt>
                <c:pt idx="9">
                  <c:v>9820751.3030430675</c:v>
                </c:pt>
                <c:pt idx="10">
                  <c:v>10017166.32910393</c:v>
                </c:pt>
                <c:pt idx="11">
                  <c:v>10217509.655686008</c:v>
                </c:pt>
                <c:pt idx="12">
                  <c:v>10421859.848799728</c:v>
                </c:pt>
                <c:pt idx="13">
                  <c:v>10630297.045775721</c:v>
                </c:pt>
                <c:pt idx="14">
                  <c:v>10842902.986691236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ED-48FD-8B1A-EED1F9A00E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5133160"/>
        <c:axId val="539043952"/>
      </c:lineChart>
      <c:catAx>
        <c:axId val="7451331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SWISS"/>
                    <a:ea typeface="SWISS"/>
                    <a:cs typeface="SWISS"/>
                  </a:defRPr>
                </a:pPr>
                <a:r>
                  <a:rPr lang="en-US" b="1" i="0" baseline="0"/>
                  <a:t>Fiscal Year</a:t>
                </a:r>
              </a:p>
            </c:rich>
          </c:tx>
          <c:layout>
            <c:manualLayout>
              <c:xMode val="edge"/>
              <c:yMode val="edge"/>
              <c:x val="0.47010788367173167"/>
              <c:y val="0.8541039274491319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SWISS"/>
                <a:ea typeface="SWISS"/>
                <a:cs typeface="SWISS"/>
              </a:defRPr>
            </a:pPr>
            <a:endParaRPr lang="en-US"/>
          </a:p>
        </c:txPr>
        <c:crossAx val="53904395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53904395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SWISS"/>
                    <a:ea typeface="SWISS"/>
                    <a:cs typeface="SWISS"/>
                  </a:defRPr>
                </a:pPr>
                <a:r>
                  <a:rPr lang="en-US"/>
                  <a:t>Thousands</a:t>
                </a:r>
              </a:p>
            </c:rich>
          </c:tx>
          <c:layout>
            <c:manualLayout>
              <c:xMode val="edge"/>
              <c:yMode val="edge"/>
              <c:x val="9.1473766448090313E-3"/>
              <c:y val="0.43009156480629601"/>
            </c:manualLayout>
          </c:layout>
          <c:overlay val="0"/>
          <c:spPr>
            <a:noFill/>
            <a:ln w="25400">
              <a:noFill/>
            </a:ln>
          </c:spPr>
        </c:title>
        <c:numFmt formatCode="\$#,##0" sourceLinked="0"/>
        <c:majorTickMark val="in"/>
        <c:min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SWISS"/>
                <a:ea typeface="SWISS"/>
                <a:cs typeface="SWISS"/>
              </a:defRPr>
            </a:pPr>
            <a:endParaRPr lang="en-US"/>
          </a:p>
        </c:txPr>
        <c:crossAx val="745133160"/>
        <c:crosses val="autoZero"/>
        <c:crossBetween val="between"/>
        <c:minorUnit val="500000"/>
        <c:dispUnits>
          <c:builtInUnit val="thousands"/>
        </c:dispUnits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SWISS"/>
              <a:ea typeface="SWISS"/>
              <a:cs typeface="SWISS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SWISS"/>
          <a:ea typeface="SWISS"/>
          <a:cs typeface="SWISS"/>
        </a:defRPr>
      </a:pPr>
      <a:endParaRPr lang="en-US"/>
    </a:p>
  </c:txPr>
  <c:printSettings>
    <c:headerFooter alignWithMargins="0"/>
    <c:pageMargins b="1" l="0.75000000000000255" r="0.75000000000000255" t="1" header="0.5" footer="0.5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vertex42.com/ExcelTemplates/loan-amortization-schedule.html?utm_source=v42&amp;utm_medium=file&amp;utm_campaign=templates&amp;utm_term=loan-amortization-schedule&amp;utm_content=logo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vertex42.com/ExcelTemplates/loan-amortization-schedule.html?utm_source=v42&amp;utm_medium=file&amp;utm_campaign=templates&amp;utm_term=loan-amortization-schedule&amp;utm_content=logo" TargetMode="Externa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vertex42.com/ExcelTemplates/loan-amortization-schedule.html?utm_source=v42&amp;utm_medium=file&amp;utm_campaign=templates&amp;utm_term=loan-amortization-schedule&amp;utm_content=logo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vertex42.com/ExcelTemplates/loan-amortization-schedule.html?utm_source=v42&amp;utm_medium=file&amp;utm_campaign=templates&amp;utm_term=loan-amortization-schedule&amp;utm_content=logo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vertex42.com/ExcelTemplates/loan-amortization-schedule.html?utm_source=v42&amp;utm_medium=file&amp;utm_campaign=templates&amp;utm_term=loan-amortization-schedule&amp;utm_content=logo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vertex42.com/ExcelTemplates/loan-amortization-schedule.html?utm_source=v42&amp;utm_medium=file&amp;utm_campaign=templates&amp;utm_term=loan-amortization-schedule&amp;utm_content=logo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vertex42.com/ExcelTemplates/loan-amortization-schedule.html?utm_source=v42&amp;utm_medium=file&amp;utm_campaign=templates&amp;utm_term=loan-amortization-schedule&amp;utm_content=logo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vertex42.com/ExcelTemplates/loan-amortization-schedule.html?utm_source=v42&amp;utm_medium=file&amp;utm_campaign=templates&amp;utm_term=loan-amortization-schedule&amp;utm_content=logo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vertex42.com/ExcelTemplates/loan-amortization-schedule.html?utm_source=v42&amp;utm_medium=file&amp;utm_campaign=templates&amp;utm_term=loan-amortization-schedule&amp;utm_content=logo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vertex42.com/ExcelTemplates/loan-amortization-schedule.html?utm_source=v42&amp;utm_medium=file&amp;utm_campaign=templates&amp;utm_term=loan-amortization-schedule&amp;utm_content=logo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</xdr:colOff>
      <xdr:row>115</xdr:row>
      <xdr:rowOff>0</xdr:rowOff>
    </xdr:from>
    <xdr:to>
      <xdr:col>13</xdr:col>
      <xdr:colOff>731520</xdr:colOff>
      <xdr:row>186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BB7B15-440F-49EE-8E0F-3772DB70FA1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696806</xdr:colOff>
      <xdr:row>0</xdr:row>
      <xdr:rowOff>45720</xdr:rowOff>
    </xdr:from>
    <xdr:to>
      <xdr:col>8</xdr:col>
      <xdr:colOff>1047748</xdr:colOff>
      <xdr:row>1</xdr:row>
      <xdr:rowOff>22860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D0A351F-34B4-4B5A-BB66-0F621C488F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03146" y="45720"/>
          <a:ext cx="1166282" cy="2667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696806</xdr:colOff>
      <xdr:row>0</xdr:row>
      <xdr:rowOff>45720</xdr:rowOff>
    </xdr:from>
    <xdr:to>
      <xdr:col>8</xdr:col>
      <xdr:colOff>1047748</xdr:colOff>
      <xdr:row>1</xdr:row>
      <xdr:rowOff>22860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C7F3F35-2B87-49F8-8405-72F5678854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03146" y="45720"/>
          <a:ext cx="1166282" cy="2667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2390775</xdr:colOff>
      <xdr:row>60</xdr:row>
      <xdr:rowOff>142875</xdr:rowOff>
    </xdr:from>
    <xdr:to>
      <xdr:col>30</xdr:col>
      <xdr:colOff>266700</xdr:colOff>
      <xdr:row>82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9AA005C-21FF-4D50-A09E-90A6D3F040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696806</xdr:colOff>
      <xdr:row>0</xdr:row>
      <xdr:rowOff>45720</xdr:rowOff>
    </xdr:from>
    <xdr:to>
      <xdr:col>8</xdr:col>
      <xdr:colOff>1047748</xdr:colOff>
      <xdr:row>1</xdr:row>
      <xdr:rowOff>22860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9AF9C9-6B5C-48A7-BBB5-328E2012A5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226" y="45720"/>
          <a:ext cx="1166282" cy="2667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696806</xdr:colOff>
      <xdr:row>0</xdr:row>
      <xdr:rowOff>45720</xdr:rowOff>
    </xdr:from>
    <xdr:to>
      <xdr:col>8</xdr:col>
      <xdr:colOff>1047748</xdr:colOff>
      <xdr:row>1</xdr:row>
      <xdr:rowOff>22860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6612AC3-52D6-4C91-A23C-0105245F8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03146" y="45720"/>
          <a:ext cx="1166282" cy="2667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696806</xdr:colOff>
      <xdr:row>0</xdr:row>
      <xdr:rowOff>45720</xdr:rowOff>
    </xdr:from>
    <xdr:to>
      <xdr:col>8</xdr:col>
      <xdr:colOff>1047748</xdr:colOff>
      <xdr:row>1</xdr:row>
      <xdr:rowOff>22860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AF37CF3-B07C-4119-8DAA-2A64AA77BE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03146" y="45720"/>
          <a:ext cx="1166282" cy="2667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696806</xdr:colOff>
      <xdr:row>0</xdr:row>
      <xdr:rowOff>45720</xdr:rowOff>
    </xdr:from>
    <xdr:to>
      <xdr:col>8</xdr:col>
      <xdr:colOff>1047748</xdr:colOff>
      <xdr:row>1</xdr:row>
      <xdr:rowOff>22860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1C519E6-C3F6-4EB5-950E-195BFB534C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03146" y="45720"/>
          <a:ext cx="1166282" cy="2667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696806</xdr:colOff>
      <xdr:row>0</xdr:row>
      <xdr:rowOff>45720</xdr:rowOff>
    </xdr:from>
    <xdr:to>
      <xdr:col>8</xdr:col>
      <xdr:colOff>1047748</xdr:colOff>
      <xdr:row>1</xdr:row>
      <xdr:rowOff>22860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16B6100-328F-47EF-86DF-17F744CD2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03146" y="45720"/>
          <a:ext cx="1166282" cy="2667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696806</xdr:colOff>
      <xdr:row>0</xdr:row>
      <xdr:rowOff>45720</xdr:rowOff>
    </xdr:from>
    <xdr:to>
      <xdr:col>8</xdr:col>
      <xdr:colOff>1047748</xdr:colOff>
      <xdr:row>1</xdr:row>
      <xdr:rowOff>22860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8B8EF3-524B-4792-94A1-73A10F6DD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03146" y="45720"/>
          <a:ext cx="1166282" cy="2667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696806</xdr:colOff>
      <xdr:row>0</xdr:row>
      <xdr:rowOff>45720</xdr:rowOff>
    </xdr:from>
    <xdr:to>
      <xdr:col>8</xdr:col>
      <xdr:colOff>1047748</xdr:colOff>
      <xdr:row>1</xdr:row>
      <xdr:rowOff>22860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9400690-36D6-4118-8205-32BEF1B3CD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03146" y="45720"/>
          <a:ext cx="1166282" cy="2667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696806</xdr:colOff>
      <xdr:row>0</xdr:row>
      <xdr:rowOff>45720</xdr:rowOff>
    </xdr:from>
    <xdr:to>
      <xdr:col>8</xdr:col>
      <xdr:colOff>1047748</xdr:colOff>
      <xdr:row>1</xdr:row>
      <xdr:rowOff>22860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8A10C2E-55C6-48D8-8381-3A7FB42A4E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03146" y="45720"/>
          <a:ext cx="1166282" cy="266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9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10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Relationship Id="rId4" Type="http://schemas.openxmlformats.org/officeDocument/2006/relationships/comments" Target="../comments11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Relationship Id="rId4" Type="http://schemas.openxmlformats.org/officeDocument/2006/relationships/comments" Target="../comments12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3.bin"/><Relationship Id="rId4" Type="http://schemas.openxmlformats.org/officeDocument/2006/relationships/comments" Target="../comments1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63"/>
  <sheetViews>
    <sheetView view="pageBreakPreview" zoomScale="75" zoomScaleSheetLayoutView="75" workbookViewId="0"/>
  </sheetViews>
  <sheetFormatPr defaultColWidth="8.7109375" defaultRowHeight="15"/>
  <cols>
    <col min="1" max="1" width="3.7109375" customWidth="1"/>
    <col min="2" max="2" width="41.7109375" customWidth="1"/>
    <col min="3" max="3" width="11.7109375" customWidth="1"/>
    <col min="4" max="17" width="12.7109375" customWidth="1"/>
    <col min="18" max="18" width="11.7109375" customWidth="1"/>
  </cols>
  <sheetData>
    <row r="1" spans="2:14" ht="18.75">
      <c r="B1" s="741" t="s">
        <v>656</v>
      </c>
      <c r="C1" s="741"/>
      <c r="D1" s="741"/>
      <c r="E1" s="741"/>
      <c r="F1" s="741"/>
      <c r="G1" s="741"/>
      <c r="H1" s="741"/>
      <c r="I1" s="741"/>
      <c r="J1" s="741"/>
      <c r="K1" s="741"/>
      <c r="L1" s="741"/>
      <c r="M1" s="741"/>
      <c r="N1" s="741"/>
    </row>
    <row r="2" spans="2:14" ht="18.75">
      <c r="B2" s="6"/>
    </row>
    <row r="3" spans="2:14">
      <c r="B3" s="2" t="s">
        <v>69</v>
      </c>
    </row>
    <row r="4" spans="2:14">
      <c r="B4" s="7" t="s">
        <v>660</v>
      </c>
    </row>
    <row r="5" spans="2:14">
      <c r="B5" t="s">
        <v>657</v>
      </c>
      <c r="M5" s="213"/>
      <c r="N5" s="212"/>
    </row>
    <row r="6" spans="2:14">
      <c r="N6" s="210"/>
    </row>
    <row r="7" spans="2:14">
      <c r="B7" s="2" t="s">
        <v>553</v>
      </c>
      <c r="M7" s="213"/>
      <c r="N7" s="210"/>
    </row>
    <row r="8" spans="2:14">
      <c r="B8" s="4" t="s">
        <v>661</v>
      </c>
      <c r="M8" s="213"/>
      <c r="N8" s="210"/>
    </row>
    <row r="9" spans="2:14">
      <c r="B9" t="s">
        <v>649</v>
      </c>
      <c r="M9" s="213"/>
      <c r="N9" s="210"/>
    </row>
    <row r="10" spans="2:14">
      <c r="M10" s="213"/>
      <c r="N10" s="210"/>
    </row>
    <row r="11" spans="2:14">
      <c r="B11" s="2" t="s">
        <v>68</v>
      </c>
      <c r="M11" s="213"/>
      <c r="N11" s="210"/>
    </row>
    <row r="12" spans="2:14">
      <c r="B12" t="s">
        <v>754</v>
      </c>
      <c r="M12" s="213"/>
      <c r="N12" s="210"/>
    </row>
    <row r="13" spans="2:14">
      <c r="B13" s="8" t="s">
        <v>755</v>
      </c>
      <c r="M13" s="213"/>
      <c r="N13" s="210"/>
    </row>
    <row r="14" spans="2:14">
      <c r="B14" t="s">
        <v>784</v>
      </c>
      <c r="M14" s="213"/>
      <c r="N14" s="210"/>
    </row>
    <row r="15" spans="2:14">
      <c r="B15" t="s">
        <v>663</v>
      </c>
      <c r="J15" t="s">
        <v>662</v>
      </c>
      <c r="M15" s="213"/>
      <c r="N15" s="210"/>
    </row>
    <row r="16" spans="2:14">
      <c r="B16" t="s">
        <v>756</v>
      </c>
      <c r="M16" s="213"/>
      <c r="N16" s="210"/>
    </row>
    <row r="17" spans="2:14">
      <c r="M17" s="213"/>
      <c r="N17" s="210"/>
    </row>
    <row r="18" spans="2:14">
      <c r="B18" s="2" t="s">
        <v>73</v>
      </c>
      <c r="M18" s="213"/>
      <c r="N18" s="210"/>
    </row>
    <row r="19" spans="2:14">
      <c r="B19" s="4" t="s">
        <v>71</v>
      </c>
      <c r="M19" s="213"/>
      <c r="N19" s="210"/>
    </row>
    <row r="20" spans="2:14">
      <c r="B20" t="s">
        <v>526</v>
      </c>
      <c r="M20" s="213"/>
      <c r="N20" s="211"/>
    </row>
    <row r="21" spans="2:14">
      <c r="B21" t="s">
        <v>658</v>
      </c>
      <c r="N21" s="210"/>
    </row>
    <row r="22" spans="2:14">
      <c r="B22" t="s">
        <v>757</v>
      </c>
      <c r="N22" s="210"/>
    </row>
    <row r="23" spans="2:14">
      <c r="B23" t="s">
        <v>659</v>
      </c>
      <c r="N23" s="210"/>
    </row>
    <row r="24" spans="2:14">
      <c r="B24" t="s">
        <v>758</v>
      </c>
      <c r="N24" s="210"/>
    </row>
    <row r="25" spans="2:14">
      <c r="B25" t="s">
        <v>759</v>
      </c>
      <c r="N25" s="210"/>
    </row>
    <row r="26" spans="2:14">
      <c r="B26" t="s">
        <v>664</v>
      </c>
      <c r="N26" s="210"/>
    </row>
    <row r="27" spans="2:14">
      <c r="B27" t="s">
        <v>760</v>
      </c>
      <c r="N27" s="210"/>
    </row>
    <row r="28" spans="2:14">
      <c r="B28" t="s">
        <v>785</v>
      </c>
      <c r="N28" s="210"/>
    </row>
    <row r="29" spans="2:14">
      <c r="B29" t="s">
        <v>786</v>
      </c>
      <c r="N29" s="210"/>
    </row>
    <row r="30" spans="2:14">
      <c r="B30" t="s">
        <v>761</v>
      </c>
    </row>
    <row r="31" spans="2:14">
      <c r="B31" t="s">
        <v>762</v>
      </c>
    </row>
    <row r="33" spans="2:2">
      <c r="B33" s="4" t="s">
        <v>72</v>
      </c>
    </row>
    <row r="34" spans="2:2">
      <c r="B34" t="s">
        <v>556</v>
      </c>
    </row>
    <row r="35" spans="2:2">
      <c r="B35" t="s">
        <v>763</v>
      </c>
    </row>
    <row r="36" spans="2:2">
      <c r="B36" t="s">
        <v>764</v>
      </c>
    </row>
    <row r="37" spans="2:2">
      <c r="B37" t="s">
        <v>527</v>
      </c>
    </row>
    <row r="39" spans="2:2">
      <c r="B39" s="5" t="s">
        <v>62</v>
      </c>
    </row>
    <row r="40" spans="2:2">
      <c r="B40" s="8" t="s">
        <v>765</v>
      </c>
    </row>
    <row r="41" spans="2:2">
      <c r="B41" t="s">
        <v>751</v>
      </c>
    </row>
    <row r="42" spans="2:2">
      <c r="B42" t="s">
        <v>787</v>
      </c>
    </row>
    <row r="43" spans="2:2">
      <c r="B43" t="s">
        <v>788</v>
      </c>
    </row>
    <row r="45" spans="2:2">
      <c r="B45" s="5" t="s">
        <v>74</v>
      </c>
    </row>
    <row r="46" spans="2:2">
      <c r="B46" s="5" t="s">
        <v>538</v>
      </c>
    </row>
    <row r="47" spans="2:2">
      <c r="B47" s="125" t="s">
        <v>766</v>
      </c>
    </row>
    <row r="48" spans="2:2">
      <c r="B48" s="8" t="s">
        <v>557</v>
      </c>
    </row>
    <row r="49" spans="2:2">
      <c r="B49" s="8" t="s">
        <v>558</v>
      </c>
    </row>
    <row r="50" spans="2:2">
      <c r="B50" s="125" t="s">
        <v>552</v>
      </c>
    </row>
    <row r="51" spans="2:2">
      <c r="B51" s="125"/>
    </row>
    <row r="52" spans="2:2">
      <c r="B52" s="5" t="s">
        <v>767</v>
      </c>
    </row>
    <row r="53" spans="2:2">
      <c r="B53" s="125" t="s">
        <v>559</v>
      </c>
    </row>
    <row r="54" spans="2:2">
      <c r="B54" s="125" t="s">
        <v>753</v>
      </c>
    </row>
    <row r="55" spans="2:2">
      <c r="B55" s="125" t="s">
        <v>548</v>
      </c>
    </row>
    <row r="56" spans="2:2">
      <c r="B56" s="126" t="s">
        <v>549</v>
      </c>
    </row>
    <row r="57" spans="2:2">
      <c r="B57" s="126" t="s">
        <v>550</v>
      </c>
    </row>
    <row r="58" spans="2:2">
      <c r="B58" s="126" t="s">
        <v>551</v>
      </c>
    </row>
    <row r="59" spans="2:2">
      <c r="B59" s="126"/>
    </row>
    <row r="60" spans="2:2">
      <c r="B60" s="5" t="s">
        <v>665</v>
      </c>
    </row>
    <row r="61" spans="2:2">
      <c r="B61" s="126" t="s">
        <v>768</v>
      </c>
    </row>
    <row r="62" spans="2:2">
      <c r="B62" s="126" t="s">
        <v>769</v>
      </c>
    </row>
    <row r="63" spans="2:2">
      <c r="B63" s="126" t="s">
        <v>770</v>
      </c>
    </row>
  </sheetData>
  <sheetProtection algorithmName="SHA-512" hashValue="biZsd7+h8f0aZpmBKw0FuyYNUUOeBngSJObZgzPXS6Rlg+JHT5N79xLb1aWbK37gGhG9NjvMvPw7nuqvE4ReHA==" saltValue="3TWPfBEGSkhjL1m49K0HVQ==" spinCount="100000" sheet="1" objects="1" scenarios="1"/>
  <mergeCells count="1">
    <mergeCell ref="B1:N1"/>
  </mergeCells>
  <printOptions gridLines="1"/>
  <pageMargins left="0.45" right="0.45" top="0.5" bottom="0.5" header="0.3" footer="0.3"/>
  <pageSetup scale="58" orientation="landscape" cellComments="asDisplayed" r:id="rId1"/>
  <headerFooter>
    <oddHeader>&amp;L&amp;F&amp;RPage &amp;P of &amp;N</oddHeader>
    <oddFooter>&amp;L&amp;A&amp;R&amp;D &amp;T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L841"/>
  <sheetViews>
    <sheetView showGridLines="0" view="pageBreakPreview" zoomScaleNormal="100" zoomScaleSheetLayoutView="100" workbookViewId="0">
      <selection activeCell="O17" sqref="O17"/>
    </sheetView>
  </sheetViews>
  <sheetFormatPr defaultColWidth="9.140625" defaultRowHeight="12.75"/>
  <cols>
    <col min="1" max="1" width="10.28515625" style="510" customWidth="1"/>
    <col min="2" max="2" width="6.42578125" style="510" customWidth="1"/>
    <col min="3" max="3" width="9.42578125" style="510" customWidth="1"/>
    <col min="4" max="4" width="12.140625" style="510" customWidth="1"/>
    <col min="5" max="5" width="18.7109375" style="510" customWidth="1"/>
    <col min="6" max="6" width="5.28515625" style="510" customWidth="1"/>
    <col min="7" max="7" width="10.7109375" style="510" customWidth="1"/>
    <col min="8" max="8" width="11.85546875" style="510" customWidth="1"/>
    <col min="9" max="9" width="16.5703125" style="510" customWidth="1"/>
    <col min="10" max="10" width="16.42578125" style="510" hidden="1" customWidth="1"/>
    <col min="11" max="11" width="19" style="510" customWidth="1"/>
    <col min="12" max="12" width="13.7109375" style="510" customWidth="1"/>
    <col min="13" max="16384" width="9.140625" style="510"/>
  </cols>
  <sheetData>
    <row r="1" spans="2:10" ht="22.9" customHeight="1">
      <c r="B1" s="593" t="s">
        <v>721</v>
      </c>
      <c r="C1" s="508"/>
      <c r="D1" s="594"/>
      <c r="E1" s="508"/>
      <c r="F1" s="508"/>
      <c r="G1" s="508"/>
      <c r="H1" s="509"/>
      <c r="I1" s="509"/>
    </row>
    <row r="2" spans="2:10" ht="12.75" customHeight="1">
      <c r="B2" s="511"/>
      <c r="C2" s="512"/>
      <c r="D2" s="512"/>
      <c r="E2" s="512"/>
      <c r="F2" s="512"/>
      <c r="G2" s="512"/>
      <c r="H2" s="512"/>
      <c r="I2" s="513" t="str">
        <f ca="1">"© 2008-" &amp; YEAR(TODAY()) &amp; " Vertex42 LLC"</f>
        <v>© 2008-2022 Vertex42 LLC</v>
      </c>
    </row>
    <row r="5" spans="2:10" ht="14.25">
      <c r="B5" s="514" t="s">
        <v>670</v>
      </c>
      <c r="C5" s="515"/>
      <c r="D5" s="515"/>
      <c r="E5" s="515"/>
      <c r="G5" s="514" t="s">
        <v>671</v>
      </c>
      <c r="H5" s="516"/>
      <c r="I5" s="516"/>
      <c r="J5" s="517" t="s">
        <v>672</v>
      </c>
    </row>
    <row r="6" spans="2:10" ht="15" customHeight="1">
      <c r="B6" s="512"/>
      <c r="C6" s="512"/>
      <c r="D6" s="518" t="s">
        <v>673</v>
      </c>
      <c r="E6" s="595">
        <f>Dashboard!F28</f>
        <v>0</v>
      </c>
      <c r="H6" s="519" t="s">
        <v>674</v>
      </c>
      <c r="I6" s="520">
        <f>((1+E7/E15)^(E15/E14))-1</f>
        <v>3.2499999999999973E-2</v>
      </c>
      <c r="J6" s="510" t="s">
        <v>152</v>
      </c>
    </row>
    <row r="7" spans="2:10" ht="15" customHeight="1">
      <c r="B7" s="512"/>
      <c r="C7" s="512"/>
      <c r="D7" s="518" t="s">
        <v>675</v>
      </c>
      <c r="E7" s="521">
        <f>Dashboard!F8</f>
        <v>3.2500000000000001E-2</v>
      </c>
      <c r="H7" s="519" t="s">
        <v>676</v>
      </c>
      <c r="I7" s="522">
        <f>SUM(G61:G840)+SUM(H61:H840)</f>
        <v>0</v>
      </c>
      <c r="J7" s="510" t="s">
        <v>677</v>
      </c>
    </row>
    <row r="8" spans="2:10" ht="15" customHeight="1">
      <c r="B8" s="512"/>
      <c r="C8" s="512"/>
      <c r="D8" s="518" t="s">
        <v>678</v>
      </c>
      <c r="E8" s="523">
        <f>Dashboard!F33</f>
        <v>30</v>
      </c>
      <c r="H8" s="519" t="s">
        <v>679</v>
      </c>
      <c r="I8" s="524">
        <f>SUM(G60:G840)</f>
        <v>0</v>
      </c>
      <c r="J8" s="510" t="s">
        <v>680</v>
      </c>
    </row>
    <row r="9" spans="2:10" ht="15" customHeight="1">
      <c r="B9" s="512"/>
      <c r="C9" s="512"/>
      <c r="D9" s="518" t="s">
        <v>681</v>
      </c>
      <c r="E9" s="525">
        <v>45474</v>
      </c>
      <c r="H9" s="519" t="s">
        <v>682</v>
      </c>
      <c r="I9" s="526" t="str">
        <f>IF(AND(SUM(E61:E840)=0,roundOpt)," - ",(nper*(-PMT(rate,nper,loan_amount,,pmtType))-loan_amount)-I8)</f>
        <v xml:space="preserve"> - </v>
      </c>
      <c r="J9" s="510" t="s">
        <v>683</v>
      </c>
    </row>
    <row r="10" spans="2:10" ht="15" customHeight="1">
      <c r="B10" s="512" t="e">
        <f>+#REF!</f>
        <v>#REF!</v>
      </c>
      <c r="C10" s="512"/>
      <c r="D10" s="518" t="s">
        <v>684</v>
      </c>
      <c r="E10" s="525" t="s">
        <v>685</v>
      </c>
      <c r="I10" s="527" t="str">
        <f ca="1">IF(AND(NOT(I840=""),I840&gt;0.004),"ERROR: Limit is "&amp;OFFSET(B841,-1,0,1,1)&amp;" payments",".")</f>
        <v>.</v>
      </c>
      <c r="J10" s="510" t="s">
        <v>686</v>
      </c>
    </row>
    <row r="11" spans="2:10" ht="15" customHeight="1">
      <c r="B11" s="512"/>
      <c r="C11" s="512"/>
      <c r="D11" s="518" t="s">
        <v>687</v>
      </c>
      <c r="E11" s="528" t="str">
        <f>E10</f>
        <v>annual</v>
      </c>
      <c r="I11" s="529" t="str">
        <f>IF(E15&gt;E14,"Warning: negative amortization",".")</f>
        <v>.</v>
      </c>
      <c r="J11" s="510" t="s">
        <v>688</v>
      </c>
    </row>
    <row r="12" spans="2:10" ht="15" customHeight="1">
      <c r="B12" s="512"/>
      <c r="C12" s="512"/>
      <c r="D12" s="518" t="s">
        <v>689</v>
      </c>
      <c r="E12" s="528" t="s">
        <v>690</v>
      </c>
      <c r="J12" s="510" t="s">
        <v>691</v>
      </c>
    </row>
    <row r="13" spans="2:10" ht="15" customHeight="1">
      <c r="B13" s="512"/>
      <c r="C13" s="512"/>
      <c r="D13" s="518" t="s">
        <v>692</v>
      </c>
      <c r="E13" s="528" t="s">
        <v>693</v>
      </c>
      <c r="I13" s="529"/>
      <c r="J13" s="510" t="s">
        <v>694</v>
      </c>
    </row>
    <row r="14" spans="2:10" ht="15" customHeight="1">
      <c r="B14" s="512"/>
      <c r="C14" s="512"/>
      <c r="D14" s="530" t="s">
        <v>695</v>
      </c>
      <c r="E14" s="512">
        <f>INDEX({1;2;4;6;12;24;26;52},MATCH('FY25 Level-Payment'!$E$10,$J$6:$J$13,0))</f>
        <v>1</v>
      </c>
    </row>
    <row r="15" spans="2:10" ht="15" customHeight="1">
      <c r="B15" s="512"/>
      <c r="C15" s="512"/>
      <c r="D15" s="530" t="s">
        <v>687</v>
      </c>
      <c r="E15" s="512">
        <f>INDEX({1;2;4;6;12;24;26;52},MATCH('FY25 Level-Payment'!$E$11,$J$6:$J$13,0))</f>
        <v>1</v>
      </c>
    </row>
    <row r="16" spans="2:10" ht="15" customHeight="1">
      <c r="B16" s="512"/>
      <c r="C16" s="512"/>
      <c r="D16" s="530" t="s">
        <v>689</v>
      </c>
      <c r="E16" s="512">
        <f>IF('FY25 Level-Payment'!$E$12="End of Period",0,1)</f>
        <v>1</v>
      </c>
    </row>
    <row r="17" spans="2:12" ht="15" customHeight="1">
      <c r="B17" s="512"/>
      <c r="C17" s="512"/>
      <c r="D17" s="530" t="s">
        <v>696</v>
      </c>
      <c r="E17" s="512">
        <f>12/$E$14</f>
        <v>12</v>
      </c>
    </row>
    <row r="18" spans="2:12" ht="15" customHeight="1">
      <c r="B18" s="512"/>
      <c r="C18" s="512"/>
      <c r="D18" s="530" t="s">
        <v>697</v>
      </c>
      <c r="E18" s="512">
        <f>$E$8*$E$14</f>
        <v>30</v>
      </c>
    </row>
    <row r="19" spans="2:12" ht="15" customHeight="1">
      <c r="B19" s="512"/>
      <c r="C19" s="512"/>
      <c r="D19" s="530" t="s">
        <v>698</v>
      </c>
      <c r="E19" s="513" t="b">
        <f>(E13="On")</f>
        <v>1</v>
      </c>
    </row>
    <row r="20" spans="2:12">
      <c r="I20" s="531" t="s">
        <v>699</v>
      </c>
    </row>
    <row r="21" spans="2:12" ht="15.75">
      <c r="D21" s="532" t="str">
        <f>E10&amp;" Payment"</f>
        <v>annual Payment</v>
      </c>
      <c r="E21" s="533">
        <f>IF(roundOpt,ROUND(-PMT(rate,nper,$E$6,,pmtType),2),-PMT(rate,nper,$E$6,,pmtType))</f>
        <v>0</v>
      </c>
      <c r="I21" s="531"/>
    </row>
    <row r="22" spans="2:12">
      <c r="I22" s="531"/>
    </row>
    <row r="23" spans="2:12" ht="15">
      <c r="B23" s="534" t="s">
        <v>700</v>
      </c>
      <c r="C23" s="534"/>
      <c r="D23" s="534"/>
      <c r="E23" s="534"/>
      <c r="F23" s="534"/>
      <c r="G23" s="534"/>
      <c r="H23" s="534"/>
      <c r="I23" s="534"/>
    </row>
    <row r="24" spans="2:12" ht="26.25" thickBot="1">
      <c r="B24" s="535"/>
      <c r="C24" s="536" t="s">
        <v>42</v>
      </c>
      <c r="D24" s="537" t="s">
        <v>701</v>
      </c>
      <c r="E24" s="537" t="s">
        <v>702</v>
      </c>
      <c r="F24" s="537"/>
      <c r="G24" s="537" t="s">
        <v>703</v>
      </c>
      <c r="H24" s="537" t="s">
        <v>704</v>
      </c>
      <c r="I24" s="537" t="s">
        <v>705</v>
      </c>
      <c r="K24" s="538" t="s">
        <v>706</v>
      </c>
    </row>
    <row r="25" spans="2:12">
      <c r="B25" s="539"/>
      <c r="C25" s="540"/>
      <c r="D25" s="539"/>
      <c r="E25" s="539"/>
      <c r="F25" s="539"/>
      <c r="G25" s="539"/>
      <c r="H25" s="541"/>
      <c r="I25" s="542">
        <f>loan_amount</f>
        <v>0</v>
      </c>
      <c r="K25" s="543">
        <f>loan_amount</f>
        <v>0</v>
      </c>
    </row>
    <row r="26" spans="2:12">
      <c r="B26" s="544"/>
      <c r="C26" s="544">
        <f>YEAR(fpdate)</f>
        <v>2024</v>
      </c>
      <c r="D26" s="545">
        <f>SUMIF($C$60:$C$841,"&lt;="&amp;DATE($C26,12,31),$D$60:$D$841)-SUM(D$25:D25)</f>
        <v>0</v>
      </c>
      <c r="E26" s="545">
        <f>SUMIF($C$60:$C$841,"&lt;="&amp;DATE($C26,12,31),$E$60:$E$841)-SUM(E$25:E25)</f>
        <v>0</v>
      </c>
      <c r="F26" s="546"/>
      <c r="G26" s="545">
        <f>SUMIF($C$60:$C$841,"&lt;="&amp;DATE($C26,12,31),$G$60:$G$841)-SUM(G$25:G25)</f>
        <v>0</v>
      </c>
      <c r="H26" s="545">
        <f>SUMIF($C$60:$C$841,"&lt;="&amp;DATE($C26,12,31),$H$60:$H$841)-SUM(H$25:H25)</f>
        <v>0</v>
      </c>
      <c r="I26" s="545">
        <f>I25-H26</f>
        <v>0</v>
      </c>
      <c r="K26" s="547">
        <f t="shared" ref="K26:K54" si="0">K25-H26</f>
        <v>0</v>
      </c>
    </row>
    <row r="27" spans="2:12">
      <c r="B27" s="548"/>
      <c r="C27" s="544">
        <f>C26+1</f>
        <v>2025</v>
      </c>
      <c r="D27" s="545">
        <f>SUMIF($C$60:$C$841,"&lt;="&amp;DATE($C27,12,31),$D$60:$D$841)-SUM(D$25:D26)</f>
        <v>0</v>
      </c>
      <c r="E27" s="545">
        <f>SUMIF($C$60:$C$841,"&lt;="&amp;DATE($C27,12,31),$E$60:$E$841)-SUM(E$25:E26)</f>
        <v>0</v>
      </c>
      <c r="F27" s="546"/>
      <c r="G27" s="545">
        <f>SUMIF($C$60:$C$841,"&lt;="&amp;DATE($C27,12,31),$G$60:$G$841)-SUM(G$25:G26)</f>
        <v>0</v>
      </c>
      <c r="H27" s="545">
        <f>SUMIF($C$60:$C$841,"&lt;="&amp;DATE($C27,12,31),$H$60:$H$841)-SUM(H$25:H26)</f>
        <v>0</v>
      </c>
      <c r="I27" s="545">
        <f>I26-H27</f>
        <v>0</v>
      </c>
      <c r="K27" s="547">
        <f t="shared" si="0"/>
        <v>0</v>
      </c>
    </row>
    <row r="28" spans="2:12">
      <c r="B28" s="548"/>
      <c r="C28" s="544">
        <f>C27+1</f>
        <v>2026</v>
      </c>
      <c r="D28" s="545">
        <f>SUMIF($C$60:$C$841,"&lt;="&amp;DATE($C28,12,31),$D$60:$D$841)-SUM(D$25:D27)</f>
        <v>0</v>
      </c>
      <c r="E28" s="545">
        <f>SUMIF($C$60:$C$841,"&lt;="&amp;DATE($C28,12,31),$E$60:$E$841)-SUM(E$25:E27)</f>
        <v>0</v>
      </c>
      <c r="F28" s="546"/>
      <c r="G28" s="545">
        <f>SUMIF($C$60:$C$841,"&lt;="&amp;DATE($C28,12,31),$G$60:$G$841)-SUM(G$25:G27)</f>
        <v>0</v>
      </c>
      <c r="H28" s="545">
        <f>SUMIF($C$60:$C$841,"&lt;="&amp;DATE($C28,12,31),$H$60:$H$841)-SUM(H$25:H27)</f>
        <v>0</v>
      </c>
      <c r="I28" s="545">
        <f>I27-H28</f>
        <v>0</v>
      </c>
      <c r="K28" s="547">
        <f t="shared" si="0"/>
        <v>0</v>
      </c>
    </row>
    <row r="29" spans="2:12">
      <c r="B29" s="548"/>
      <c r="C29" s="544">
        <f>C28+1</f>
        <v>2027</v>
      </c>
      <c r="D29" s="545">
        <f>SUMIF($C$60:$C$841,"&lt;="&amp;DATE($C29,12,31),$D$60:$D$841)-SUM(D$25:D28)</f>
        <v>0</v>
      </c>
      <c r="E29" s="545">
        <f>SUMIF($C$60:$C$841,"&lt;="&amp;DATE($C29,12,31),$E$60:$E$841)-SUM(E$25:E28)</f>
        <v>0</v>
      </c>
      <c r="F29" s="546"/>
      <c r="G29" s="545">
        <f>SUMIF($C$60:$C$841,"&lt;="&amp;DATE($C29,12,31),$G$60:$G$841)-SUM(G$25:G28)</f>
        <v>0</v>
      </c>
      <c r="H29" s="545">
        <f>SUMIF($C$60:$C$841,"&lt;="&amp;DATE($C29,12,31),$H$60:$H$841)-SUM(H$25:H28)</f>
        <v>0</v>
      </c>
      <c r="I29" s="545">
        <f>I28-H29</f>
        <v>0</v>
      </c>
      <c r="K29" s="547">
        <f t="shared" si="0"/>
        <v>0</v>
      </c>
    </row>
    <row r="30" spans="2:12">
      <c r="B30" s="548"/>
      <c r="C30" s="544">
        <f t="shared" ref="C30:C56" si="1">C29+1</f>
        <v>2028</v>
      </c>
      <c r="D30" s="545">
        <f>SUMIF($C$60:$C$841,"&lt;="&amp;DATE($C30,12,31),$D$60:$D$841)-SUM(D$25:D29)</f>
        <v>0</v>
      </c>
      <c r="E30" s="545">
        <f>SUMIF($C$60:$C$841,"&lt;="&amp;DATE($C30,12,31),$E$60:$E$841)-SUM(E$25:E29)</f>
        <v>0</v>
      </c>
      <c r="F30" s="546"/>
      <c r="G30" s="545">
        <f>SUMIF($C$60:$C$841,"&lt;="&amp;DATE($C30,12,31),$G$60:$G$841)-SUM(G$25:G29)</f>
        <v>0</v>
      </c>
      <c r="H30" s="545">
        <f>SUMIF($C$60:$C$841,"&lt;="&amp;DATE($C30,12,31),$H$60:$H$841)-SUM(H$25:H29)</f>
        <v>0</v>
      </c>
      <c r="I30" s="545">
        <f t="shared" ref="I30:I56" si="2">I29-H30</f>
        <v>0</v>
      </c>
      <c r="K30" s="547">
        <f t="shared" si="0"/>
        <v>0</v>
      </c>
    </row>
    <row r="31" spans="2:12">
      <c r="B31" s="548"/>
      <c r="C31" s="544">
        <f t="shared" si="1"/>
        <v>2029</v>
      </c>
      <c r="D31" s="545">
        <f>SUMIF($C$60:$C$841,"&lt;="&amp;DATE($C31,12,31),$D$60:$D$841)-SUM(D$25:D30)</f>
        <v>0</v>
      </c>
      <c r="E31" s="545">
        <f>SUMIF($C$60:$C$841,"&lt;="&amp;DATE($C31,12,31),$E$60:$E$841)-SUM(E$25:E30)</f>
        <v>0</v>
      </c>
      <c r="F31" s="546"/>
      <c r="G31" s="545">
        <f>SUMIF($C$60:$C$841,"&lt;="&amp;DATE($C31,12,31),$G$60:$G$841)-SUM(G$25:G30)</f>
        <v>0</v>
      </c>
      <c r="H31" s="545">
        <f>SUMIF($C$60:$C$841,"&lt;="&amp;DATE($C31,12,31),$H$60:$H$841)-SUM(H$25:H30)</f>
        <v>0</v>
      </c>
      <c r="I31" s="545">
        <f t="shared" si="2"/>
        <v>0</v>
      </c>
      <c r="K31" s="547">
        <f t="shared" si="0"/>
        <v>0</v>
      </c>
    </row>
    <row r="32" spans="2:12">
      <c r="B32" s="548"/>
      <c r="C32" s="544">
        <f t="shared" si="1"/>
        <v>2030</v>
      </c>
      <c r="D32" s="545">
        <f>SUMIF($C$60:$C$841,"&lt;="&amp;DATE($C32,12,31),$D$60:$D$841)-SUM(D$25:D31)</f>
        <v>0</v>
      </c>
      <c r="E32" s="545">
        <f>SUMIF($C$60:$C$841,"&lt;="&amp;DATE($C32,12,31),$E$60:$E$841)-SUM(E$25:E31)</f>
        <v>0</v>
      </c>
      <c r="F32" s="546"/>
      <c r="G32" s="545">
        <f>SUMIF($C$60:$C$841,"&lt;="&amp;DATE($C32,12,31),$G$60:$G$841)-SUM(G$25:G31)</f>
        <v>0</v>
      </c>
      <c r="H32" s="545">
        <f>SUMIF($C$60:$C$841,"&lt;="&amp;DATE($C32,12,31),$H$60:$H$841)-SUM(H$25:H31)</f>
        <v>0</v>
      </c>
      <c r="I32" s="545">
        <f t="shared" si="2"/>
        <v>0</v>
      </c>
      <c r="K32" s="547">
        <f t="shared" si="0"/>
        <v>0</v>
      </c>
      <c r="L32" s="538" t="s">
        <v>719</v>
      </c>
    </row>
    <row r="33" spans="2:12">
      <c r="B33" s="548"/>
      <c r="C33" s="544">
        <f t="shared" si="1"/>
        <v>2031</v>
      </c>
      <c r="D33" s="545">
        <f>SUMIF($C$60:$C$841,"&lt;="&amp;DATE($C33,12,31),$D$60:$D$841)-SUM(D$25:D32)</f>
        <v>0</v>
      </c>
      <c r="E33" s="545">
        <f>SUMIF($C$60:$C$841,"&lt;="&amp;DATE($C33,12,31),$E$60:$E$841)-SUM(E$25:E32)</f>
        <v>0</v>
      </c>
      <c r="F33" s="546"/>
      <c r="G33" s="545">
        <f>SUMIF($C$60:$C$841,"&lt;="&amp;DATE($C33,12,31),$G$60:$G$841)-SUM(G$25:G32)</f>
        <v>0</v>
      </c>
      <c r="H33" s="545">
        <f>SUMIF($C$60:$C$841,"&lt;="&amp;DATE($C33,12,31),$H$60:$H$841)-SUM(H$25:H32)</f>
        <v>0</v>
      </c>
      <c r="I33" s="545">
        <f t="shared" si="2"/>
        <v>0</v>
      </c>
      <c r="K33" s="547">
        <f t="shared" si="0"/>
        <v>0</v>
      </c>
      <c r="L33" s="604">
        <f>SUM(D26:D33)</f>
        <v>0</v>
      </c>
    </row>
    <row r="34" spans="2:12">
      <c r="B34" s="548"/>
      <c r="C34" s="544">
        <f t="shared" si="1"/>
        <v>2032</v>
      </c>
      <c r="D34" s="545">
        <f>SUMIF($C$60:$C$841,"&lt;="&amp;DATE($C34,12,31),$D$60:$D$841)-SUM(D$25:D33)</f>
        <v>0</v>
      </c>
      <c r="E34" s="545">
        <f>SUMIF($C$60:$C$841,"&lt;="&amp;DATE($C34,12,31),$E$60:$E$841)-SUM(E$25:E33)</f>
        <v>0</v>
      </c>
      <c r="F34" s="546"/>
      <c r="G34" s="545">
        <f>SUMIF($C$60:$C$841,"&lt;="&amp;DATE($C34,12,31),$G$60:$G$841)-SUM(G$25:G33)</f>
        <v>0</v>
      </c>
      <c r="H34" s="545">
        <f>SUMIF($C$60:$C$841,"&lt;="&amp;DATE($C34,12,31),$H$60:$H$841)-SUM(H$25:H33)</f>
        <v>0</v>
      </c>
      <c r="I34" s="545">
        <f t="shared" si="2"/>
        <v>0</v>
      </c>
      <c r="K34" s="547">
        <f t="shared" si="0"/>
        <v>0</v>
      </c>
    </row>
    <row r="35" spans="2:12">
      <c r="B35" s="548"/>
      <c r="C35" s="544">
        <f t="shared" si="1"/>
        <v>2033</v>
      </c>
      <c r="D35" s="545">
        <f>SUMIF($C$60:$C$841,"&lt;="&amp;DATE($C35,12,31),$D$60:$D$841)-SUM(D$25:D34)</f>
        <v>0</v>
      </c>
      <c r="E35" s="545">
        <f>SUMIF($C$60:$C$841,"&lt;="&amp;DATE($C35,12,31),$E$60:$E$841)-SUM(E$25:E34)</f>
        <v>0</v>
      </c>
      <c r="F35" s="546"/>
      <c r="G35" s="545">
        <f>SUMIF($C$60:$C$841,"&lt;="&amp;DATE($C35,12,31),$G$60:$G$841)-SUM(G$25:G34)</f>
        <v>0</v>
      </c>
      <c r="H35" s="545">
        <f>SUMIF($C$60:$C$841,"&lt;="&amp;DATE($C35,12,31),$H$60:$H$841)-SUM(H$25:H34)</f>
        <v>0</v>
      </c>
      <c r="I35" s="545">
        <f t="shared" si="2"/>
        <v>0</v>
      </c>
      <c r="K35" s="547">
        <f t="shared" si="0"/>
        <v>0</v>
      </c>
    </row>
    <row r="36" spans="2:12">
      <c r="B36" s="548"/>
      <c r="C36" s="544">
        <f t="shared" si="1"/>
        <v>2034</v>
      </c>
      <c r="D36" s="545">
        <f>SUMIF($C$60:$C$841,"&lt;="&amp;DATE($C36,12,31),$D$60:$D$841)-SUM(D$25:D35)</f>
        <v>0</v>
      </c>
      <c r="E36" s="545">
        <f>SUMIF($C$60:$C$841,"&lt;="&amp;DATE($C36,12,31),$E$60:$E$841)-SUM(E$25:E35)</f>
        <v>0</v>
      </c>
      <c r="F36" s="546"/>
      <c r="G36" s="545">
        <f>SUMIF($C$60:$C$841,"&lt;="&amp;DATE($C36,12,31),$G$60:$G$841)-SUM(G$25:G35)</f>
        <v>0</v>
      </c>
      <c r="H36" s="545">
        <f>SUMIF($C$60:$C$841,"&lt;="&amp;DATE($C36,12,31),$H$60:$H$841)-SUM(H$25:H35)</f>
        <v>0</v>
      </c>
      <c r="I36" s="545">
        <f t="shared" si="2"/>
        <v>0</v>
      </c>
      <c r="K36" s="547">
        <f t="shared" si="0"/>
        <v>0</v>
      </c>
    </row>
    <row r="37" spans="2:12">
      <c r="B37" s="548"/>
      <c r="C37" s="544">
        <f t="shared" si="1"/>
        <v>2035</v>
      </c>
      <c r="D37" s="545">
        <f>SUMIF($C$60:$C$841,"&lt;="&amp;DATE($C37,12,31),$D$60:$D$841)-SUM(D$25:D36)</f>
        <v>0</v>
      </c>
      <c r="E37" s="545">
        <f>SUMIF($C$60:$C$841,"&lt;="&amp;DATE($C37,12,31),$E$60:$E$841)-SUM(E$25:E36)</f>
        <v>0</v>
      </c>
      <c r="F37" s="546"/>
      <c r="G37" s="545">
        <f>SUMIF($C$60:$C$841,"&lt;="&amp;DATE($C37,12,31),$G$60:$G$841)-SUM(G$25:G36)</f>
        <v>0</v>
      </c>
      <c r="H37" s="545">
        <f>SUMIF($C$60:$C$841,"&lt;="&amp;DATE($C37,12,31),$H$60:$H$841)-SUM(H$25:H36)</f>
        <v>0</v>
      </c>
      <c r="I37" s="545">
        <f t="shared" si="2"/>
        <v>0</v>
      </c>
      <c r="K37" s="547">
        <f t="shared" si="0"/>
        <v>0</v>
      </c>
    </row>
    <row r="38" spans="2:12">
      <c r="B38" s="548"/>
      <c r="C38" s="544">
        <f t="shared" si="1"/>
        <v>2036</v>
      </c>
      <c r="D38" s="545">
        <f>SUMIF($C$60:$C$841,"&lt;="&amp;DATE($C38,12,31),$D$60:$D$841)-SUM(D$25:D37)</f>
        <v>0</v>
      </c>
      <c r="E38" s="545">
        <f>SUMIF($C$60:$C$841,"&lt;="&amp;DATE($C38,12,31),$E$60:$E$841)-SUM(E$25:E37)</f>
        <v>0</v>
      </c>
      <c r="F38" s="546"/>
      <c r="G38" s="545">
        <f>SUMIF($C$60:$C$841,"&lt;="&amp;DATE($C38,12,31),$G$60:$G$841)-SUM(G$25:G37)</f>
        <v>0</v>
      </c>
      <c r="H38" s="545">
        <f>SUMIF($C$60:$C$841,"&lt;="&amp;DATE($C38,12,31),$H$60:$H$841)-SUM(H$25:H37)</f>
        <v>0</v>
      </c>
      <c r="I38" s="545">
        <f t="shared" si="2"/>
        <v>0</v>
      </c>
      <c r="K38" s="547">
        <f t="shared" si="0"/>
        <v>0</v>
      </c>
    </row>
    <row r="39" spans="2:12">
      <c r="B39" s="548"/>
      <c r="C39" s="544">
        <f t="shared" si="1"/>
        <v>2037</v>
      </c>
      <c r="D39" s="545">
        <f>SUMIF($C$60:$C$841,"&lt;="&amp;DATE($C39,12,31),$D$60:$D$841)-SUM(D$25:D38)</f>
        <v>0</v>
      </c>
      <c r="E39" s="545">
        <f>SUMIF($C$60:$C$841,"&lt;="&amp;DATE($C39,12,31),$E$60:$E$841)-SUM(E$25:E38)</f>
        <v>0</v>
      </c>
      <c r="F39" s="546"/>
      <c r="G39" s="545">
        <f>SUMIF($C$60:$C$841,"&lt;="&amp;DATE($C39,12,31),$G$60:$G$841)-SUM(G$25:G38)</f>
        <v>0</v>
      </c>
      <c r="H39" s="545">
        <f>SUMIF($C$60:$C$841,"&lt;="&amp;DATE($C39,12,31),$H$60:$H$841)-SUM(H$25:H38)</f>
        <v>0</v>
      </c>
      <c r="I39" s="545">
        <f t="shared" si="2"/>
        <v>0</v>
      </c>
      <c r="K39" s="547">
        <f t="shared" si="0"/>
        <v>0</v>
      </c>
    </row>
    <row r="40" spans="2:12">
      <c r="B40" s="548"/>
      <c r="C40" s="544">
        <f t="shared" si="1"/>
        <v>2038</v>
      </c>
      <c r="D40" s="545">
        <f>SUMIF($C$60:$C$841,"&lt;="&amp;DATE($C40,12,31),$D$60:$D$841)-SUM(D$25:D39)</f>
        <v>0</v>
      </c>
      <c r="E40" s="545">
        <f>SUMIF($C$60:$C$841,"&lt;="&amp;DATE($C40,12,31),$E$60:$E$841)-SUM(E$25:E39)</f>
        <v>0</v>
      </c>
      <c r="F40" s="546"/>
      <c r="G40" s="545">
        <f>SUMIF($C$60:$C$841,"&lt;="&amp;DATE($C40,12,31),$G$60:$G$841)-SUM(G$25:G39)</f>
        <v>0</v>
      </c>
      <c r="H40" s="545">
        <f>SUMIF($C$60:$C$841,"&lt;="&amp;DATE($C40,12,31),$H$60:$H$841)-SUM(H$25:H39)</f>
        <v>0</v>
      </c>
      <c r="I40" s="545">
        <f t="shared" si="2"/>
        <v>0</v>
      </c>
      <c r="K40" s="547">
        <f t="shared" si="0"/>
        <v>0</v>
      </c>
    </row>
    <row r="41" spans="2:12">
      <c r="B41" s="548"/>
      <c r="C41" s="544">
        <f t="shared" si="1"/>
        <v>2039</v>
      </c>
      <c r="D41" s="545">
        <f>SUMIF($C$60:$C$841,"&lt;="&amp;DATE($C41,12,31),$D$60:$D$841)-SUM(D$25:D40)</f>
        <v>0</v>
      </c>
      <c r="E41" s="545">
        <f>SUMIF($C$60:$C$841,"&lt;="&amp;DATE($C41,12,31),$E$60:$E$841)-SUM(E$25:E40)</f>
        <v>0</v>
      </c>
      <c r="F41" s="546"/>
      <c r="G41" s="545">
        <f>SUMIF($C$60:$C$841,"&lt;="&amp;DATE($C41,12,31),$G$60:$G$841)-SUM(G$25:G40)</f>
        <v>0</v>
      </c>
      <c r="H41" s="545">
        <f>SUMIF($C$60:$C$841,"&lt;="&amp;DATE($C41,12,31),$H$60:$H$841)-SUM(H$25:H40)</f>
        <v>0</v>
      </c>
      <c r="I41" s="545">
        <f t="shared" si="2"/>
        <v>0</v>
      </c>
      <c r="K41" s="547">
        <f t="shared" si="0"/>
        <v>0</v>
      </c>
    </row>
    <row r="42" spans="2:12">
      <c r="B42" s="548"/>
      <c r="C42" s="544">
        <f t="shared" si="1"/>
        <v>2040</v>
      </c>
      <c r="D42" s="545">
        <f>SUMIF($C$60:$C$841,"&lt;="&amp;DATE($C42,12,31),$D$60:$D$841)-SUM(D$25:D41)</f>
        <v>0</v>
      </c>
      <c r="E42" s="545">
        <f>SUMIF($C$60:$C$841,"&lt;="&amp;DATE($C42,12,31),$E$60:$E$841)-SUM(E$25:E41)</f>
        <v>0</v>
      </c>
      <c r="F42" s="546"/>
      <c r="G42" s="545">
        <f>SUMIF($C$60:$C$841,"&lt;="&amp;DATE($C42,12,31),$G$60:$G$841)-SUM(G$25:G41)</f>
        <v>0</v>
      </c>
      <c r="H42" s="545">
        <f>SUMIF($C$60:$C$841,"&lt;="&amp;DATE($C42,12,31),$H$60:$H$841)-SUM(H$25:H41)</f>
        <v>0</v>
      </c>
      <c r="I42" s="545">
        <f t="shared" si="2"/>
        <v>0</v>
      </c>
      <c r="K42" s="547">
        <f t="shared" si="0"/>
        <v>0</v>
      </c>
    </row>
    <row r="43" spans="2:12">
      <c r="B43" s="548"/>
      <c r="C43" s="544">
        <f t="shared" si="1"/>
        <v>2041</v>
      </c>
      <c r="D43" s="545">
        <f>SUMIF($C$60:$C$841,"&lt;="&amp;DATE($C43,12,31),$D$60:$D$841)-SUM(D$25:D42)</f>
        <v>0</v>
      </c>
      <c r="E43" s="545">
        <f>SUMIF($C$60:$C$841,"&lt;="&amp;DATE($C43,12,31),$E$60:$E$841)-SUM(E$25:E42)</f>
        <v>0</v>
      </c>
      <c r="F43" s="546"/>
      <c r="G43" s="545">
        <f>SUMIF($C$60:$C$841,"&lt;="&amp;DATE($C43,12,31),$G$60:$G$841)-SUM(G$25:G42)</f>
        <v>0</v>
      </c>
      <c r="H43" s="545">
        <f>SUMIF($C$60:$C$841,"&lt;="&amp;DATE($C43,12,31),$H$60:$H$841)-SUM(H$25:H42)</f>
        <v>0</v>
      </c>
      <c r="I43" s="545">
        <f t="shared" si="2"/>
        <v>0</v>
      </c>
      <c r="K43" s="547">
        <f t="shared" si="0"/>
        <v>0</v>
      </c>
    </row>
    <row r="44" spans="2:12">
      <c r="B44" s="548"/>
      <c r="C44" s="544">
        <f t="shared" si="1"/>
        <v>2042</v>
      </c>
      <c r="D44" s="545">
        <f>SUMIF($C$60:$C$841,"&lt;="&amp;DATE($C44,12,31),$D$60:$D$841)-SUM(D$25:D43)</f>
        <v>0</v>
      </c>
      <c r="E44" s="545">
        <f>SUMIF($C$60:$C$841,"&lt;="&amp;DATE($C44,12,31),$E$60:$E$841)-SUM(E$25:E43)</f>
        <v>0</v>
      </c>
      <c r="F44" s="546"/>
      <c r="G44" s="545">
        <f>SUMIF($C$60:$C$841,"&lt;="&amp;DATE($C44,12,31),$G$60:$G$841)-SUM(G$25:G43)</f>
        <v>0</v>
      </c>
      <c r="H44" s="545">
        <f>SUMIF($C$60:$C$841,"&lt;="&amp;DATE($C44,12,31),$H$60:$H$841)-SUM(H$25:H43)</f>
        <v>0</v>
      </c>
      <c r="I44" s="545">
        <f t="shared" si="2"/>
        <v>0</v>
      </c>
      <c r="K44" s="547">
        <f t="shared" si="0"/>
        <v>0</v>
      </c>
    </row>
    <row r="45" spans="2:12">
      <c r="B45" s="548"/>
      <c r="C45" s="544">
        <f t="shared" si="1"/>
        <v>2043</v>
      </c>
      <c r="D45" s="545">
        <f>SUMIF($C$60:$C$841,"&lt;="&amp;DATE($C45,12,31),$D$60:$D$841)-SUM(D$25:D44)</f>
        <v>0</v>
      </c>
      <c r="E45" s="545">
        <f>SUMIF($C$60:$C$841,"&lt;="&amp;DATE($C45,12,31),$E$60:$E$841)-SUM(E$25:E44)</f>
        <v>0</v>
      </c>
      <c r="F45" s="546"/>
      <c r="G45" s="545">
        <f>SUMIF($C$60:$C$841,"&lt;="&amp;DATE($C45,12,31),$G$60:$G$841)-SUM(G$25:G44)</f>
        <v>0</v>
      </c>
      <c r="H45" s="545">
        <f>SUMIF($C$60:$C$841,"&lt;="&amp;DATE($C45,12,31),$H$60:$H$841)-SUM(H$25:H44)</f>
        <v>0</v>
      </c>
      <c r="I45" s="545">
        <f t="shared" si="2"/>
        <v>0</v>
      </c>
      <c r="K45" s="547">
        <f t="shared" si="0"/>
        <v>0</v>
      </c>
    </row>
    <row r="46" spans="2:12">
      <c r="B46" s="548"/>
      <c r="C46" s="544">
        <f t="shared" si="1"/>
        <v>2044</v>
      </c>
      <c r="D46" s="545">
        <f>SUMIF($C$60:$C$841,"&lt;="&amp;DATE($C46,12,31),$D$60:$D$841)-SUM(D$25:D45)</f>
        <v>0</v>
      </c>
      <c r="E46" s="545">
        <f>SUMIF($C$60:$C$841,"&lt;="&amp;DATE($C46,12,31),$E$60:$E$841)-SUM(E$25:E45)</f>
        <v>0</v>
      </c>
      <c r="F46" s="546"/>
      <c r="G46" s="545">
        <f>SUMIF($C$60:$C$841,"&lt;="&amp;DATE($C46,12,31),$G$60:$G$841)-SUM(G$25:G45)</f>
        <v>0</v>
      </c>
      <c r="H46" s="545">
        <f>SUMIF($C$60:$C$841,"&lt;="&amp;DATE($C46,12,31),$H$60:$H$841)-SUM(H$25:H45)</f>
        <v>0</v>
      </c>
      <c r="I46" s="545">
        <f t="shared" si="2"/>
        <v>0</v>
      </c>
      <c r="K46" s="547">
        <f t="shared" si="0"/>
        <v>0</v>
      </c>
    </row>
    <row r="47" spans="2:12">
      <c r="B47" s="548"/>
      <c r="C47" s="544">
        <f t="shared" si="1"/>
        <v>2045</v>
      </c>
      <c r="D47" s="545">
        <f>SUMIF($C$60:$C$841,"&lt;="&amp;DATE($C47,12,31),$D$60:$D$841)-SUM(D$25:D46)</f>
        <v>0</v>
      </c>
      <c r="E47" s="545">
        <f>SUMIF($C$60:$C$841,"&lt;="&amp;DATE($C47,12,31),$E$60:$E$841)-SUM(E$25:E46)</f>
        <v>0</v>
      </c>
      <c r="F47" s="546"/>
      <c r="G47" s="545">
        <f>SUMIF($C$60:$C$841,"&lt;="&amp;DATE($C47,12,31),$G$60:$G$841)-SUM(G$25:G46)</f>
        <v>0</v>
      </c>
      <c r="H47" s="545">
        <f>SUMIF($C$60:$C$841,"&lt;="&amp;DATE($C47,12,31),$H$60:$H$841)-SUM(H$25:H46)</f>
        <v>0</v>
      </c>
      <c r="I47" s="545">
        <f t="shared" si="2"/>
        <v>0</v>
      </c>
      <c r="K47" s="547">
        <f t="shared" si="0"/>
        <v>0</v>
      </c>
    </row>
    <row r="48" spans="2:12">
      <c r="B48" s="548"/>
      <c r="C48" s="544">
        <f t="shared" si="1"/>
        <v>2046</v>
      </c>
      <c r="D48" s="545">
        <f>SUMIF($C$60:$C$841,"&lt;="&amp;DATE($C48,12,31),$D$60:$D$841)-SUM(D$25:D47)</f>
        <v>0</v>
      </c>
      <c r="E48" s="545">
        <f>SUMIF($C$60:$C$841,"&lt;="&amp;DATE($C48,12,31),$E$60:$E$841)-SUM(E$25:E47)</f>
        <v>0</v>
      </c>
      <c r="F48" s="546"/>
      <c r="G48" s="545">
        <f>SUMIF($C$60:$C$841,"&lt;="&amp;DATE($C48,12,31),$G$60:$G$841)-SUM(G$25:G47)</f>
        <v>0</v>
      </c>
      <c r="H48" s="545">
        <f>SUMIF($C$60:$C$841,"&lt;="&amp;DATE($C48,12,31),$H$60:$H$841)-SUM(H$25:H47)</f>
        <v>0</v>
      </c>
      <c r="I48" s="545">
        <f t="shared" si="2"/>
        <v>0</v>
      </c>
      <c r="K48" s="547">
        <f t="shared" si="0"/>
        <v>0</v>
      </c>
    </row>
    <row r="49" spans="2:11">
      <c r="B49" s="548"/>
      <c r="C49" s="544">
        <f t="shared" si="1"/>
        <v>2047</v>
      </c>
      <c r="D49" s="545">
        <f>SUMIF($C$60:$C$841,"&lt;="&amp;DATE($C49,12,31),$D$60:$D$841)-SUM(D$25:D48)</f>
        <v>0</v>
      </c>
      <c r="E49" s="545">
        <f>SUMIF($C$60:$C$841,"&lt;="&amp;DATE($C49,12,31),$E$60:$E$841)-SUM(E$25:E48)</f>
        <v>0</v>
      </c>
      <c r="F49" s="546"/>
      <c r="G49" s="545">
        <f>SUMIF($C$60:$C$841,"&lt;="&amp;DATE($C49,12,31),$G$60:$G$841)-SUM(G$25:G48)</f>
        <v>0</v>
      </c>
      <c r="H49" s="545">
        <f>SUMIF($C$60:$C$841,"&lt;="&amp;DATE($C49,12,31),$H$60:$H$841)-SUM(H$25:H48)</f>
        <v>0</v>
      </c>
      <c r="I49" s="545">
        <f t="shared" si="2"/>
        <v>0</v>
      </c>
      <c r="K49" s="547">
        <f t="shared" si="0"/>
        <v>0</v>
      </c>
    </row>
    <row r="50" spans="2:11">
      <c r="B50" s="548"/>
      <c r="C50" s="544">
        <f t="shared" si="1"/>
        <v>2048</v>
      </c>
      <c r="D50" s="545">
        <f>SUMIF($C$60:$C$841,"&lt;="&amp;DATE($C50,12,31),$D$60:$D$841)-SUM(D$25:D49)</f>
        <v>0</v>
      </c>
      <c r="E50" s="545">
        <f>SUMIF($C$60:$C$841,"&lt;="&amp;DATE($C50,12,31),$E$60:$E$841)-SUM(E$25:E49)</f>
        <v>0</v>
      </c>
      <c r="F50" s="546"/>
      <c r="G50" s="545">
        <f>SUMIF($C$60:$C$841,"&lt;="&amp;DATE($C50,12,31),$G$60:$G$841)-SUM(G$25:G49)</f>
        <v>0</v>
      </c>
      <c r="H50" s="545">
        <f>SUMIF($C$60:$C$841,"&lt;="&amp;DATE($C50,12,31),$H$60:$H$841)-SUM(H$25:H49)</f>
        <v>0</v>
      </c>
      <c r="I50" s="545">
        <f t="shared" si="2"/>
        <v>0</v>
      </c>
      <c r="K50" s="547">
        <f t="shared" si="0"/>
        <v>0</v>
      </c>
    </row>
    <row r="51" spans="2:11">
      <c r="B51" s="548"/>
      <c r="C51" s="544">
        <f t="shared" si="1"/>
        <v>2049</v>
      </c>
      <c r="D51" s="545">
        <f>SUMIF($C$60:$C$841,"&lt;="&amp;DATE($C51,12,31),$D$60:$D$841)-SUM(D$25:D50)</f>
        <v>0</v>
      </c>
      <c r="E51" s="545">
        <f>SUMIF($C$60:$C$841,"&lt;="&amp;DATE($C51,12,31),$E$60:$E$841)-SUM(E$25:E50)</f>
        <v>0</v>
      </c>
      <c r="F51" s="546"/>
      <c r="G51" s="545">
        <f>SUMIF($C$60:$C$841,"&lt;="&amp;DATE($C51,12,31),$G$60:$G$841)-SUM(G$25:G50)</f>
        <v>0</v>
      </c>
      <c r="H51" s="545">
        <f>SUMIF($C$60:$C$841,"&lt;="&amp;DATE($C51,12,31),$H$60:$H$841)-SUM(H$25:H50)</f>
        <v>0</v>
      </c>
      <c r="I51" s="545">
        <f t="shared" si="2"/>
        <v>0</v>
      </c>
      <c r="K51" s="547">
        <f t="shared" si="0"/>
        <v>0</v>
      </c>
    </row>
    <row r="52" spans="2:11">
      <c r="B52" s="548"/>
      <c r="C52" s="544">
        <f t="shared" si="1"/>
        <v>2050</v>
      </c>
      <c r="D52" s="545">
        <f>SUMIF($C$60:$C$841,"&lt;="&amp;DATE($C52,12,31),$D$60:$D$841)-SUM(D$25:D51)</f>
        <v>0</v>
      </c>
      <c r="E52" s="545">
        <f>SUMIF($C$60:$C$841,"&lt;="&amp;DATE($C52,12,31),$E$60:$E$841)-SUM(E$25:E51)</f>
        <v>0</v>
      </c>
      <c r="F52" s="546"/>
      <c r="G52" s="545">
        <f>SUMIF($C$60:$C$841,"&lt;="&amp;DATE($C52,12,31),$G$60:$G$841)-SUM(G$25:G51)</f>
        <v>0</v>
      </c>
      <c r="H52" s="545">
        <f>SUMIF($C$60:$C$841,"&lt;="&amp;DATE($C52,12,31),$H$60:$H$841)-SUM(H$25:H51)</f>
        <v>0</v>
      </c>
      <c r="I52" s="545">
        <f t="shared" si="2"/>
        <v>0</v>
      </c>
      <c r="K52" s="547">
        <f t="shared" si="0"/>
        <v>0</v>
      </c>
    </row>
    <row r="53" spans="2:11">
      <c r="B53" s="548"/>
      <c r="C53" s="544">
        <f t="shared" si="1"/>
        <v>2051</v>
      </c>
      <c r="D53" s="545">
        <f>SUMIF($C$60:$C$841,"&lt;="&amp;DATE($C53,12,31),$D$60:$D$841)-SUM(D$25:D52)</f>
        <v>0</v>
      </c>
      <c r="E53" s="545">
        <f>SUMIF($C$60:$C$841,"&lt;="&amp;DATE($C53,12,31),$E$60:$E$841)-SUM(E$25:E52)</f>
        <v>0</v>
      </c>
      <c r="F53" s="546"/>
      <c r="G53" s="545">
        <f>SUMIF($C$60:$C$841,"&lt;="&amp;DATE($C53,12,31),$G$60:$G$841)-SUM(G$25:G52)</f>
        <v>0</v>
      </c>
      <c r="H53" s="545">
        <f>SUMIF($C$60:$C$841,"&lt;="&amp;DATE($C53,12,31),$H$60:$H$841)-SUM(H$25:H52)</f>
        <v>0</v>
      </c>
      <c r="I53" s="545">
        <f t="shared" si="2"/>
        <v>0</v>
      </c>
      <c r="K53" s="547">
        <f t="shared" si="0"/>
        <v>0</v>
      </c>
    </row>
    <row r="54" spans="2:11">
      <c r="B54" s="548"/>
      <c r="C54" s="544">
        <f t="shared" si="1"/>
        <v>2052</v>
      </c>
      <c r="D54" s="545">
        <f>SUMIF($C$60:$C$841,"&lt;="&amp;DATE($C54,12,31),$D$60:$D$841)-SUM(D$25:D53)</f>
        <v>0</v>
      </c>
      <c r="E54" s="545">
        <f>SUMIF($C$60:$C$841,"&lt;="&amp;DATE($C54,12,31),$E$60:$E$841)-SUM(E$25:E53)</f>
        <v>0</v>
      </c>
      <c r="F54" s="546"/>
      <c r="G54" s="545">
        <f>SUMIF($C$60:$C$841,"&lt;="&amp;DATE($C54,12,31),$G$60:$G$841)-SUM(G$25:G53)</f>
        <v>0</v>
      </c>
      <c r="H54" s="545">
        <f>SUMIF($C$60:$C$841,"&lt;="&amp;DATE($C54,12,31),$H$60:$H$841)-SUM(H$25:H53)</f>
        <v>0</v>
      </c>
      <c r="I54" s="545">
        <f t="shared" si="2"/>
        <v>0</v>
      </c>
      <c r="K54" s="547">
        <f t="shared" si="0"/>
        <v>0</v>
      </c>
    </row>
    <row r="55" spans="2:11">
      <c r="B55" s="548"/>
      <c r="C55" s="544">
        <f t="shared" si="1"/>
        <v>2053</v>
      </c>
      <c r="D55" s="545">
        <f>SUMIF($C$60:$C$841,"&lt;="&amp;DATE($C55,12,31),$D$60:$D$841)-SUM(D$25:D54)</f>
        <v>0</v>
      </c>
      <c r="E55" s="545">
        <f>SUMIF($C$60:$C$841,"&lt;="&amp;DATE($C55,12,31),$E$60:$E$841)-SUM(E$25:E54)</f>
        <v>0</v>
      </c>
      <c r="F55" s="546"/>
      <c r="G55" s="545">
        <f>SUMIF($C$60:$C$841,"&lt;="&amp;DATE($C55,12,31),$G$60:$G$841)-SUM(G$25:G54)</f>
        <v>0</v>
      </c>
      <c r="H55" s="545">
        <f>SUMIF($C$60:$C$841,"&lt;="&amp;DATE($C55,12,31),$H$60:$H$841)-SUM(H$25:H54)</f>
        <v>0</v>
      </c>
      <c r="I55" s="545">
        <f t="shared" si="2"/>
        <v>0</v>
      </c>
      <c r="K55" s="547"/>
    </row>
    <row r="56" spans="2:11">
      <c r="B56" s="548"/>
      <c r="C56" s="544">
        <f t="shared" si="1"/>
        <v>2054</v>
      </c>
      <c r="D56" s="545">
        <f>SUMIF($C$60:$C$841,"&lt;="&amp;DATE($C56,12,31),$D$60:$D$841)-SUM(D$25:D55)</f>
        <v>0</v>
      </c>
      <c r="E56" s="545">
        <f>SUMIF($C$60:$C$841,"&lt;="&amp;DATE($C56,12,31),$E$60:$E$841)-SUM(E$25:E55)</f>
        <v>0</v>
      </c>
      <c r="F56" s="546"/>
      <c r="G56" s="545">
        <f>SUMIF($C$60:$C$841,"&lt;="&amp;DATE($C56,12,31),$G$60:$G$841)-SUM(G$25:G55)</f>
        <v>0</v>
      </c>
      <c r="H56" s="545">
        <f>SUMIF($C$60:$C$841,"&lt;="&amp;DATE($C56,12,31),$H$60:$H$841)-SUM(H$25:H55)</f>
        <v>0</v>
      </c>
      <c r="I56" s="545">
        <f t="shared" si="2"/>
        <v>0</v>
      </c>
    </row>
    <row r="57" spans="2:11">
      <c r="I57" s="531"/>
    </row>
    <row r="58" spans="2:11" ht="15">
      <c r="B58" s="534" t="s">
        <v>707</v>
      </c>
      <c r="C58" s="534"/>
      <c r="D58" s="534"/>
      <c r="E58" s="534"/>
      <c r="F58" s="534"/>
      <c r="G58" s="534"/>
      <c r="H58" s="534"/>
    </row>
    <row r="59" spans="2:11" ht="26.25" thickBot="1">
      <c r="B59" s="549" t="s">
        <v>708</v>
      </c>
      <c r="C59" s="550" t="s">
        <v>709</v>
      </c>
      <c r="D59" s="550" t="s">
        <v>710</v>
      </c>
      <c r="E59" s="550" t="s">
        <v>711</v>
      </c>
      <c r="F59" s="537"/>
      <c r="G59" s="551" t="s">
        <v>45</v>
      </c>
      <c r="H59" s="551" t="s">
        <v>44</v>
      </c>
      <c r="I59" s="551" t="s">
        <v>492</v>
      </c>
    </row>
    <row r="60" spans="2:11">
      <c r="B60" s="552"/>
      <c r="C60" s="553"/>
      <c r="D60" s="552"/>
      <c r="E60" s="552"/>
      <c r="F60" s="552"/>
      <c r="G60" s="554"/>
      <c r="H60" s="554"/>
      <c r="I60" s="554">
        <f>$E$6</f>
        <v>0</v>
      </c>
    </row>
    <row r="61" spans="2:11">
      <c r="B61" s="555" t="str">
        <f t="shared" ref="B61:B124" si="3">IF(I60="","",IF(roundOpt,IF(OR(B60&gt;=nper,ROUND(I60,2)&lt;=0),"",B60+1),IF(OR(B60&gt;=nper,I60&lt;=0),"",B60+1)))</f>
        <v/>
      </c>
      <c r="C61" s="556" t="str">
        <f t="shared" ref="C61:C124" si="4">IF(B61="","",IF(OR(periods_per_year=26,periods_per_year=52),IF(periods_per_year=26,IF(B61=1,fpdate,C60+14),IF(periods_per_year=52,IF(B61=1,fpdate,C60+7),"n/a")),IF(periods_per_year=24,DATE(YEAR(fpdate),MONTH(fpdate)+(B61-1)/2+IF(AND(DAY(fpdate)&gt;=15,MOD(B61,2)=0),1,0),IF(MOD(B61,2)=0,IF(DAY(fpdate)&gt;=15,DAY(fpdate)-14,DAY(fpdate)+14),DAY(fpdate))),IF(DAY(DATE(YEAR(fpdate),MONTH(fpdate)+(B61-1)*months_per_period,DAY(fpdate)))&lt;&gt;DAY(fpdate),DATE(YEAR(fpdate),MONTH(fpdate)+(B61-1)*months_per_period+1,0),DATE(YEAR(fpdate),MONTH(fpdate)+(B61-1)*months_per_period,DAY(fpdate))))))</f>
        <v/>
      </c>
      <c r="D61" s="557" t="str">
        <f t="shared" ref="D61:D124" si="5">IF(B61="","",IF(roundOpt,IF(OR(B61=nper,payment&gt;ROUND((1+rate)*I60,2)),ROUND((1+rate)*I60,2),payment),IF(OR(B61=nper,payment&gt;(1+rate)*I60),(1+rate)*I60,payment)))</f>
        <v/>
      </c>
      <c r="E61" s="558"/>
      <c r="F61" s="559"/>
      <c r="G61" s="559" t="str">
        <f t="shared" ref="G61:G124" si="6">IF(B61="","",IF(AND(B61=1,pmtType=1),0,IF(roundOpt,ROUND(rate*I60,2),rate*I60)))</f>
        <v/>
      </c>
      <c r="H61" s="559" t="str">
        <f t="shared" ref="H61:H124" si="7">IF(B61="","",D61-G61+E61)</f>
        <v/>
      </c>
      <c r="I61" s="559" t="str">
        <f t="shared" ref="I61:I124" si="8">IF(B61="","",I60-H61)</f>
        <v/>
      </c>
    </row>
    <row r="62" spans="2:11">
      <c r="B62" s="555" t="str">
        <f t="shared" si="3"/>
        <v/>
      </c>
      <c r="C62" s="556" t="str">
        <f t="shared" si="4"/>
        <v/>
      </c>
      <c r="D62" s="557" t="str">
        <f t="shared" si="5"/>
        <v/>
      </c>
      <c r="E62" s="560"/>
      <c r="F62" s="559"/>
      <c r="G62" s="559" t="str">
        <f t="shared" si="6"/>
        <v/>
      </c>
      <c r="H62" s="559" t="str">
        <f t="shared" si="7"/>
        <v/>
      </c>
      <c r="I62" s="559" t="str">
        <f t="shared" si="8"/>
        <v/>
      </c>
    </row>
    <row r="63" spans="2:11">
      <c r="B63" s="555" t="str">
        <f t="shared" si="3"/>
        <v/>
      </c>
      <c r="C63" s="556" t="str">
        <f t="shared" si="4"/>
        <v/>
      </c>
      <c r="D63" s="557" t="str">
        <f t="shared" si="5"/>
        <v/>
      </c>
      <c r="E63" s="560"/>
      <c r="F63" s="559"/>
      <c r="G63" s="559" t="str">
        <f t="shared" si="6"/>
        <v/>
      </c>
      <c r="H63" s="559" t="str">
        <f t="shared" si="7"/>
        <v/>
      </c>
      <c r="I63" s="559" t="str">
        <f t="shared" si="8"/>
        <v/>
      </c>
    </row>
    <row r="64" spans="2:11">
      <c r="B64" s="555" t="str">
        <f t="shared" si="3"/>
        <v/>
      </c>
      <c r="C64" s="556" t="str">
        <f t="shared" si="4"/>
        <v/>
      </c>
      <c r="D64" s="557" t="str">
        <f t="shared" si="5"/>
        <v/>
      </c>
      <c r="E64" s="560"/>
      <c r="F64" s="559"/>
      <c r="G64" s="559" t="str">
        <f t="shared" si="6"/>
        <v/>
      </c>
      <c r="H64" s="559" t="str">
        <f t="shared" si="7"/>
        <v/>
      </c>
      <c r="I64" s="559" t="str">
        <f t="shared" si="8"/>
        <v/>
      </c>
    </row>
    <row r="65" spans="2:10" ht="15">
      <c r="B65" s="555" t="str">
        <f t="shared" si="3"/>
        <v/>
      </c>
      <c r="C65" s="556" t="str">
        <f t="shared" si="4"/>
        <v/>
      </c>
      <c r="D65" s="557" t="str">
        <f t="shared" si="5"/>
        <v/>
      </c>
      <c r="E65" s="560"/>
      <c r="F65" s="559"/>
      <c r="G65" s="559" t="str">
        <f t="shared" si="6"/>
        <v/>
      </c>
      <c r="H65" s="559" t="str">
        <f t="shared" si="7"/>
        <v/>
      </c>
      <c r="I65" s="559" t="str">
        <f t="shared" si="8"/>
        <v/>
      </c>
      <c r="J65" s="561"/>
    </row>
    <row r="66" spans="2:10" ht="15">
      <c r="B66" s="555" t="str">
        <f t="shared" si="3"/>
        <v/>
      </c>
      <c r="C66" s="556" t="str">
        <f t="shared" si="4"/>
        <v/>
      </c>
      <c r="D66" s="557" t="str">
        <f t="shared" si="5"/>
        <v/>
      </c>
      <c r="E66" s="560"/>
      <c r="F66" s="559"/>
      <c r="G66" s="559" t="str">
        <f t="shared" si="6"/>
        <v/>
      </c>
      <c r="H66" s="559" t="str">
        <f t="shared" si="7"/>
        <v/>
      </c>
      <c r="I66" s="559" t="str">
        <f t="shared" si="8"/>
        <v/>
      </c>
      <c r="J66" s="561"/>
    </row>
    <row r="67" spans="2:10" ht="15">
      <c r="B67" s="555" t="str">
        <f t="shared" si="3"/>
        <v/>
      </c>
      <c r="C67" s="556" t="str">
        <f t="shared" si="4"/>
        <v/>
      </c>
      <c r="D67" s="557" t="str">
        <f t="shared" si="5"/>
        <v/>
      </c>
      <c r="E67" s="560"/>
      <c r="F67" s="559"/>
      <c r="G67" s="559" t="str">
        <f t="shared" si="6"/>
        <v/>
      </c>
      <c r="H67" s="559" t="str">
        <f t="shared" si="7"/>
        <v/>
      </c>
      <c r="I67" s="559" t="str">
        <f t="shared" si="8"/>
        <v/>
      </c>
      <c r="J67" s="562"/>
    </row>
    <row r="68" spans="2:10">
      <c r="B68" s="555" t="str">
        <f t="shared" si="3"/>
        <v/>
      </c>
      <c r="C68" s="556" t="str">
        <f t="shared" si="4"/>
        <v/>
      </c>
      <c r="D68" s="557" t="str">
        <f t="shared" si="5"/>
        <v/>
      </c>
      <c r="E68" s="560"/>
      <c r="F68" s="559"/>
      <c r="G68" s="559" t="str">
        <f t="shared" si="6"/>
        <v/>
      </c>
      <c r="H68" s="559" t="str">
        <f t="shared" si="7"/>
        <v/>
      </c>
      <c r="I68" s="559" t="str">
        <f t="shared" si="8"/>
        <v/>
      </c>
    </row>
    <row r="69" spans="2:10">
      <c r="B69" s="555" t="str">
        <f t="shared" si="3"/>
        <v/>
      </c>
      <c r="C69" s="556" t="str">
        <f t="shared" si="4"/>
        <v/>
      </c>
      <c r="D69" s="557" t="str">
        <f t="shared" si="5"/>
        <v/>
      </c>
      <c r="E69" s="560"/>
      <c r="F69" s="559"/>
      <c r="G69" s="559" t="str">
        <f t="shared" si="6"/>
        <v/>
      </c>
      <c r="H69" s="559" t="str">
        <f t="shared" si="7"/>
        <v/>
      </c>
      <c r="I69" s="559" t="str">
        <f t="shared" si="8"/>
        <v/>
      </c>
    </row>
    <row r="70" spans="2:10">
      <c r="B70" s="555" t="str">
        <f t="shared" si="3"/>
        <v/>
      </c>
      <c r="C70" s="556" t="str">
        <f t="shared" si="4"/>
        <v/>
      </c>
      <c r="D70" s="557" t="str">
        <f t="shared" si="5"/>
        <v/>
      </c>
      <c r="E70" s="560"/>
      <c r="F70" s="559"/>
      <c r="G70" s="559" t="str">
        <f t="shared" si="6"/>
        <v/>
      </c>
      <c r="H70" s="559" t="str">
        <f t="shared" si="7"/>
        <v/>
      </c>
      <c r="I70" s="559" t="str">
        <f t="shared" si="8"/>
        <v/>
      </c>
    </row>
    <row r="71" spans="2:10">
      <c r="B71" s="555" t="str">
        <f t="shared" si="3"/>
        <v/>
      </c>
      <c r="C71" s="556" t="str">
        <f t="shared" si="4"/>
        <v/>
      </c>
      <c r="D71" s="557" t="str">
        <f t="shared" si="5"/>
        <v/>
      </c>
      <c r="E71" s="560"/>
      <c r="F71" s="559"/>
      <c r="G71" s="559" t="str">
        <f t="shared" si="6"/>
        <v/>
      </c>
      <c r="H71" s="559" t="str">
        <f t="shared" si="7"/>
        <v/>
      </c>
      <c r="I71" s="559" t="str">
        <f t="shared" si="8"/>
        <v/>
      </c>
    </row>
    <row r="72" spans="2:10">
      <c r="B72" s="555" t="str">
        <f t="shared" si="3"/>
        <v/>
      </c>
      <c r="C72" s="556" t="str">
        <f t="shared" si="4"/>
        <v/>
      </c>
      <c r="D72" s="557" t="str">
        <f t="shared" si="5"/>
        <v/>
      </c>
      <c r="E72" s="560"/>
      <c r="F72" s="559"/>
      <c r="G72" s="559" t="str">
        <f t="shared" si="6"/>
        <v/>
      </c>
      <c r="H72" s="559" t="str">
        <f t="shared" si="7"/>
        <v/>
      </c>
      <c r="I72" s="559" t="str">
        <f t="shared" si="8"/>
        <v/>
      </c>
    </row>
    <row r="73" spans="2:10">
      <c r="B73" s="555" t="str">
        <f t="shared" si="3"/>
        <v/>
      </c>
      <c r="C73" s="556" t="str">
        <f t="shared" si="4"/>
        <v/>
      </c>
      <c r="D73" s="557" t="str">
        <f t="shared" si="5"/>
        <v/>
      </c>
      <c r="E73" s="560"/>
      <c r="F73" s="559"/>
      <c r="G73" s="559" t="str">
        <f t="shared" si="6"/>
        <v/>
      </c>
      <c r="H73" s="559" t="str">
        <f t="shared" si="7"/>
        <v/>
      </c>
      <c r="I73" s="559" t="str">
        <f t="shared" si="8"/>
        <v/>
      </c>
    </row>
    <row r="74" spans="2:10">
      <c r="B74" s="555" t="str">
        <f t="shared" si="3"/>
        <v/>
      </c>
      <c r="C74" s="556" t="str">
        <f t="shared" si="4"/>
        <v/>
      </c>
      <c r="D74" s="557" t="str">
        <f t="shared" si="5"/>
        <v/>
      </c>
      <c r="E74" s="560"/>
      <c r="F74" s="559"/>
      <c r="G74" s="559" t="str">
        <f t="shared" si="6"/>
        <v/>
      </c>
      <c r="H74" s="559" t="str">
        <f t="shared" si="7"/>
        <v/>
      </c>
      <c r="I74" s="559" t="str">
        <f t="shared" si="8"/>
        <v/>
      </c>
    </row>
    <row r="75" spans="2:10">
      <c r="B75" s="555" t="str">
        <f t="shared" si="3"/>
        <v/>
      </c>
      <c r="C75" s="556" t="str">
        <f t="shared" si="4"/>
        <v/>
      </c>
      <c r="D75" s="557" t="str">
        <f t="shared" si="5"/>
        <v/>
      </c>
      <c r="E75" s="560"/>
      <c r="F75" s="559"/>
      <c r="G75" s="559" t="str">
        <f t="shared" si="6"/>
        <v/>
      </c>
      <c r="H75" s="559" t="str">
        <f t="shared" si="7"/>
        <v/>
      </c>
      <c r="I75" s="559" t="str">
        <f t="shared" si="8"/>
        <v/>
      </c>
    </row>
    <row r="76" spans="2:10">
      <c r="B76" s="555" t="str">
        <f t="shared" si="3"/>
        <v/>
      </c>
      <c r="C76" s="556" t="str">
        <f t="shared" si="4"/>
        <v/>
      </c>
      <c r="D76" s="557" t="str">
        <f t="shared" si="5"/>
        <v/>
      </c>
      <c r="E76" s="560"/>
      <c r="F76" s="559"/>
      <c r="G76" s="559" t="str">
        <f t="shared" si="6"/>
        <v/>
      </c>
      <c r="H76" s="559" t="str">
        <f t="shared" si="7"/>
        <v/>
      </c>
      <c r="I76" s="559" t="str">
        <f t="shared" si="8"/>
        <v/>
      </c>
    </row>
    <row r="77" spans="2:10">
      <c r="B77" s="555" t="str">
        <f t="shared" si="3"/>
        <v/>
      </c>
      <c r="C77" s="556" t="str">
        <f t="shared" si="4"/>
        <v/>
      </c>
      <c r="D77" s="557" t="str">
        <f t="shared" si="5"/>
        <v/>
      </c>
      <c r="E77" s="560"/>
      <c r="F77" s="559"/>
      <c r="G77" s="559" t="str">
        <f t="shared" si="6"/>
        <v/>
      </c>
      <c r="H77" s="559" t="str">
        <f t="shared" si="7"/>
        <v/>
      </c>
      <c r="I77" s="559" t="str">
        <f t="shared" si="8"/>
        <v/>
      </c>
    </row>
    <row r="78" spans="2:10">
      <c r="B78" s="555" t="str">
        <f t="shared" si="3"/>
        <v/>
      </c>
      <c r="C78" s="556" t="str">
        <f t="shared" si="4"/>
        <v/>
      </c>
      <c r="D78" s="557" t="str">
        <f t="shared" si="5"/>
        <v/>
      </c>
      <c r="E78" s="560"/>
      <c r="F78" s="559"/>
      <c r="G78" s="559" t="str">
        <f t="shared" si="6"/>
        <v/>
      </c>
      <c r="H78" s="559" t="str">
        <f t="shared" si="7"/>
        <v/>
      </c>
      <c r="I78" s="559" t="str">
        <f t="shared" si="8"/>
        <v/>
      </c>
    </row>
    <row r="79" spans="2:10">
      <c r="B79" s="555" t="str">
        <f t="shared" si="3"/>
        <v/>
      </c>
      <c r="C79" s="556" t="str">
        <f t="shared" si="4"/>
        <v/>
      </c>
      <c r="D79" s="557" t="str">
        <f t="shared" si="5"/>
        <v/>
      </c>
      <c r="E79" s="560"/>
      <c r="F79" s="559"/>
      <c r="G79" s="559" t="str">
        <f t="shared" si="6"/>
        <v/>
      </c>
      <c r="H79" s="559" t="str">
        <f t="shared" si="7"/>
        <v/>
      </c>
      <c r="I79" s="559" t="str">
        <f t="shared" si="8"/>
        <v/>
      </c>
    </row>
    <row r="80" spans="2:10">
      <c r="B80" s="555" t="str">
        <f t="shared" si="3"/>
        <v/>
      </c>
      <c r="C80" s="556" t="str">
        <f t="shared" si="4"/>
        <v/>
      </c>
      <c r="D80" s="557" t="str">
        <f t="shared" si="5"/>
        <v/>
      </c>
      <c r="E80" s="560"/>
      <c r="F80" s="559"/>
      <c r="G80" s="559" t="str">
        <f t="shared" si="6"/>
        <v/>
      </c>
      <c r="H80" s="559" t="str">
        <f t="shared" si="7"/>
        <v/>
      </c>
      <c r="I80" s="559" t="str">
        <f t="shared" si="8"/>
        <v/>
      </c>
    </row>
    <row r="81" spans="2:9">
      <c r="B81" s="555" t="str">
        <f t="shared" si="3"/>
        <v/>
      </c>
      <c r="C81" s="556" t="str">
        <f t="shared" si="4"/>
        <v/>
      </c>
      <c r="D81" s="557" t="str">
        <f t="shared" si="5"/>
        <v/>
      </c>
      <c r="E81" s="560"/>
      <c r="F81" s="559"/>
      <c r="G81" s="559" t="str">
        <f t="shared" si="6"/>
        <v/>
      </c>
      <c r="H81" s="559" t="str">
        <f t="shared" si="7"/>
        <v/>
      </c>
      <c r="I81" s="559" t="str">
        <f t="shared" si="8"/>
        <v/>
      </c>
    </row>
    <row r="82" spans="2:9">
      <c r="B82" s="555" t="str">
        <f t="shared" si="3"/>
        <v/>
      </c>
      <c r="C82" s="556" t="str">
        <f t="shared" si="4"/>
        <v/>
      </c>
      <c r="D82" s="557" t="str">
        <f t="shared" si="5"/>
        <v/>
      </c>
      <c r="E82" s="560"/>
      <c r="F82" s="559"/>
      <c r="G82" s="559" t="str">
        <f t="shared" si="6"/>
        <v/>
      </c>
      <c r="H82" s="559" t="str">
        <f t="shared" si="7"/>
        <v/>
      </c>
      <c r="I82" s="559" t="str">
        <f t="shared" si="8"/>
        <v/>
      </c>
    </row>
    <row r="83" spans="2:9">
      <c r="B83" s="555" t="str">
        <f t="shared" si="3"/>
        <v/>
      </c>
      <c r="C83" s="556" t="str">
        <f t="shared" si="4"/>
        <v/>
      </c>
      <c r="D83" s="557" t="str">
        <f t="shared" si="5"/>
        <v/>
      </c>
      <c r="E83" s="560"/>
      <c r="F83" s="559"/>
      <c r="G83" s="559" t="str">
        <f t="shared" si="6"/>
        <v/>
      </c>
      <c r="H83" s="559" t="str">
        <f t="shared" si="7"/>
        <v/>
      </c>
      <c r="I83" s="559" t="str">
        <f t="shared" si="8"/>
        <v/>
      </c>
    </row>
    <row r="84" spans="2:9">
      <c r="B84" s="555" t="str">
        <f t="shared" si="3"/>
        <v/>
      </c>
      <c r="C84" s="556" t="str">
        <f t="shared" si="4"/>
        <v/>
      </c>
      <c r="D84" s="557" t="str">
        <f t="shared" si="5"/>
        <v/>
      </c>
      <c r="E84" s="560"/>
      <c r="F84" s="559"/>
      <c r="G84" s="559" t="str">
        <f t="shared" si="6"/>
        <v/>
      </c>
      <c r="H84" s="559" t="str">
        <f t="shared" si="7"/>
        <v/>
      </c>
      <c r="I84" s="559" t="str">
        <f t="shared" si="8"/>
        <v/>
      </c>
    </row>
    <row r="85" spans="2:9">
      <c r="B85" s="555" t="str">
        <f t="shared" si="3"/>
        <v/>
      </c>
      <c r="C85" s="556" t="str">
        <f t="shared" si="4"/>
        <v/>
      </c>
      <c r="D85" s="557" t="str">
        <f t="shared" si="5"/>
        <v/>
      </c>
      <c r="E85" s="560"/>
      <c r="F85" s="559"/>
      <c r="G85" s="559" t="str">
        <f t="shared" si="6"/>
        <v/>
      </c>
      <c r="H85" s="559" t="str">
        <f t="shared" si="7"/>
        <v/>
      </c>
      <c r="I85" s="559" t="str">
        <f t="shared" si="8"/>
        <v/>
      </c>
    </row>
    <row r="86" spans="2:9">
      <c r="B86" s="555" t="str">
        <f t="shared" si="3"/>
        <v/>
      </c>
      <c r="C86" s="556" t="str">
        <f t="shared" si="4"/>
        <v/>
      </c>
      <c r="D86" s="557" t="str">
        <f t="shared" si="5"/>
        <v/>
      </c>
      <c r="E86" s="560"/>
      <c r="F86" s="559"/>
      <c r="G86" s="559" t="str">
        <f t="shared" si="6"/>
        <v/>
      </c>
      <c r="H86" s="559" t="str">
        <f t="shared" si="7"/>
        <v/>
      </c>
      <c r="I86" s="559" t="str">
        <f t="shared" si="8"/>
        <v/>
      </c>
    </row>
    <row r="87" spans="2:9">
      <c r="B87" s="555" t="str">
        <f t="shared" si="3"/>
        <v/>
      </c>
      <c r="C87" s="556" t="str">
        <f t="shared" si="4"/>
        <v/>
      </c>
      <c r="D87" s="557" t="str">
        <f t="shared" si="5"/>
        <v/>
      </c>
      <c r="E87" s="560"/>
      <c r="F87" s="559"/>
      <c r="G87" s="559" t="str">
        <f t="shared" si="6"/>
        <v/>
      </c>
      <c r="H87" s="559" t="str">
        <f t="shared" si="7"/>
        <v/>
      </c>
      <c r="I87" s="559" t="str">
        <f t="shared" si="8"/>
        <v/>
      </c>
    </row>
    <row r="88" spans="2:9">
      <c r="B88" s="555" t="str">
        <f t="shared" si="3"/>
        <v/>
      </c>
      <c r="C88" s="556" t="str">
        <f t="shared" si="4"/>
        <v/>
      </c>
      <c r="D88" s="557" t="str">
        <f t="shared" si="5"/>
        <v/>
      </c>
      <c r="E88" s="560"/>
      <c r="F88" s="559"/>
      <c r="G88" s="559" t="str">
        <f t="shared" si="6"/>
        <v/>
      </c>
      <c r="H88" s="559" t="str">
        <f t="shared" si="7"/>
        <v/>
      </c>
      <c r="I88" s="559" t="str">
        <f t="shared" si="8"/>
        <v/>
      </c>
    </row>
    <row r="89" spans="2:9">
      <c r="B89" s="555" t="str">
        <f t="shared" si="3"/>
        <v/>
      </c>
      <c r="C89" s="556" t="str">
        <f t="shared" si="4"/>
        <v/>
      </c>
      <c r="D89" s="557" t="str">
        <f t="shared" si="5"/>
        <v/>
      </c>
      <c r="E89" s="560"/>
      <c r="F89" s="559"/>
      <c r="G89" s="559" t="str">
        <f t="shared" si="6"/>
        <v/>
      </c>
      <c r="H89" s="559" t="str">
        <f t="shared" si="7"/>
        <v/>
      </c>
      <c r="I89" s="559" t="str">
        <f t="shared" si="8"/>
        <v/>
      </c>
    </row>
    <row r="90" spans="2:9">
      <c r="B90" s="555" t="str">
        <f t="shared" si="3"/>
        <v/>
      </c>
      <c r="C90" s="556" t="str">
        <f t="shared" si="4"/>
        <v/>
      </c>
      <c r="D90" s="557" t="str">
        <f t="shared" si="5"/>
        <v/>
      </c>
      <c r="E90" s="560"/>
      <c r="F90" s="559"/>
      <c r="G90" s="559" t="str">
        <f t="shared" si="6"/>
        <v/>
      </c>
      <c r="H90" s="559" t="str">
        <f t="shared" si="7"/>
        <v/>
      </c>
      <c r="I90" s="559" t="str">
        <f t="shared" si="8"/>
        <v/>
      </c>
    </row>
    <row r="91" spans="2:9">
      <c r="B91" s="555"/>
      <c r="C91" s="556"/>
      <c r="D91" s="557"/>
      <c r="E91" s="560"/>
      <c r="F91" s="559"/>
      <c r="G91" s="559"/>
      <c r="H91" s="559"/>
      <c r="I91" s="559"/>
    </row>
    <row r="92" spans="2:9" ht="15.75">
      <c r="B92" s="555"/>
      <c r="C92" s="556"/>
      <c r="D92" s="596" t="s">
        <v>718</v>
      </c>
      <c r="E92" s="597">
        <f>SUM(D34:D56)</f>
        <v>0</v>
      </c>
      <c r="F92" s="559"/>
      <c r="G92" s="559"/>
      <c r="H92" s="559"/>
      <c r="I92" s="559"/>
    </row>
    <row r="93" spans="2:9">
      <c r="B93" s="555"/>
      <c r="C93" s="556"/>
      <c r="D93" s="557"/>
      <c r="E93" s="560"/>
      <c r="F93" s="559"/>
      <c r="G93" s="559"/>
      <c r="H93" s="559"/>
      <c r="I93" s="559"/>
    </row>
    <row r="94" spans="2:9">
      <c r="B94" s="555"/>
      <c r="C94" s="556"/>
      <c r="D94" s="557"/>
      <c r="E94" s="560"/>
      <c r="F94" s="559"/>
      <c r="G94" s="559"/>
      <c r="H94" s="559"/>
      <c r="I94" s="559"/>
    </row>
    <row r="95" spans="2:9">
      <c r="B95" s="555"/>
      <c r="C95" s="556"/>
      <c r="D95" s="557"/>
      <c r="E95" s="560"/>
      <c r="F95" s="559"/>
      <c r="G95" s="559"/>
      <c r="H95" s="559"/>
      <c r="I95" s="559"/>
    </row>
    <row r="96" spans="2:9">
      <c r="B96" s="555"/>
      <c r="C96" s="556"/>
      <c r="D96" s="557"/>
      <c r="E96" s="560"/>
      <c r="F96" s="559"/>
      <c r="G96" s="559"/>
      <c r="H96" s="559"/>
      <c r="I96" s="559"/>
    </row>
    <row r="97" spans="2:9">
      <c r="B97" s="555"/>
      <c r="C97" s="556"/>
      <c r="D97" s="557"/>
      <c r="E97" s="560"/>
      <c r="F97" s="559"/>
      <c r="G97" s="559"/>
      <c r="H97" s="559"/>
      <c r="I97" s="559"/>
    </row>
    <row r="98" spans="2:9">
      <c r="B98" s="555" t="str">
        <f t="shared" si="3"/>
        <v/>
      </c>
      <c r="C98" s="556" t="str">
        <f t="shared" si="4"/>
        <v/>
      </c>
      <c r="D98" s="557" t="str">
        <f t="shared" si="5"/>
        <v/>
      </c>
      <c r="E98" s="560"/>
      <c r="F98" s="559"/>
      <c r="G98" s="559" t="str">
        <f t="shared" si="6"/>
        <v/>
      </c>
      <c r="H98" s="559" t="str">
        <f t="shared" si="7"/>
        <v/>
      </c>
      <c r="I98" s="559" t="str">
        <f t="shared" si="8"/>
        <v/>
      </c>
    </row>
    <row r="99" spans="2:9">
      <c r="B99" s="555" t="str">
        <f t="shared" si="3"/>
        <v/>
      </c>
      <c r="C99" s="556" t="str">
        <f t="shared" si="4"/>
        <v/>
      </c>
      <c r="D99" s="557" t="str">
        <f t="shared" si="5"/>
        <v/>
      </c>
      <c r="E99" s="560"/>
      <c r="F99" s="559"/>
      <c r="G99" s="559" t="str">
        <f t="shared" si="6"/>
        <v/>
      </c>
      <c r="H99" s="559" t="str">
        <f t="shared" si="7"/>
        <v/>
      </c>
      <c r="I99" s="559" t="str">
        <f t="shared" si="8"/>
        <v/>
      </c>
    </row>
    <row r="100" spans="2:9">
      <c r="B100" s="555" t="str">
        <f t="shared" si="3"/>
        <v/>
      </c>
      <c r="C100" s="556" t="str">
        <f t="shared" si="4"/>
        <v/>
      </c>
      <c r="D100" s="557" t="str">
        <f t="shared" si="5"/>
        <v/>
      </c>
      <c r="E100" s="560"/>
      <c r="F100" s="559"/>
      <c r="G100" s="559" t="str">
        <f t="shared" si="6"/>
        <v/>
      </c>
      <c r="H100" s="559" t="str">
        <f t="shared" si="7"/>
        <v/>
      </c>
      <c r="I100" s="559" t="str">
        <f t="shared" si="8"/>
        <v/>
      </c>
    </row>
    <row r="101" spans="2:9">
      <c r="B101" s="555" t="str">
        <f t="shared" si="3"/>
        <v/>
      </c>
      <c r="C101" s="556" t="str">
        <f t="shared" si="4"/>
        <v/>
      </c>
      <c r="D101" s="557" t="str">
        <f t="shared" si="5"/>
        <v/>
      </c>
      <c r="E101" s="560"/>
      <c r="F101" s="559"/>
      <c r="G101" s="559" t="str">
        <f t="shared" si="6"/>
        <v/>
      </c>
      <c r="H101" s="559" t="str">
        <f t="shared" si="7"/>
        <v/>
      </c>
      <c r="I101" s="559" t="str">
        <f t="shared" si="8"/>
        <v/>
      </c>
    </row>
    <row r="102" spans="2:9">
      <c r="B102" s="555" t="str">
        <f t="shared" si="3"/>
        <v/>
      </c>
      <c r="C102" s="556" t="str">
        <f t="shared" si="4"/>
        <v/>
      </c>
      <c r="D102" s="557" t="str">
        <f t="shared" si="5"/>
        <v/>
      </c>
      <c r="E102" s="560"/>
      <c r="F102" s="559"/>
      <c r="G102" s="559" t="str">
        <f t="shared" si="6"/>
        <v/>
      </c>
      <c r="H102" s="559" t="str">
        <f t="shared" si="7"/>
        <v/>
      </c>
      <c r="I102" s="559" t="str">
        <f t="shared" si="8"/>
        <v/>
      </c>
    </row>
    <row r="103" spans="2:9">
      <c r="B103" s="555" t="str">
        <f t="shared" si="3"/>
        <v/>
      </c>
      <c r="C103" s="556" t="str">
        <f t="shared" si="4"/>
        <v/>
      </c>
      <c r="D103" s="557" t="str">
        <f t="shared" si="5"/>
        <v/>
      </c>
      <c r="E103" s="560"/>
      <c r="F103" s="559"/>
      <c r="G103" s="559" t="str">
        <f t="shared" si="6"/>
        <v/>
      </c>
      <c r="H103" s="559" t="str">
        <f t="shared" si="7"/>
        <v/>
      </c>
      <c r="I103" s="559" t="str">
        <f t="shared" si="8"/>
        <v/>
      </c>
    </row>
    <row r="104" spans="2:9">
      <c r="B104" s="555" t="str">
        <f t="shared" si="3"/>
        <v/>
      </c>
      <c r="C104" s="556" t="str">
        <f t="shared" si="4"/>
        <v/>
      </c>
      <c r="D104" s="557" t="str">
        <f t="shared" si="5"/>
        <v/>
      </c>
      <c r="E104" s="560"/>
      <c r="F104" s="559"/>
      <c r="G104" s="559" t="str">
        <f t="shared" si="6"/>
        <v/>
      </c>
      <c r="H104" s="559" t="str">
        <f t="shared" si="7"/>
        <v/>
      </c>
      <c r="I104" s="559" t="str">
        <f t="shared" si="8"/>
        <v/>
      </c>
    </row>
    <row r="105" spans="2:9">
      <c r="B105" s="555" t="str">
        <f t="shared" si="3"/>
        <v/>
      </c>
      <c r="C105" s="556" t="str">
        <f t="shared" si="4"/>
        <v/>
      </c>
      <c r="D105" s="557" t="str">
        <f t="shared" si="5"/>
        <v/>
      </c>
      <c r="E105" s="560"/>
      <c r="F105" s="559"/>
      <c r="G105" s="559" t="str">
        <f t="shared" si="6"/>
        <v/>
      </c>
      <c r="H105" s="559" t="str">
        <f t="shared" si="7"/>
        <v/>
      </c>
      <c r="I105" s="559" t="str">
        <f t="shared" si="8"/>
        <v/>
      </c>
    </row>
    <row r="106" spans="2:9">
      <c r="B106" s="555" t="str">
        <f t="shared" si="3"/>
        <v/>
      </c>
      <c r="C106" s="556" t="str">
        <f t="shared" si="4"/>
        <v/>
      </c>
      <c r="D106" s="557" t="str">
        <f t="shared" si="5"/>
        <v/>
      </c>
      <c r="E106" s="560"/>
      <c r="F106" s="559"/>
      <c r="G106" s="559" t="str">
        <f t="shared" si="6"/>
        <v/>
      </c>
      <c r="H106" s="559" t="str">
        <f t="shared" si="7"/>
        <v/>
      </c>
      <c r="I106" s="559" t="str">
        <f t="shared" si="8"/>
        <v/>
      </c>
    </row>
    <row r="107" spans="2:9">
      <c r="B107" s="555" t="str">
        <f t="shared" si="3"/>
        <v/>
      </c>
      <c r="C107" s="556" t="str">
        <f t="shared" si="4"/>
        <v/>
      </c>
      <c r="D107" s="557" t="str">
        <f t="shared" si="5"/>
        <v/>
      </c>
      <c r="E107" s="560"/>
      <c r="F107" s="559"/>
      <c r="G107" s="559" t="str">
        <f t="shared" si="6"/>
        <v/>
      </c>
      <c r="H107" s="559" t="str">
        <f t="shared" si="7"/>
        <v/>
      </c>
      <c r="I107" s="559" t="str">
        <f t="shared" si="8"/>
        <v/>
      </c>
    </row>
    <row r="108" spans="2:9">
      <c r="B108" s="555" t="str">
        <f t="shared" si="3"/>
        <v/>
      </c>
      <c r="C108" s="556" t="str">
        <f t="shared" si="4"/>
        <v/>
      </c>
      <c r="D108" s="557" t="str">
        <f t="shared" si="5"/>
        <v/>
      </c>
      <c r="E108" s="560"/>
      <c r="F108" s="559"/>
      <c r="G108" s="559" t="str">
        <f t="shared" si="6"/>
        <v/>
      </c>
      <c r="H108" s="559" t="str">
        <f t="shared" si="7"/>
        <v/>
      </c>
      <c r="I108" s="559" t="str">
        <f t="shared" si="8"/>
        <v/>
      </c>
    </row>
    <row r="109" spans="2:9">
      <c r="B109" s="555" t="str">
        <f t="shared" si="3"/>
        <v/>
      </c>
      <c r="C109" s="556" t="str">
        <f t="shared" si="4"/>
        <v/>
      </c>
      <c r="D109" s="557" t="str">
        <f t="shared" si="5"/>
        <v/>
      </c>
      <c r="E109" s="560"/>
      <c r="F109" s="559"/>
      <c r="G109" s="559" t="str">
        <f t="shared" si="6"/>
        <v/>
      </c>
      <c r="H109" s="559" t="str">
        <f t="shared" si="7"/>
        <v/>
      </c>
      <c r="I109" s="559" t="str">
        <f t="shared" si="8"/>
        <v/>
      </c>
    </row>
    <row r="110" spans="2:9">
      <c r="B110" s="555" t="str">
        <f t="shared" si="3"/>
        <v/>
      </c>
      <c r="C110" s="556" t="str">
        <f t="shared" si="4"/>
        <v/>
      </c>
      <c r="D110" s="557" t="str">
        <f t="shared" si="5"/>
        <v/>
      </c>
      <c r="E110" s="560"/>
      <c r="F110" s="559"/>
      <c r="G110" s="559" t="str">
        <f t="shared" si="6"/>
        <v/>
      </c>
      <c r="H110" s="559" t="str">
        <f t="shared" si="7"/>
        <v/>
      </c>
      <c r="I110" s="559" t="str">
        <f t="shared" si="8"/>
        <v/>
      </c>
    </row>
    <row r="111" spans="2:9">
      <c r="B111" s="555" t="str">
        <f t="shared" si="3"/>
        <v/>
      </c>
      <c r="C111" s="556" t="str">
        <f t="shared" si="4"/>
        <v/>
      </c>
      <c r="D111" s="557" t="str">
        <f t="shared" si="5"/>
        <v/>
      </c>
      <c r="E111" s="560"/>
      <c r="F111" s="559"/>
      <c r="G111" s="559" t="str">
        <f t="shared" si="6"/>
        <v/>
      </c>
      <c r="H111" s="559" t="str">
        <f t="shared" si="7"/>
        <v/>
      </c>
      <c r="I111" s="559" t="str">
        <f t="shared" si="8"/>
        <v/>
      </c>
    </row>
    <row r="112" spans="2:9">
      <c r="B112" s="555" t="str">
        <f t="shared" si="3"/>
        <v/>
      </c>
      <c r="C112" s="556" t="str">
        <f t="shared" si="4"/>
        <v/>
      </c>
      <c r="D112" s="557" t="str">
        <f t="shared" si="5"/>
        <v/>
      </c>
      <c r="E112" s="560"/>
      <c r="F112" s="559"/>
      <c r="G112" s="559" t="str">
        <f t="shared" si="6"/>
        <v/>
      </c>
      <c r="H112" s="559" t="str">
        <f t="shared" si="7"/>
        <v/>
      </c>
      <c r="I112" s="559" t="str">
        <f t="shared" si="8"/>
        <v/>
      </c>
    </row>
    <row r="113" spans="2:9">
      <c r="B113" s="555" t="str">
        <f t="shared" si="3"/>
        <v/>
      </c>
      <c r="C113" s="556" t="str">
        <f t="shared" si="4"/>
        <v/>
      </c>
      <c r="D113" s="557" t="str">
        <f t="shared" si="5"/>
        <v/>
      </c>
      <c r="E113" s="560"/>
      <c r="F113" s="559"/>
      <c r="G113" s="559" t="str">
        <f t="shared" si="6"/>
        <v/>
      </c>
      <c r="H113" s="559" t="str">
        <f t="shared" si="7"/>
        <v/>
      </c>
      <c r="I113" s="559" t="str">
        <f t="shared" si="8"/>
        <v/>
      </c>
    </row>
    <row r="114" spans="2:9">
      <c r="B114" s="555" t="str">
        <f t="shared" si="3"/>
        <v/>
      </c>
      <c r="C114" s="556" t="str">
        <f t="shared" si="4"/>
        <v/>
      </c>
      <c r="D114" s="557" t="str">
        <f t="shared" si="5"/>
        <v/>
      </c>
      <c r="E114" s="560"/>
      <c r="F114" s="559"/>
      <c r="G114" s="559" t="str">
        <f t="shared" si="6"/>
        <v/>
      </c>
      <c r="H114" s="559" t="str">
        <f t="shared" si="7"/>
        <v/>
      </c>
      <c r="I114" s="559" t="str">
        <f t="shared" si="8"/>
        <v/>
      </c>
    </row>
    <row r="115" spans="2:9">
      <c r="B115" s="555" t="str">
        <f t="shared" si="3"/>
        <v/>
      </c>
      <c r="C115" s="556" t="str">
        <f t="shared" si="4"/>
        <v/>
      </c>
      <c r="D115" s="557" t="str">
        <f t="shared" si="5"/>
        <v/>
      </c>
      <c r="E115" s="560"/>
      <c r="F115" s="559"/>
      <c r="G115" s="559" t="str">
        <f t="shared" si="6"/>
        <v/>
      </c>
      <c r="H115" s="559" t="str">
        <f t="shared" si="7"/>
        <v/>
      </c>
      <c r="I115" s="559" t="str">
        <f t="shared" si="8"/>
        <v/>
      </c>
    </row>
    <row r="116" spans="2:9">
      <c r="B116" s="555" t="str">
        <f t="shared" si="3"/>
        <v/>
      </c>
      <c r="C116" s="556" t="str">
        <f t="shared" si="4"/>
        <v/>
      </c>
      <c r="D116" s="557" t="str">
        <f t="shared" si="5"/>
        <v/>
      </c>
      <c r="E116" s="560"/>
      <c r="F116" s="559"/>
      <c r="G116" s="559" t="str">
        <f t="shared" si="6"/>
        <v/>
      </c>
      <c r="H116" s="559" t="str">
        <f t="shared" si="7"/>
        <v/>
      </c>
      <c r="I116" s="559" t="str">
        <f t="shared" si="8"/>
        <v/>
      </c>
    </row>
    <row r="117" spans="2:9">
      <c r="B117" s="555" t="str">
        <f t="shared" si="3"/>
        <v/>
      </c>
      <c r="C117" s="556" t="str">
        <f t="shared" si="4"/>
        <v/>
      </c>
      <c r="D117" s="557" t="str">
        <f t="shared" si="5"/>
        <v/>
      </c>
      <c r="E117" s="560"/>
      <c r="F117" s="559"/>
      <c r="G117" s="559" t="str">
        <f t="shared" si="6"/>
        <v/>
      </c>
      <c r="H117" s="559" t="str">
        <f t="shared" si="7"/>
        <v/>
      </c>
      <c r="I117" s="559" t="str">
        <f t="shared" si="8"/>
        <v/>
      </c>
    </row>
    <row r="118" spans="2:9">
      <c r="B118" s="555" t="str">
        <f t="shared" si="3"/>
        <v/>
      </c>
      <c r="C118" s="556" t="str">
        <f t="shared" si="4"/>
        <v/>
      </c>
      <c r="D118" s="557" t="str">
        <f t="shared" si="5"/>
        <v/>
      </c>
      <c r="E118" s="560"/>
      <c r="F118" s="559"/>
      <c r="G118" s="559" t="str">
        <f t="shared" si="6"/>
        <v/>
      </c>
      <c r="H118" s="559" t="str">
        <f t="shared" si="7"/>
        <v/>
      </c>
      <c r="I118" s="559" t="str">
        <f t="shared" si="8"/>
        <v/>
      </c>
    </row>
    <row r="119" spans="2:9">
      <c r="B119" s="555" t="str">
        <f t="shared" si="3"/>
        <v/>
      </c>
      <c r="C119" s="556" t="str">
        <f t="shared" si="4"/>
        <v/>
      </c>
      <c r="D119" s="557" t="str">
        <f t="shared" si="5"/>
        <v/>
      </c>
      <c r="E119" s="560"/>
      <c r="F119" s="559"/>
      <c r="G119" s="559" t="str">
        <f t="shared" si="6"/>
        <v/>
      </c>
      <c r="H119" s="559" t="str">
        <f t="shared" si="7"/>
        <v/>
      </c>
      <c r="I119" s="559" t="str">
        <f t="shared" si="8"/>
        <v/>
      </c>
    </row>
    <row r="120" spans="2:9">
      <c r="B120" s="555" t="str">
        <f t="shared" si="3"/>
        <v/>
      </c>
      <c r="C120" s="556" t="str">
        <f t="shared" si="4"/>
        <v/>
      </c>
      <c r="D120" s="557" t="str">
        <f t="shared" si="5"/>
        <v/>
      </c>
      <c r="E120" s="560"/>
      <c r="F120" s="559"/>
      <c r="G120" s="559" t="str">
        <f t="shared" si="6"/>
        <v/>
      </c>
      <c r="H120" s="559" t="str">
        <f t="shared" si="7"/>
        <v/>
      </c>
      <c r="I120" s="559" t="str">
        <f t="shared" si="8"/>
        <v/>
      </c>
    </row>
    <row r="121" spans="2:9">
      <c r="B121" s="555" t="str">
        <f t="shared" si="3"/>
        <v/>
      </c>
      <c r="C121" s="556" t="str">
        <f t="shared" si="4"/>
        <v/>
      </c>
      <c r="D121" s="557" t="str">
        <f t="shared" si="5"/>
        <v/>
      </c>
      <c r="E121" s="560"/>
      <c r="F121" s="559"/>
      <c r="G121" s="559" t="str">
        <f t="shared" si="6"/>
        <v/>
      </c>
      <c r="H121" s="559" t="str">
        <f t="shared" si="7"/>
        <v/>
      </c>
      <c r="I121" s="559" t="str">
        <f t="shared" si="8"/>
        <v/>
      </c>
    </row>
    <row r="122" spans="2:9">
      <c r="B122" s="555" t="str">
        <f t="shared" si="3"/>
        <v/>
      </c>
      <c r="C122" s="556" t="str">
        <f t="shared" si="4"/>
        <v/>
      </c>
      <c r="D122" s="557" t="str">
        <f t="shared" si="5"/>
        <v/>
      </c>
      <c r="E122" s="560"/>
      <c r="F122" s="559"/>
      <c r="G122" s="559" t="str">
        <f t="shared" si="6"/>
        <v/>
      </c>
      <c r="H122" s="559" t="str">
        <f t="shared" si="7"/>
        <v/>
      </c>
      <c r="I122" s="559" t="str">
        <f t="shared" si="8"/>
        <v/>
      </c>
    </row>
    <row r="123" spans="2:9">
      <c r="B123" s="555" t="str">
        <f t="shared" si="3"/>
        <v/>
      </c>
      <c r="C123" s="556" t="str">
        <f t="shared" si="4"/>
        <v/>
      </c>
      <c r="D123" s="557" t="str">
        <f t="shared" si="5"/>
        <v/>
      </c>
      <c r="E123" s="560"/>
      <c r="F123" s="559"/>
      <c r="G123" s="559" t="str">
        <f t="shared" si="6"/>
        <v/>
      </c>
      <c r="H123" s="559" t="str">
        <f t="shared" si="7"/>
        <v/>
      </c>
      <c r="I123" s="559" t="str">
        <f t="shared" si="8"/>
        <v/>
      </c>
    </row>
    <row r="124" spans="2:9">
      <c r="B124" s="555" t="str">
        <f t="shared" si="3"/>
        <v/>
      </c>
      <c r="C124" s="556" t="str">
        <f t="shared" si="4"/>
        <v/>
      </c>
      <c r="D124" s="557" t="str">
        <f t="shared" si="5"/>
        <v/>
      </c>
      <c r="E124" s="560"/>
      <c r="F124" s="559"/>
      <c r="G124" s="559" t="str">
        <f t="shared" si="6"/>
        <v/>
      </c>
      <c r="H124" s="559" t="str">
        <f t="shared" si="7"/>
        <v/>
      </c>
      <c r="I124" s="559" t="str">
        <f t="shared" si="8"/>
        <v/>
      </c>
    </row>
    <row r="125" spans="2:9">
      <c r="B125" s="555" t="str">
        <f t="shared" ref="B125:B188" si="9">IF(I124="","",IF(roundOpt,IF(OR(B124&gt;=nper,ROUND(I124,2)&lt;=0),"",B124+1),IF(OR(B124&gt;=nper,I124&lt;=0),"",B124+1)))</f>
        <v/>
      </c>
      <c r="C125" s="556" t="str">
        <f t="shared" ref="C125:C188" si="10">IF(B125="","",IF(OR(periods_per_year=26,periods_per_year=52),IF(periods_per_year=26,IF(B125=1,fpdate,C124+14),IF(periods_per_year=52,IF(B125=1,fpdate,C124+7),"n/a")),IF(periods_per_year=24,DATE(YEAR(fpdate),MONTH(fpdate)+(B125-1)/2+IF(AND(DAY(fpdate)&gt;=15,MOD(B125,2)=0),1,0),IF(MOD(B125,2)=0,IF(DAY(fpdate)&gt;=15,DAY(fpdate)-14,DAY(fpdate)+14),DAY(fpdate))),IF(DAY(DATE(YEAR(fpdate),MONTH(fpdate)+(B125-1)*months_per_period,DAY(fpdate)))&lt;&gt;DAY(fpdate),DATE(YEAR(fpdate),MONTH(fpdate)+(B125-1)*months_per_period+1,0),DATE(YEAR(fpdate),MONTH(fpdate)+(B125-1)*months_per_period,DAY(fpdate))))))</f>
        <v/>
      </c>
      <c r="D125" s="557" t="str">
        <f t="shared" ref="D125:D188" si="11">IF(B125="","",IF(roundOpt,IF(OR(B125=nper,payment&gt;ROUND((1+rate)*I124,2)),ROUND((1+rate)*I124,2),payment),IF(OR(B125=nper,payment&gt;(1+rate)*I124),(1+rate)*I124,payment)))</f>
        <v/>
      </c>
      <c r="E125" s="560"/>
      <c r="F125" s="559"/>
      <c r="G125" s="559" t="str">
        <f t="shared" ref="G125:G188" si="12">IF(B125="","",IF(AND(B125=1,pmtType=1),0,IF(roundOpt,ROUND(rate*I124,2),rate*I124)))</f>
        <v/>
      </c>
      <c r="H125" s="559" t="str">
        <f t="shared" ref="H125:H188" si="13">IF(B125="","",D125-G125+E125)</f>
        <v/>
      </c>
      <c r="I125" s="559" t="str">
        <f t="shared" ref="I125:I188" si="14">IF(B125="","",I124-H125)</f>
        <v/>
      </c>
    </row>
    <row r="126" spans="2:9">
      <c r="B126" s="555" t="str">
        <f t="shared" si="9"/>
        <v/>
      </c>
      <c r="C126" s="556" t="str">
        <f t="shared" si="10"/>
        <v/>
      </c>
      <c r="D126" s="557" t="str">
        <f t="shared" si="11"/>
        <v/>
      </c>
      <c r="E126" s="560"/>
      <c r="F126" s="559"/>
      <c r="G126" s="559" t="str">
        <f t="shared" si="12"/>
        <v/>
      </c>
      <c r="H126" s="559" t="str">
        <f t="shared" si="13"/>
        <v/>
      </c>
      <c r="I126" s="559" t="str">
        <f t="shared" si="14"/>
        <v/>
      </c>
    </row>
    <row r="127" spans="2:9">
      <c r="B127" s="555" t="str">
        <f t="shared" si="9"/>
        <v/>
      </c>
      <c r="C127" s="556" t="str">
        <f t="shared" si="10"/>
        <v/>
      </c>
      <c r="D127" s="557" t="str">
        <f t="shared" si="11"/>
        <v/>
      </c>
      <c r="E127" s="560"/>
      <c r="F127" s="559"/>
      <c r="G127" s="559" t="str">
        <f t="shared" si="12"/>
        <v/>
      </c>
      <c r="H127" s="559" t="str">
        <f t="shared" si="13"/>
        <v/>
      </c>
      <c r="I127" s="559" t="str">
        <f t="shared" si="14"/>
        <v/>
      </c>
    </row>
    <row r="128" spans="2:9">
      <c r="B128" s="555" t="str">
        <f t="shared" si="9"/>
        <v/>
      </c>
      <c r="C128" s="556" t="str">
        <f t="shared" si="10"/>
        <v/>
      </c>
      <c r="D128" s="557" t="str">
        <f t="shared" si="11"/>
        <v/>
      </c>
      <c r="E128" s="560"/>
      <c r="F128" s="559"/>
      <c r="G128" s="559" t="str">
        <f t="shared" si="12"/>
        <v/>
      </c>
      <c r="H128" s="559" t="str">
        <f t="shared" si="13"/>
        <v/>
      </c>
      <c r="I128" s="559" t="str">
        <f t="shared" si="14"/>
        <v/>
      </c>
    </row>
    <row r="129" spans="2:9">
      <c r="B129" s="555" t="str">
        <f t="shared" si="9"/>
        <v/>
      </c>
      <c r="C129" s="556" t="str">
        <f t="shared" si="10"/>
        <v/>
      </c>
      <c r="D129" s="557" t="str">
        <f t="shared" si="11"/>
        <v/>
      </c>
      <c r="E129" s="560"/>
      <c r="F129" s="559"/>
      <c r="G129" s="559" t="str">
        <f t="shared" si="12"/>
        <v/>
      </c>
      <c r="H129" s="559" t="str">
        <f t="shared" si="13"/>
        <v/>
      </c>
      <c r="I129" s="559" t="str">
        <f t="shared" si="14"/>
        <v/>
      </c>
    </row>
    <row r="130" spans="2:9">
      <c r="B130" s="555" t="str">
        <f t="shared" si="9"/>
        <v/>
      </c>
      <c r="C130" s="556" t="str">
        <f t="shared" si="10"/>
        <v/>
      </c>
      <c r="D130" s="557" t="str">
        <f t="shared" si="11"/>
        <v/>
      </c>
      <c r="E130" s="560"/>
      <c r="F130" s="559"/>
      <c r="G130" s="559" t="str">
        <f t="shared" si="12"/>
        <v/>
      </c>
      <c r="H130" s="559" t="str">
        <f t="shared" si="13"/>
        <v/>
      </c>
      <c r="I130" s="559" t="str">
        <f t="shared" si="14"/>
        <v/>
      </c>
    </row>
    <row r="131" spans="2:9">
      <c r="B131" s="555" t="str">
        <f t="shared" si="9"/>
        <v/>
      </c>
      <c r="C131" s="556" t="str">
        <f t="shared" si="10"/>
        <v/>
      </c>
      <c r="D131" s="557" t="str">
        <f t="shared" si="11"/>
        <v/>
      </c>
      <c r="E131" s="560"/>
      <c r="F131" s="559"/>
      <c r="G131" s="559" t="str">
        <f t="shared" si="12"/>
        <v/>
      </c>
      <c r="H131" s="559" t="str">
        <f t="shared" si="13"/>
        <v/>
      </c>
      <c r="I131" s="559" t="str">
        <f t="shared" si="14"/>
        <v/>
      </c>
    </row>
    <row r="132" spans="2:9">
      <c r="B132" s="555" t="str">
        <f t="shared" si="9"/>
        <v/>
      </c>
      <c r="C132" s="556" t="str">
        <f t="shared" si="10"/>
        <v/>
      </c>
      <c r="D132" s="557" t="str">
        <f t="shared" si="11"/>
        <v/>
      </c>
      <c r="E132" s="560"/>
      <c r="F132" s="559"/>
      <c r="G132" s="559" t="str">
        <f t="shared" si="12"/>
        <v/>
      </c>
      <c r="H132" s="559" t="str">
        <f t="shared" si="13"/>
        <v/>
      </c>
      <c r="I132" s="559" t="str">
        <f t="shared" si="14"/>
        <v/>
      </c>
    </row>
    <row r="133" spans="2:9">
      <c r="B133" s="555" t="str">
        <f t="shared" si="9"/>
        <v/>
      </c>
      <c r="C133" s="556" t="str">
        <f t="shared" si="10"/>
        <v/>
      </c>
      <c r="D133" s="557" t="str">
        <f t="shared" si="11"/>
        <v/>
      </c>
      <c r="E133" s="560"/>
      <c r="F133" s="559"/>
      <c r="G133" s="559" t="str">
        <f t="shared" si="12"/>
        <v/>
      </c>
      <c r="H133" s="559" t="str">
        <f t="shared" si="13"/>
        <v/>
      </c>
      <c r="I133" s="559" t="str">
        <f t="shared" si="14"/>
        <v/>
      </c>
    </row>
    <row r="134" spans="2:9">
      <c r="B134" s="555" t="str">
        <f t="shared" si="9"/>
        <v/>
      </c>
      <c r="C134" s="556" t="str">
        <f t="shared" si="10"/>
        <v/>
      </c>
      <c r="D134" s="557" t="str">
        <f t="shared" si="11"/>
        <v/>
      </c>
      <c r="E134" s="560"/>
      <c r="F134" s="559"/>
      <c r="G134" s="559" t="str">
        <f t="shared" si="12"/>
        <v/>
      </c>
      <c r="H134" s="559" t="str">
        <f t="shared" si="13"/>
        <v/>
      </c>
      <c r="I134" s="559" t="str">
        <f t="shared" si="14"/>
        <v/>
      </c>
    </row>
    <row r="135" spans="2:9">
      <c r="B135" s="555" t="str">
        <f t="shared" si="9"/>
        <v/>
      </c>
      <c r="C135" s="556" t="str">
        <f t="shared" si="10"/>
        <v/>
      </c>
      <c r="D135" s="557" t="str">
        <f t="shared" si="11"/>
        <v/>
      </c>
      <c r="E135" s="560"/>
      <c r="F135" s="559"/>
      <c r="G135" s="559" t="str">
        <f t="shared" si="12"/>
        <v/>
      </c>
      <c r="H135" s="559" t="str">
        <f t="shared" si="13"/>
        <v/>
      </c>
      <c r="I135" s="559" t="str">
        <f t="shared" si="14"/>
        <v/>
      </c>
    </row>
    <row r="136" spans="2:9">
      <c r="B136" s="555" t="str">
        <f t="shared" si="9"/>
        <v/>
      </c>
      <c r="C136" s="556" t="str">
        <f t="shared" si="10"/>
        <v/>
      </c>
      <c r="D136" s="557" t="str">
        <f t="shared" si="11"/>
        <v/>
      </c>
      <c r="E136" s="560"/>
      <c r="F136" s="559"/>
      <c r="G136" s="559" t="str">
        <f t="shared" si="12"/>
        <v/>
      </c>
      <c r="H136" s="559" t="str">
        <f t="shared" si="13"/>
        <v/>
      </c>
      <c r="I136" s="559" t="str">
        <f t="shared" si="14"/>
        <v/>
      </c>
    </row>
    <row r="137" spans="2:9">
      <c r="B137" s="555" t="str">
        <f t="shared" si="9"/>
        <v/>
      </c>
      <c r="C137" s="556" t="str">
        <f t="shared" si="10"/>
        <v/>
      </c>
      <c r="D137" s="557" t="str">
        <f t="shared" si="11"/>
        <v/>
      </c>
      <c r="E137" s="560"/>
      <c r="F137" s="559"/>
      <c r="G137" s="559" t="str">
        <f t="shared" si="12"/>
        <v/>
      </c>
      <c r="H137" s="559" t="str">
        <f t="shared" si="13"/>
        <v/>
      </c>
      <c r="I137" s="559" t="str">
        <f t="shared" si="14"/>
        <v/>
      </c>
    </row>
    <row r="138" spans="2:9">
      <c r="B138" s="555" t="str">
        <f t="shared" si="9"/>
        <v/>
      </c>
      <c r="C138" s="556" t="str">
        <f t="shared" si="10"/>
        <v/>
      </c>
      <c r="D138" s="557" t="str">
        <f t="shared" si="11"/>
        <v/>
      </c>
      <c r="E138" s="560"/>
      <c r="F138" s="559"/>
      <c r="G138" s="559" t="str">
        <f t="shared" si="12"/>
        <v/>
      </c>
      <c r="H138" s="559" t="str">
        <f t="shared" si="13"/>
        <v/>
      </c>
      <c r="I138" s="559" t="str">
        <f t="shared" si="14"/>
        <v/>
      </c>
    </row>
    <row r="139" spans="2:9">
      <c r="B139" s="555" t="str">
        <f t="shared" si="9"/>
        <v/>
      </c>
      <c r="C139" s="556" t="str">
        <f t="shared" si="10"/>
        <v/>
      </c>
      <c r="D139" s="557" t="str">
        <f t="shared" si="11"/>
        <v/>
      </c>
      <c r="E139" s="560"/>
      <c r="F139" s="559"/>
      <c r="G139" s="559" t="str">
        <f t="shared" si="12"/>
        <v/>
      </c>
      <c r="H139" s="559" t="str">
        <f t="shared" si="13"/>
        <v/>
      </c>
      <c r="I139" s="559" t="str">
        <f t="shared" si="14"/>
        <v/>
      </c>
    </row>
    <row r="140" spans="2:9">
      <c r="B140" s="555" t="str">
        <f t="shared" si="9"/>
        <v/>
      </c>
      <c r="C140" s="556" t="str">
        <f t="shared" si="10"/>
        <v/>
      </c>
      <c r="D140" s="557" t="str">
        <f t="shared" si="11"/>
        <v/>
      </c>
      <c r="E140" s="560"/>
      <c r="F140" s="559"/>
      <c r="G140" s="559" t="str">
        <f t="shared" si="12"/>
        <v/>
      </c>
      <c r="H140" s="559" t="str">
        <f t="shared" si="13"/>
        <v/>
      </c>
      <c r="I140" s="559" t="str">
        <f t="shared" si="14"/>
        <v/>
      </c>
    </row>
    <row r="141" spans="2:9">
      <c r="B141" s="555" t="str">
        <f t="shared" si="9"/>
        <v/>
      </c>
      <c r="C141" s="556" t="str">
        <f t="shared" si="10"/>
        <v/>
      </c>
      <c r="D141" s="557" t="str">
        <f t="shared" si="11"/>
        <v/>
      </c>
      <c r="E141" s="560"/>
      <c r="F141" s="559"/>
      <c r="G141" s="559" t="str">
        <f t="shared" si="12"/>
        <v/>
      </c>
      <c r="H141" s="559" t="str">
        <f t="shared" si="13"/>
        <v/>
      </c>
      <c r="I141" s="559" t="str">
        <f t="shared" si="14"/>
        <v/>
      </c>
    </row>
    <row r="142" spans="2:9">
      <c r="B142" s="555" t="str">
        <f t="shared" si="9"/>
        <v/>
      </c>
      <c r="C142" s="556" t="str">
        <f t="shared" si="10"/>
        <v/>
      </c>
      <c r="D142" s="557" t="str">
        <f t="shared" si="11"/>
        <v/>
      </c>
      <c r="E142" s="560"/>
      <c r="F142" s="559"/>
      <c r="G142" s="559" t="str">
        <f t="shared" si="12"/>
        <v/>
      </c>
      <c r="H142" s="559" t="str">
        <f t="shared" si="13"/>
        <v/>
      </c>
      <c r="I142" s="559" t="str">
        <f t="shared" si="14"/>
        <v/>
      </c>
    </row>
    <row r="143" spans="2:9">
      <c r="B143" s="555" t="str">
        <f t="shared" si="9"/>
        <v/>
      </c>
      <c r="C143" s="556" t="str">
        <f t="shared" si="10"/>
        <v/>
      </c>
      <c r="D143" s="557" t="str">
        <f t="shared" si="11"/>
        <v/>
      </c>
      <c r="E143" s="560"/>
      <c r="F143" s="559"/>
      <c r="G143" s="559" t="str">
        <f t="shared" si="12"/>
        <v/>
      </c>
      <c r="H143" s="559" t="str">
        <f t="shared" si="13"/>
        <v/>
      </c>
      <c r="I143" s="559" t="str">
        <f t="shared" si="14"/>
        <v/>
      </c>
    </row>
    <row r="144" spans="2:9">
      <c r="B144" s="555" t="str">
        <f t="shared" si="9"/>
        <v/>
      </c>
      <c r="C144" s="556" t="str">
        <f t="shared" si="10"/>
        <v/>
      </c>
      <c r="D144" s="557" t="str">
        <f t="shared" si="11"/>
        <v/>
      </c>
      <c r="E144" s="560"/>
      <c r="F144" s="559"/>
      <c r="G144" s="559" t="str">
        <f t="shared" si="12"/>
        <v/>
      </c>
      <c r="H144" s="559" t="str">
        <f t="shared" si="13"/>
        <v/>
      </c>
      <c r="I144" s="559" t="str">
        <f t="shared" si="14"/>
        <v/>
      </c>
    </row>
    <row r="145" spans="2:9">
      <c r="B145" s="555" t="str">
        <f t="shared" si="9"/>
        <v/>
      </c>
      <c r="C145" s="556" t="str">
        <f t="shared" si="10"/>
        <v/>
      </c>
      <c r="D145" s="557" t="str">
        <f t="shared" si="11"/>
        <v/>
      </c>
      <c r="E145" s="560"/>
      <c r="F145" s="559"/>
      <c r="G145" s="559" t="str">
        <f t="shared" si="12"/>
        <v/>
      </c>
      <c r="H145" s="559" t="str">
        <f t="shared" si="13"/>
        <v/>
      </c>
      <c r="I145" s="559" t="str">
        <f t="shared" si="14"/>
        <v/>
      </c>
    </row>
    <row r="146" spans="2:9">
      <c r="B146" s="555" t="str">
        <f t="shared" si="9"/>
        <v/>
      </c>
      <c r="C146" s="556" t="str">
        <f t="shared" si="10"/>
        <v/>
      </c>
      <c r="D146" s="557" t="str">
        <f t="shared" si="11"/>
        <v/>
      </c>
      <c r="E146" s="560"/>
      <c r="F146" s="559"/>
      <c r="G146" s="559" t="str">
        <f t="shared" si="12"/>
        <v/>
      </c>
      <c r="H146" s="559" t="str">
        <f t="shared" si="13"/>
        <v/>
      </c>
      <c r="I146" s="559" t="str">
        <f t="shared" si="14"/>
        <v/>
      </c>
    </row>
    <row r="147" spans="2:9">
      <c r="B147" s="555" t="str">
        <f t="shared" si="9"/>
        <v/>
      </c>
      <c r="C147" s="556" t="str">
        <f t="shared" si="10"/>
        <v/>
      </c>
      <c r="D147" s="557" t="str">
        <f t="shared" si="11"/>
        <v/>
      </c>
      <c r="E147" s="560"/>
      <c r="F147" s="559"/>
      <c r="G147" s="559" t="str">
        <f t="shared" si="12"/>
        <v/>
      </c>
      <c r="H147" s="559" t="str">
        <f t="shared" si="13"/>
        <v/>
      </c>
      <c r="I147" s="559" t="str">
        <f t="shared" si="14"/>
        <v/>
      </c>
    </row>
    <row r="148" spans="2:9">
      <c r="B148" s="555" t="str">
        <f t="shared" si="9"/>
        <v/>
      </c>
      <c r="C148" s="556" t="str">
        <f t="shared" si="10"/>
        <v/>
      </c>
      <c r="D148" s="557" t="str">
        <f t="shared" si="11"/>
        <v/>
      </c>
      <c r="E148" s="560"/>
      <c r="F148" s="559"/>
      <c r="G148" s="559" t="str">
        <f t="shared" si="12"/>
        <v/>
      </c>
      <c r="H148" s="559" t="str">
        <f t="shared" si="13"/>
        <v/>
      </c>
      <c r="I148" s="559" t="str">
        <f t="shared" si="14"/>
        <v/>
      </c>
    </row>
    <row r="149" spans="2:9">
      <c r="B149" s="555" t="str">
        <f t="shared" si="9"/>
        <v/>
      </c>
      <c r="C149" s="556" t="str">
        <f t="shared" si="10"/>
        <v/>
      </c>
      <c r="D149" s="557" t="str">
        <f t="shared" si="11"/>
        <v/>
      </c>
      <c r="E149" s="560"/>
      <c r="F149" s="559"/>
      <c r="G149" s="559" t="str">
        <f t="shared" si="12"/>
        <v/>
      </c>
      <c r="H149" s="559" t="str">
        <f t="shared" si="13"/>
        <v/>
      </c>
      <c r="I149" s="559" t="str">
        <f t="shared" si="14"/>
        <v/>
      </c>
    </row>
    <row r="150" spans="2:9">
      <c r="B150" s="555" t="str">
        <f t="shared" si="9"/>
        <v/>
      </c>
      <c r="C150" s="556" t="str">
        <f t="shared" si="10"/>
        <v/>
      </c>
      <c r="D150" s="557" t="str">
        <f t="shared" si="11"/>
        <v/>
      </c>
      <c r="E150" s="560"/>
      <c r="F150" s="559"/>
      <c r="G150" s="559" t="str">
        <f t="shared" si="12"/>
        <v/>
      </c>
      <c r="H150" s="559" t="str">
        <f t="shared" si="13"/>
        <v/>
      </c>
      <c r="I150" s="559" t="str">
        <f t="shared" si="14"/>
        <v/>
      </c>
    </row>
    <row r="151" spans="2:9">
      <c r="B151" s="555" t="str">
        <f t="shared" si="9"/>
        <v/>
      </c>
      <c r="C151" s="556" t="str">
        <f t="shared" si="10"/>
        <v/>
      </c>
      <c r="D151" s="557" t="str">
        <f t="shared" si="11"/>
        <v/>
      </c>
      <c r="E151" s="560"/>
      <c r="F151" s="559"/>
      <c r="G151" s="559" t="str">
        <f t="shared" si="12"/>
        <v/>
      </c>
      <c r="H151" s="559" t="str">
        <f t="shared" si="13"/>
        <v/>
      </c>
      <c r="I151" s="559" t="str">
        <f t="shared" si="14"/>
        <v/>
      </c>
    </row>
    <row r="152" spans="2:9">
      <c r="B152" s="555" t="str">
        <f t="shared" si="9"/>
        <v/>
      </c>
      <c r="C152" s="556" t="str">
        <f t="shared" si="10"/>
        <v/>
      </c>
      <c r="D152" s="557" t="str">
        <f t="shared" si="11"/>
        <v/>
      </c>
      <c r="E152" s="560"/>
      <c r="F152" s="559"/>
      <c r="G152" s="559" t="str">
        <f t="shared" si="12"/>
        <v/>
      </c>
      <c r="H152" s="559" t="str">
        <f t="shared" si="13"/>
        <v/>
      </c>
      <c r="I152" s="559" t="str">
        <f t="shared" si="14"/>
        <v/>
      </c>
    </row>
    <row r="153" spans="2:9">
      <c r="B153" s="555" t="str">
        <f t="shared" si="9"/>
        <v/>
      </c>
      <c r="C153" s="556" t="str">
        <f t="shared" si="10"/>
        <v/>
      </c>
      <c r="D153" s="557" t="str">
        <f t="shared" si="11"/>
        <v/>
      </c>
      <c r="E153" s="560"/>
      <c r="F153" s="559"/>
      <c r="G153" s="559" t="str">
        <f t="shared" si="12"/>
        <v/>
      </c>
      <c r="H153" s="559" t="str">
        <f t="shared" si="13"/>
        <v/>
      </c>
      <c r="I153" s="559" t="str">
        <f t="shared" si="14"/>
        <v/>
      </c>
    </row>
    <row r="154" spans="2:9">
      <c r="B154" s="555" t="str">
        <f t="shared" si="9"/>
        <v/>
      </c>
      <c r="C154" s="556" t="str">
        <f t="shared" si="10"/>
        <v/>
      </c>
      <c r="D154" s="557" t="str">
        <f t="shared" si="11"/>
        <v/>
      </c>
      <c r="E154" s="560"/>
      <c r="F154" s="559"/>
      <c r="G154" s="559" t="str">
        <f t="shared" si="12"/>
        <v/>
      </c>
      <c r="H154" s="559" t="str">
        <f t="shared" si="13"/>
        <v/>
      </c>
      <c r="I154" s="559" t="str">
        <f t="shared" si="14"/>
        <v/>
      </c>
    </row>
    <row r="155" spans="2:9">
      <c r="B155" s="555" t="str">
        <f t="shared" si="9"/>
        <v/>
      </c>
      <c r="C155" s="556" t="str">
        <f t="shared" si="10"/>
        <v/>
      </c>
      <c r="D155" s="557" t="str">
        <f t="shared" si="11"/>
        <v/>
      </c>
      <c r="E155" s="560"/>
      <c r="F155" s="559"/>
      <c r="G155" s="559" t="str">
        <f t="shared" si="12"/>
        <v/>
      </c>
      <c r="H155" s="559" t="str">
        <f t="shared" si="13"/>
        <v/>
      </c>
      <c r="I155" s="559" t="str">
        <f t="shared" si="14"/>
        <v/>
      </c>
    </row>
    <row r="156" spans="2:9">
      <c r="B156" s="555" t="str">
        <f t="shared" si="9"/>
        <v/>
      </c>
      <c r="C156" s="556" t="str">
        <f t="shared" si="10"/>
        <v/>
      </c>
      <c r="D156" s="557" t="str">
        <f t="shared" si="11"/>
        <v/>
      </c>
      <c r="E156" s="560"/>
      <c r="F156" s="559"/>
      <c r="G156" s="559" t="str">
        <f t="shared" si="12"/>
        <v/>
      </c>
      <c r="H156" s="559" t="str">
        <f t="shared" si="13"/>
        <v/>
      </c>
      <c r="I156" s="559" t="str">
        <f t="shared" si="14"/>
        <v/>
      </c>
    </row>
    <row r="157" spans="2:9">
      <c r="B157" s="555" t="str">
        <f t="shared" si="9"/>
        <v/>
      </c>
      <c r="C157" s="556" t="str">
        <f t="shared" si="10"/>
        <v/>
      </c>
      <c r="D157" s="557" t="str">
        <f t="shared" si="11"/>
        <v/>
      </c>
      <c r="E157" s="560"/>
      <c r="F157" s="559"/>
      <c r="G157" s="559" t="str">
        <f t="shared" si="12"/>
        <v/>
      </c>
      <c r="H157" s="559" t="str">
        <f t="shared" si="13"/>
        <v/>
      </c>
      <c r="I157" s="559" t="str">
        <f t="shared" si="14"/>
        <v/>
      </c>
    </row>
    <row r="158" spans="2:9">
      <c r="B158" s="555" t="str">
        <f t="shared" si="9"/>
        <v/>
      </c>
      <c r="C158" s="556" t="str">
        <f t="shared" si="10"/>
        <v/>
      </c>
      <c r="D158" s="557" t="str">
        <f t="shared" si="11"/>
        <v/>
      </c>
      <c r="E158" s="560"/>
      <c r="F158" s="559"/>
      <c r="G158" s="559" t="str">
        <f t="shared" si="12"/>
        <v/>
      </c>
      <c r="H158" s="559" t="str">
        <f t="shared" si="13"/>
        <v/>
      </c>
      <c r="I158" s="559" t="str">
        <f t="shared" si="14"/>
        <v/>
      </c>
    </row>
    <row r="159" spans="2:9">
      <c r="B159" s="555" t="str">
        <f t="shared" si="9"/>
        <v/>
      </c>
      <c r="C159" s="556" t="str">
        <f t="shared" si="10"/>
        <v/>
      </c>
      <c r="D159" s="557" t="str">
        <f t="shared" si="11"/>
        <v/>
      </c>
      <c r="E159" s="560"/>
      <c r="F159" s="559"/>
      <c r="G159" s="559" t="str">
        <f t="shared" si="12"/>
        <v/>
      </c>
      <c r="H159" s="559" t="str">
        <f t="shared" si="13"/>
        <v/>
      </c>
      <c r="I159" s="559" t="str">
        <f t="shared" si="14"/>
        <v/>
      </c>
    </row>
    <row r="160" spans="2:9">
      <c r="B160" s="555" t="str">
        <f t="shared" si="9"/>
        <v/>
      </c>
      <c r="C160" s="556" t="str">
        <f t="shared" si="10"/>
        <v/>
      </c>
      <c r="D160" s="557" t="str">
        <f t="shared" si="11"/>
        <v/>
      </c>
      <c r="E160" s="560"/>
      <c r="F160" s="559"/>
      <c r="G160" s="559" t="str">
        <f t="shared" si="12"/>
        <v/>
      </c>
      <c r="H160" s="559" t="str">
        <f t="shared" si="13"/>
        <v/>
      </c>
      <c r="I160" s="559" t="str">
        <f t="shared" si="14"/>
        <v/>
      </c>
    </row>
    <row r="161" spans="2:9">
      <c r="B161" s="555" t="str">
        <f t="shared" si="9"/>
        <v/>
      </c>
      <c r="C161" s="556" t="str">
        <f t="shared" si="10"/>
        <v/>
      </c>
      <c r="D161" s="557" t="str">
        <f t="shared" si="11"/>
        <v/>
      </c>
      <c r="E161" s="560"/>
      <c r="F161" s="559"/>
      <c r="G161" s="559" t="str">
        <f t="shared" si="12"/>
        <v/>
      </c>
      <c r="H161" s="559" t="str">
        <f t="shared" si="13"/>
        <v/>
      </c>
      <c r="I161" s="559" t="str">
        <f t="shared" si="14"/>
        <v/>
      </c>
    </row>
    <row r="162" spans="2:9">
      <c r="B162" s="555" t="str">
        <f t="shared" si="9"/>
        <v/>
      </c>
      <c r="C162" s="556" t="str">
        <f t="shared" si="10"/>
        <v/>
      </c>
      <c r="D162" s="557" t="str">
        <f t="shared" si="11"/>
        <v/>
      </c>
      <c r="E162" s="560"/>
      <c r="F162" s="559"/>
      <c r="G162" s="559" t="str">
        <f t="shared" si="12"/>
        <v/>
      </c>
      <c r="H162" s="559" t="str">
        <f t="shared" si="13"/>
        <v/>
      </c>
      <c r="I162" s="559" t="str">
        <f t="shared" si="14"/>
        <v/>
      </c>
    </row>
    <row r="163" spans="2:9">
      <c r="B163" s="555" t="str">
        <f t="shared" si="9"/>
        <v/>
      </c>
      <c r="C163" s="556" t="str">
        <f t="shared" si="10"/>
        <v/>
      </c>
      <c r="D163" s="557" t="str">
        <f t="shared" si="11"/>
        <v/>
      </c>
      <c r="E163" s="560"/>
      <c r="F163" s="559"/>
      <c r="G163" s="559" t="str">
        <f t="shared" si="12"/>
        <v/>
      </c>
      <c r="H163" s="559" t="str">
        <f t="shared" si="13"/>
        <v/>
      </c>
      <c r="I163" s="559" t="str">
        <f t="shared" si="14"/>
        <v/>
      </c>
    </row>
    <row r="164" spans="2:9">
      <c r="B164" s="555" t="str">
        <f t="shared" si="9"/>
        <v/>
      </c>
      <c r="C164" s="556" t="str">
        <f t="shared" si="10"/>
        <v/>
      </c>
      <c r="D164" s="557" t="str">
        <f t="shared" si="11"/>
        <v/>
      </c>
      <c r="E164" s="560"/>
      <c r="F164" s="559"/>
      <c r="G164" s="559" t="str">
        <f t="shared" si="12"/>
        <v/>
      </c>
      <c r="H164" s="559" t="str">
        <f t="shared" si="13"/>
        <v/>
      </c>
      <c r="I164" s="559" t="str">
        <f t="shared" si="14"/>
        <v/>
      </c>
    </row>
    <row r="165" spans="2:9">
      <c r="B165" s="555" t="str">
        <f t="shared" si="9"/>
        <v/>
      </c>
      <c r="C165" s="556" t="str">
        <f t="shared" si="10"/>
        <v/>
      </c>
      <c r="D165" s="557" t="str">
        <f t="shared" si="11"/>
        <v/>
      </c>
      <c r="E165" s="560"/>
      <c r="F165" s="559"/>
      <c r="G165" s="559" t="str">
        <f t="shared" si="12"/>
        <v/>
      </c>
      <c r="H165" s="559" t="str">
        <f t="shared" si="13"/>
        <v/>
      </c>
      <c r="I165" s="559" t="str">
        <f t="shared" si="14"/>
        <v/>
      </c>
    </row>
    <row r="166" spans="2:9">
      <c r="B166" s="555" t="str">
        <f t="shared" si="9"/>
        <v/>
      </c>
      <c r="C166" s="556" t="str">
        <f t="shared" si="10"/>
        <v/>
      </c>
      <c r="D166" s="557" t="str">
        <f t="shared" si="11"/>
        <v/>
      </c>
      <c r="E166" s="560"/>
      <c r="F166" s="559"/>
      <c r="G166" s="559" t="str">
        <f t="shared" si="12"/>
        <v/>
      </c>
      <c r="H166" s="559" t="str">
        <f t="shared" si="13"/>
        <v/>
      </c>
      <c r="I166" s="559" t="str">
        <f t="shared" si="14"/>
        <v/>
      </c>
    </row>
    <row r="167" spans="2:9">
      <c r="B167" s="555" t="str">
        <f t="shared" si="9"/>
        <v/>
      </c>
      <c r="C167" s="556" t="str">
        <f t="shared" si="10"/>
        <v/>
      </c>
      <c r="D167" s="557" t="str">
        <f t="shared" si="11"/>
        <v/>
      </c>
      <c r="E167" s="560"/>
      <c r="F167" s="559"/>
      <c r="G167" s="559" t="str">
        <f t="shared" si="12"/>
        <v/>
      </c>
      <c r="H167" s="559" t="str">
        <f t="shared" si="13"/>
        <v/>
      </c>
      <c r="I167" s="559" t="str">
        <f t="shared" si="14"/>
        <v/>
      </c>
    </row>
    <row r="168" spans="2:9">
      <c r="B168" s="555" t="str">
        <f t="shared" si="9"/>
        <v/>
      </c>
      <c r="C168" s="556" t="str">
        <f t="shared" si="10"/>
        <v/>
      </c>
      <c r="D168" s="557" t="str">
        <f t="shared" si="11"/>
        <v/>
      </c>
      <c r="E168" s="560"/>
      <c r="F168" s="559"/>
      <c r="G168" s="559" t="str">
        <f t="shared" si="12"/>
        <v/>
      </c>
      <c r="H168" s="559" t="str">
        <f t="shared" si="13"/>
        <v/>
      </c>
      <c r="I168" s="559" t="str">
        <f t="shared" si="14"/>
        <v/>
      </c>
    </row>
    <row r="169" spans="2:9">
      <c r="B169" s="555" t="str">
        <f t="shared" si="9"/>
        <v/>
      </c>
      <c r="C169" s="556" t="str">
        <f t="shared" si="10"/>
        <v/>
      </c>
      <c r="D169" s="557" t="str">
        <f t="shared" si="11"/>
        <v/>
      </c>
      <c r="E169" s="560"/>
      <c r="F169" s="559"/>
      <c r="G169" s="559" t="str">
        <f t="shared" si="12"/>
        <v/>
      </c>
      <c r="H169" s="559" t="str">
        <f t="shared" si="13"/>
        <v/>
      </c>
      <c r="I169" s="559" t="str">
        <f t="shared" si="14"/>
        <v/>
      </c>
    </row>
    <row r="170" spans="2:9">
      <c r="B170" s="555" t="str">
        <f t="shared" si="9"/>
        <v/>
      </c>
      <c r="C170" s="556" t="str">
        <f t="shared" si="10"/>
        <v/>
      </c>
      <c r="D170" s="557" t="str">
        <f t="shared" si="11"/>
        <v/>
      </c>
      <c r="E170" s="560"/>
      <c r="F170" s="559"/>
      <c r="G170" s="559" t="str">
        <f t="shared" si="12"/>
        <v/>
      </c>
      <c r="H170" s="559" t="str">
        <f t="shared" si="13"/>
        <v/>
      </c>
      <c r="I170" s="559" t="str">
        <f t="shared" si="14"/>
        <v/>
      </c>
    </row>
    <row r="171" spans="2:9">
      <c r="B171" s="555" t="str">
        <f t="shared" si="9"/>
        <v/>
      </c>
      <c r="C171" s="556" t="str">
        <f t="shared" si="10"/>
        <v/>
      </c>
      <c r="D171" s="557" t="str">
        <f t="shared" si="11"/>
        <v/>
      </c>
      <c r="E171" s="560"/>
      <c r="F171" s="559"/>
      <c r="G171" s="559" t="str">
        <f t="shared" si="12"/>
        <v/>
      </c>
      <c r="H171" s="559" t="str">
        <f t="shared" si="13"/>
        <v/>
      </c>
      <c r="I171" s="559" t="str">
        <f t="shared" si="14"/>
        <v/>
      </c>
    </row>
    <row r="172" spans="2:9">
      <c r="B172" s="555" t="str">
        <f t="shared" si="9"/>
        <v/>
      </c>
      <c r="C172" s="556" t="str">
        <f t="shared" si="10"/>
        <v/>
      </c>
      <c r="D172" s="557" t="str">
        <f t="shared" si="11"/>
        <v/>
      </c>
      <c r="E172" s="560"/>
      <c r="F172" s="559"/>
      <c r="G172" s="559" t="str">
        <f t="shared" si="12"/>
        <v/>
      </c>
      <c r="H172" s="559" t="str">
        <f t="shared" si="13"/>
        <v/>
      </c>
      <c r="I172" s="559" t="str">
        <f t="shared" si="14"/>
        <v/>
      </c>
    </row>
    <row r="173" spans="2:9">
      <c r="B173" s="555" t="str">
        <f t="shared" si="9"/>
        <v/>
      </c>
      <c r="C173" s="556" t="str">
        <f t="shared" si="10"/>
        <v/>
      </c>
      <c r="D173" s="557" t="str">
        <f t="shared" si="11"/>
        <v/>
      </c>
      <c r="E173" s="560"/>
      <c r="F173" s="559"/>
      <c r="G173" s="559" t="str">
        <f t="shared" si="12"/>
        <v/>
      </c>
      <c r="H173" s="559" t="str">
        <f t="shared" si="13"/>
        <v/>
      </c>
      <c r="I173" s="559" t="str">
        <f t="shared" si="14"/>
        <v/>
      </c>
    </row>
    <row r="174" spans="2:9">
      <c r="B174" s="555" t="str">
        <f t="shared" si="9"/>
        <v/>
      </c>
      <c r="C174" s="556" t="str">
        <f t="shared" si="10"/>
        <v/>
      </c>
      <c r="D174" s="557" t="str">
        <f t="shared" si="11"/>
        <v/>
      </c>
      <c r="E174" s="560"/>
      <c r="F174" s="559"/>
      <c r="G174" s="559" t="str">
        <f t="shared" si="12"/>
        <v/>
      </c>
      <c r="H174" s="559" t="str">
        <f t="shared" si="13"/>
        <v/>
      </c>
      <c r="I174" s="559" t="str">
        <f t="shared" si="14"/>
        <v/>
      </c>
    </row>
    <row r="175" spans="2:9">
      <c r="B175" s="555" t="str">
        <f t="shared" si="9"/>
        <v/>
      </c>
      <c r="C175" s="556" t="str">
        <f t="shared" si="10"/>
        <v/>
      </c>
      <c r="D175" s="557" t="str">
        <f t="shared" si="11"/>
        <v/>
      </c>
      <c r="E175" s="560"/>
      <c r="F175" s="559"/>
      <c r="G175" s="559" t="str">
        <f t="shared" si="12"/>
        <v/>
      </c>
      <c r="H175" s="559" t="str">
        <f t="shared" si="13"/>
        <v/>
      </c>
      <c r="I175" s="559" t="str">
        <f t="shared" si="14"/>
        <v/>
      </c>
    </row>
    <row r="176" spans="2:9">
      <c r="B176" s="555" t="str">
        <f t="shared" si="9"/>
        <v/>
      </c>
      <c r="C176" s="556" t="str">
        <f t="shared" si="10"/>
        <v/>
      </c>
      <c r="D176" s="557" t="str">
        <f t="shared" si="11"/>
        <v/>
      </c>
      <c r="E176" s="560"/>
      <c r="F176" s="559"/>
      <c r="G176" s="559" t="str">
        <f t="shared" si="12"/>
        <v/>
      </c>
      <c r="H176" s="559" t="str">
        <f t="shared" si="13"/>
        <v/>
      </c>
      <c r="I176" s="559" t="str">
        <f t="shared" si="14"/>
        <v/>
      </c>
    </row>
    <row r="177" spans="2:9">
      <c r="B177" s="555" t="str">
        <f t="shared" si="9"/>
        <v/>
      </c>
      <c r="C177" s="556" t="str">
        <f t="shared" si="10"/>
        <v/>
      </c>
      <c r="D177" s="557" t="str">
        <f t="shared" si="11"/>
        <v/>
      </c>
      <c r="E177" s="560"/>
      <c r="F177" s="559"/>
      <c r="G177" s="559" t="str">
        <f t="shared" si="12"/>
        <v/>
      </c>
      <c r="H177" s="559" t="str">
        <f t="shared" si="13"/>
        <v/>
      </c>
      <c r="I177" s="559" t="str">
        <f t="shared" si="14"/>
        <v/>
      </c>
    </row>
    <row r="178" spans="2:9">
      <c r="B178" s="555" t="str">
        <f t="shared" si="9"/>
        <v/>
      </c>
      <c r="C178" s="556" t="str">
        <f t="shared" si="10"/>
        <v/>
      </c>
      <c r="D178" s="557" t="str">
        <f t="shared" si="11"/>
        <v/>
      </c>
      <c r="E178" s="560"/>
      <c r="F178" s="559"/>
      <c r="G178" s="559" t="str">
        <f t="shared" si="12"/>
        <v/>
      </c>
      <c r="H178" s="559" t="str">
        <f t="shared" si="13"/>
        <v/>
      </c>
      <c r="I178" s="559" t="str">
        <f t="shared" si="14"/>
        <v/>
      </c>
    </row>
    <row r="179" spans="2:9">
      <c r="B179" s="555" t="str">
        <f t="shared" si="9"/>
        <v/>
      </c>
      <c r="C179" s="556" t="str">
        <f t="shared" si="10"/>
        <v/>
      </c>
      <c r="D179" s="557" t="str">
        <f t="shared" si="11"/>
        <v/>
      </c>
      <c r="E179" s="560"/>
      <c r="F179" s="559"/>
      <c r="G179" s="559" t="str">
        <f t="shared" si="12"/>
        <v/>
      </c>
      <c r="H179" s="559" t="str">
        <f t="shared" si="13"/>
        <v/>
      </c>
      <c r="I179" s="559" t="str">
        <f t="shared" si="14"/>
        <v/>
      </c>
    </row>
    <row r="180" spans="2:9">
      <c r="B180" s="555" t="str">
        <f t="shared" si="9"/>
        <v/>
      </c>
      <c r="C180" s="556" t="str">
        <f t="shared" si="10"/>
        <v/>
      </c>
      <c r="D180" s="557" t="str">
        <f t="shared" si="11"/>
        <v/>
      </c>
      <c r="E180" s="560"/>
      <c r="F180" s="559"/>
      <c r="G180" s="559" t="str">
        <f t="shared" si="12"/>
        <v/>
      </c>
      <c r="H180" s="559" t="str">
        <f t="shared" si="13"/>
        <v/>
      </c>
      <c r="I180" s="559" t="str">
        <f t="shared" si="14"/>
        <v/>
      </c>
    </row>
    <row r="181" spans="2:9">
      <c r="B181" s="555" t="str">
        <f t="shared" si="9"/>
        <v/>
      </c>
      <c r="C181" s="556" t="str">
        <f t="shared" si="10"/>
        <v/>
      </c>
      <c r="D181" s="557" t="str">
        <f t="shared" si="11"/>
        <v/>
      </c>
      <c r="E181" s="560"/>
      <c r="F181" s="559"/>
      <c r="G181" s="559" t="str">
        <f t="shared" si="12"/>
        <v/>
      </c>
      <c r="H181" s="559" t="str">
        <f t="shared" si="13"/>
        <v/>
      </c>
      <c r="I181" s="559" t="str">
        <f t="shared" si="14"/>
        <v/>
      </c>
    </row>
    <row r="182" spans="2:9">
      <c r="B182" s="555" t="str">
        <f t="shared" si="9"/>
        <v/>
      </c>
      <c r="C182" s="556" t="str">
        <f t="shared" si="10"/>
        <v/>
      </c>
      <c r="D182" s="557" t="str">
        <f t="shared" si="11"/>
        <v/>
      </c>
      <c r="E182" s="560"/>
      <c r="F182" s="559"/>
      <c r="G182" s="559" t="str">
        <f t="shared" si="12"/>
        <v/>
      </c>
      <c r="H182" s="559" t="str">
        <f t="shared" si="13"/>
        <v/>
      </c>
      <c r="I182" s="559" t="str">
        <f t="shared" si="14"/>
        <v/>
      </c>
    </row>
    <row r="183" spans="2:9">
      <c r="B183" s="555" t="str">
        <f t="shared" si="9"/>
        <v/>
      </c>
      <c r="C183" s="556" t="str">
        <f t="shared" si="10"/>
        <v/>
      </c>
      <c r="D183" s="557" t="str">
        <f t="shared" si="11"/>
        <v/>
      </c>
      <c r="E183" s="560"/>
      <c r="F183" s="559"/>
      <c r="G183" s="559" t="str">
        <f t="shared" si="12"/>
        <v/>
      </c>
      <c r="H183" s="559" t="str">
        <f t="shared" si="13"/>
        <v/>
      </c>
      <c r="I183" s="559" t="str">
        <f t="shared" si="14"/>
        <v/>
      </c>
    </row>
    <row r="184" spans="2:9">
      <c r="B184" s="555" t="str">
        <f t="shared" si="9"/>
        <v/>
      </c>
      <c r="C184" s="556" t="str">
        <f t="shared" si="10"/>
        <v/>
      </c>
      <c r="D184" s="557" t="str">
        <f t="shared" si="11"/>
        <v/>
      </c>
      <c r="E184" s="560"/>
      <c r="F184" s="559"/>
      <c r="G184" s="559" t="str">
        <f t="shared" si="12"/>
        <v/>
      </c>
      <c r="H184" s="559" t="str">
        <f t="shared" si="13"/>
        <v/>
      </c>
      <c r="I184" s="559" t="str">
        <f t="shared" si="14"/>
        <v/>
      </c>
    </row>
    <row r="185" spans="2:9">
      <c r="B185" s="555" t="str">
        <f t="shared" si="9"/>
        <v/>
      </c>
      <c r="C185" s="556" t="str">
        <f t="shared" si="10"/>
        <v/>
      </c>
      <c r="D185" s="557" t="str">
        <f t="shared" si="11"/>
        <v/>
      </c>
      <c r="E185" s="560"/>
      <c r="F185" s="559"/>
      <c r="G185" s="559" t="str">
        <f t="shared" si="12"/>
        <v/>
      </c>
      <c r="H185" s="559" t="str">
        <f t="shared" si="13"/>
        <v/>
      </c>
      <c r="I185" s="559" t="str">
        <f t="shared" si="14"/>
        <v/>
      </c>
    </row>
    <row r="186" spans="2:9">
      <c r="B186" s="555" t="str">
        <f t="shared" si="9"/>
        <v/>
      </c>
      <c r="C186" s="556" t="str">
        <f t="shared" si="10"/>
        <v/>
      </c>
      <c r="D186" s="557" t="str">
        <f t="shared" si="11"/>
        <v/>
      </c>
      <c r="E186" s="560"/>
      <c r="F186" s="559"/>
      <c r="G186" s="559" t="str">
        <f t="shared" si="12"/>
        <v/>
      </c>
      <c r="H186" s="559" t="str">
        <f t="shared" si="13"/>
        <v/>
      </c>
      <c r="I186" s="559" t="str">
        <f t="shared" si="14"/>
        <v/>
      </c>
    </row>
    <row r="187" spans="2:9">
      <c r="B187" s="555" t="str">
        <f t="shared" si="9"/>
        <v/>
      </c>
      <c r="C187" s="556" t="str">
        <f t="shared" si="10"/>
        <v/>
      </c>
      <c r="D187" s="557" t="str">
        <f t="shared" si="11"/>
        <v/>
      </c>
      <c r="E187" s="560"/>
      <c r="F187" s="559"/>
      <c r="G187" s="559" t="str">
        <f t="shared" si="12"/>
        <v/>
      </c>
      <c r="H187" s="559" t="str">
        <f t="shared" si="13"/>
        <v/>
      </c>
      <c r="I187" s="559" t="str">
        <f t="shared" si="14"/>
        <v/>
      </c>
    </row>
    <row r="188" spans="2:9">
      <c r="B188" s="555" t="str">
        <f t="shared" si="9"/>
        <v/>
      </c>
      <c r="C188" s="556" t="str">
        <f t="shared" si="10"/>
        <v/>
      </c>
      <c r="D188" s="557" t="str">
        <f t="shared" si="11"/>
        <v/>
      </c>
      <c r="E188" s="560"/>
      <c r="F188" s="559"/>
      <c r="G188" s="559" t="str">
        <f t="shared" si="12"/>
        <v/>
      </c>
      <c r="H188" s="559" t="str">
        <f t="shared" si="13"/>
        <v/>
      </c>
      <c r="I188" s="559" t="str">
        <f t="shared" si="14"/>
        <v/>
      </c>
    </row>
    <row r="189" spans="2:9">
      <c r="B189" s="555" t="str">
        <f t="shared" ref="B189:B252" si="15">IF(I188="","",IF(roundOpt,IF(OR(B188&gt;=nper,ROUND(I188,2)&lt;=0),"",B188+1),IF(OR(B188&gt;=nper,I188&lt;=0),"",B188+1)))</f>
        <v/>
      </c>
      <c r="C189" s="556" t="str">
        <f t="shared" ref="C189:C252" si="16">IF(B189="","",IF(OR(periods_per_year=26,periods_per_year=52),IF(periods_per_year=26,IF(B189=1,fpdate,C188+14),IF(periods_per_year=52,IF(B189=1,fpdate,C188+7),"n/a")),IF(periods_per_year=24,DATE(YEAR(fpdate),MONTH(fpdate)+(B189-1)/2+IF(AND(DAY(fpdate)&gt;=15,MOD(B189,2)=0),1,0),IF(MOD(B189,2)=0,IF(DAY(fpdate)&gt;=15,DAY(fpdate)-14,DAY(fpdate)+14),DAY(fpdate))),IF(DAY(DATE(YEAR(fpdate),MONTH(fpdate)+(B189-1)*months_per_period,DAY(fpdate)))&lt;&gt;DAY(fpdate),DATE(YEAR(fpdate),MONTH(fpdate)+(B189-1)*months_per_period+1,0),DATE(YEAR(fpdate),MONTH(fpdate)+(B189-1)*months_per_period,DAY(fpdate))))))</f>
        <v/>
      </c>
      <c r="D189" s="557" t="str">
        <f t="shared" ref="D189:D252" si="17">IF(B189="","",IF(roundOpt,IF(OR(B189=nper,payment&gt;ROUND((1+rate)*I188,2)),ROUND((1+rate)*I188,2),payment),IF(OR(B189=nper,payment&gt;(1+rate)*I188),(1+rate)*I188,payment)))</f>
        <v/>
      </c>
      <c r="E189" s="560"/>
      <c r="F189" s="559"/>
      <c r="G189" s="559" t="str">
        <f t="shared" ref="G189:G252" si="18">IF(B189="","",IF(AND(B189=1,pmtType=1),0,IF(roundOpt,ROUND(rate*I188,2),rate*I188)))</f>
        <v/>
      </c>
      <c r="H189" s="559" t="str">
        <f t="shared" ref="H189:H252" si="19">IF(B189="","",D189-G189+E189)</f>
        <v/>
      </c>
      <c r="I189" s="559" t="str">
        <f t="shared" ref="I189:I252" si="20">IF(B189="","",I188-H189)</f>
        <v/>
      </c>
    </row>
    <row r="190" spans="2:9">
      <c r="B190" s="555" t="str">
        <f t="shared" si="15"/>
        <v/>
      </c>
      <c r="C190" s="556" t="str">
        <f t="shared" si="16"/>
        <v/>
      </c>
      <c r="D190" s="557" t="str">
        <f t="shared" si="17"/>
        <v/>
      </c>
      <c r="E190" s="560"/>
      <c r="F190" s="559"/>
      <c r="G190" s="559" t="str">
        <f t="shared" si="18"/>
        <v/>
      </c>
      <c r="H190" s="559" t="str">
        <f t="shared" si="19"/>
        <v/>
      </c>
      <c r="I190" s="559" t="str">
        <f t="shared" si="20"/>
        <v/>
      </c>
    </row>
    <row r="191" spans="2:9">
      <c r="B191" s="555" t="str">
        <f t="shared" si="15"/>
        <v/>
      </c>
      <c r="C191" s="556" t="str">
        <f t="shared" si="16"/>
        <v/>
      </c>
      <c r="D191" s="557" t="str">
        <f t="shared" si="17"/>
        <v/>
      </c>
      <c r="E191" s="560"/>
      <c r="F191" s="559"/>
      <c r="G191" s="559" t="str">
        <f t="shared" si="18"/>
        <v/>
      </c>
      <c r="H191" s="559" t="str">
        <f t="shared" si="19"/>
        <v/>
      </c>
      <c r="I191" s="559" t="str">
        <f t="shared" si="20"/>
        <v/>
      </c>
    </row>
    <row r="192" spans="2:9">
      <c r="B192" s="555" t="str">
        <f t="shared" si="15"/>
        <v/>
      </c>
      <c r="C192" s="556" t="str">
        <f t="shared" si="16"/>
        <v/>
      </c>
      <c r="D192" s="557" t="str">
        <f t="shared" si="17"/>
        <v/>
      </c>
      <c r="E192" s="560"/>
      <c r="F192" s="559"/>
      <c r="G192" s="559" t="str">
        <f t="shared" si="18"/>
        <v/>
      </c>
      <c r="H192" s="559" t="str">
        <f t="shared" si="19"/>
        <v/>
      </c>
      <c r="I192" s="559" t="str">
        <f t="shared" si="20"/>
        <v/>
      </c>
    </row>
    <row r="193" spans="2:9">
      <c r="B193" s="555" t="str">
        <f t="shared" si="15"/>
        <v/>
      </c>
      <c r="C193" s="556" t="str">
        <f t="shared" si="16"/>
        <v/>
      </c>
      <c r="D193" s="557" t="str">
        <f t="shared" si="17"/>
        <v/>
      </c>
      <c r="E193" s="560"/>
      <c r="F193" s="559"/>
      <c r="G193" s="559" t="str">
        <f t="shared" si="18"/>
        <v/>
      </c>
      <c r="H193" s="559" t="str">
        <f t="shared" si="19"/>
        <v/>
      </c>
      <c r="I193" s="559" t="str">
        <f t="shared" si="20"/>
        <v/>
      </c>
    </row>
    <row r="194" spans="2:9">
      <c r="B194" s="555" t="str">
        <f t="shared" si="15"/>
        <v/>
      </c>
      <c r="C194" s="556" t="str">
        <f t="shared" si="16"/>
        <v/>
      </c>
      <c r="D194" s="557" t="str">
        <f t="shared" si="17"/>
        <v/>
      </c>
      <c r="E194" s="560"/>
      <c r="F194" s="559"/>
      <c r="G194" s="559" t="str">
        <f t="shared" si="18"/>
        <v/>
      </c>
      <c r="H194" s="559" t="str">
        <f t="shared" si="19"/>
        <v/>
      </c>
      <c r="I194" s="559" t="str">
        <f t="shared" si="20"/>
        <v/>
      </c>
    </row>
    <row r="195" spans="2:9">
      <c r="B195" s="555" t="str">
        <f t="shared" si="15"/>
        <v/>
      </c>
      <c r="C195" s="556" t="str">
        <f t="shared" si="16"/>
        <v/>
      </c>
      <c r="D195" s="557" t="str">
        <f t="shared" si="17"/>
        <v/>
      </c>
      <c r="E195" s="560"/>
      <c r="F195" s="559"/>
      <c r="G195" s="559" t="str">
        <f t="shared" si="18"/>
        <v/>
      </c>
      <c r="H195" s="559" t="str">
        <f t="shared" si="19"/>
        <v/>
      </c>
      <c r="I195" s="559" t="str">
        <f t="shared" si="20"/>
        <v/>
      </c>
    </row>
    <row r="196" spans="2:9">
      <c r="B196" s="555" t="str">
        <f t="shared" si="15"/>
        <v/>
      </c>
      <c r="C196" s="556" t="str">
        <f t="shared" si="16"/>
        <v/>
      </c>
      <c r="D196" s="557" t="str">
        <f t="shared" si="17"/>
        <v/>
      </c>
      <c r="E196" s="560"/>
      <c r="F196" s="559"/>
      <c r="G196" s="559" t="str">
        <f t="shared" si="18"/>
        <v/>
      </c>
      <c r="H196" s="559" t="str">
        <f t="shared" si="19"/>
        <v/>
      </c>
      <c r="I196" s="559" t="str">
        <f t="shared" si="20"/>
        <v/>
      </c>
    </row>
    <row r="197" spans="2:9">
      <c r="B197" s="555" t="str">
        <f t="shared" si="15"/>
        <v/>
      </c>
      <c r="C197" s="556" t="str">
        <f t="shared" si="16"/>
        <v/>
      </c>
      <c r="D197" s="557" t="str">
        <f t="shared" si="17"/>
        <v/>
      </c>
      <c r="E197" s="560"/>
      <c r="F197" s="559"/>
      <c r="G197" s="559" t="str">
        <f t="shared" si="18"/>
        <v/>
      </c>
      <c r="H197" s="559" t="str">
        <f t="shared" si="19"/>
        <v/>
      </c>
      <c r="I197" s="559" t="str">
        <f t="shared" si="20"/>
        <v/>
      </c>
    </row>
    <row r="198" spans="2:9">
      <c r="B198" s="555" t="str">
        <f t="shared" si="15"/>
        <v/>
      </c>
      <c r="C198" s="556" t="str">
        <f t="shared" si="16"/>
        <v/>
      </c>
      <c r="D198" s="557" t="str">
        <f t="shared" si="17"/>
        <v/>
      </c>
      <c r="E198" s="560"/>
      <c r="F198" s="559"/>
      <c r="G198" s="559" t="str">
        <f t="shared" si="18"/>
        <v/>
      </c>
      <c r="H198" s="559" t="str">
        <f t="shared" si="19"/>
        <v/>
      </c>
      <c r="I198" s="559" t="str">
        <f t="shared" si="20"/>
        <v/>
      </c>
    </row>
    <row r="199" spans="2:9">
      <c r="B199" s="555" t="str">
        <f t="shared" si="15"/>
        <v/>
      </c>
      <c r="C199" s="556" t="str">
        <f t="shared" si="16"/>
        <v/>
      </c>
      <c r="D199" s="557" t="str">
        <f t="shared" si="17"/>
        <v/>
      </c>
      <c r="E199" s="560"/>
      <c r="F199" s="559"/>
      <c r="G199" s="559" t="str">
        <f t="shared" si="18"/>
        <v/>
      </c>
      <c r="H199" s="559" t="str">
        <f t="shared" si="19"/>
        <v/>
      </c>
      <c r="I199" s="559" t="str">
        <f t="shared" si="20"/>
        <v/>
      </c>
    </row>
    <row r="200" spans="2:9">
      <c r="B200" s="555" t="str">
        <f t="shared" si="15"/>
        <v/>
      </c>
      <c r="C200" s="556" t="str">
        <f t="shared" si="16"/>
        <v/>
      </c>
      <c r="D200" s="557" t="str">
        <f t="shared" si="17"/>
        <v/>
      </c>
      <c r="E200" s="560"/>
      <c r="F200" s="559"/>
      <c r="G200" s="559" t="str">
        <f t="shared" si="18"/>
        <v/>
      </c>
      <c r="H200" s="559" t="str">
        <f t="shared" si="19"/>
        <v/>
      </c>
      <c r="I200" s="559" t="str">
        <f t="shared" si="20"/>
        <v/>
      </c>
    </row>
    <row r="201" spans="2:9">
      <c r="B201" s="555" t="str">
        <f t="shared" si="15"/>
        <v/>
      </c>
      <c r="C201" s="556" t="str">
        <f t="shared" si="16"/>
        <v/>
      </c>
      <c r="D201" s="557" t="str">
        <f t="shared" si="17"/>
        <v/>
      </c>
      <c r="E201" s="560"/>
      <c r="F201" s="559"/>
      <c r="G201" s="559" t="str">
        <f t="shared" si="18"/>
        <v/>
      </c>
      <c r="H201" s="559" t="str">
        <f t="shared" si="19"/>
        <v/>
      </c>
      <c r="I201" s="559" t="str">
        <f t="shared" si="20"/>
        <v/>
      </c>
    </row>
    <row r="202" spans="2:9">
      <c r="B202" s="555" t="str">
        <f t="shared" si="15"/>
        <v/>
      </c>
      <c r="C202" s="556" t="str">
        <f t="shared" si="16"/>
        <v/>
      </c>
      <c r="D202" s="557" t="str">
        <f t="shared" si="17"/>
        <v/>
      </c>
      <c r="E202" s="560"/>
      <c r="F202" s="559"/>
      <c r="G202" s="559" t="str">
        <f t="shared" si="18"/>
        <v/>
      </c>
      <c r="H202" s="559" t="str">
        <f t="shared" si="19"/>
        <v/>
      </c>
      <c r="I202" s="559" t="str">
        <f t="shared" si="20"/>
        <v/>
      </c>
    </row>
    <row r="203" spans="2:9">
      <c r="B203" s="555" t="str">
        <f t="shared" si="15"/>
        <v/>
      </c>
      <c r="C203" s="556" t="str">
        <f t="shared" si="16"/>
        <v/>
      </c>
      <c r="D203" s="557" t="str">
        <f t="shared" si="17"/>
        <v/>
      </c>
      <c r="E203" s="560"/>
      <c r="F203" s="559"/>
      <c r="G203" s="559" t="str">
        <f t="shared" si="18"/>
        <v/>
      </c>
      <c r="H203" s="559" t="str">
        <f t="shared" si="19"/>
        <v/>
      </c>
      <c r="I203" s="559" t="str">
        <f t="shared" si="20"/>
        <v/>
      </c>
    </row>
    <row r="204" spans="2:9">
      <c r="B204" s="555" t="str">
        <f t="shared" si="15"/>
        <v/>
      </c>
      <c r="C204" s="556" t="str">
        <f t="shared" si="16"/>
        <v/>
      </c>
      <c r="D204" s="557" t="str">
        <f t="shared" si="17"/>
        <v/>
      </c>
      <c r="E204" s="560"/>
      <c r="F204" s="559"/>
      <c r="G204" s="559" t="str">
        <f t="shared" si="18"/>
        <v/>
      </c>
      <c r="H204" s="559" t="str">
        <f t="shared" si="19"/>
        <v/>
      </c>
      <c r="I204" s="559" t="str">
        <f t="shared" si="20"/>
        <v/>
      </c>
    </row>
    <row r="205" spans="2:9">
      <c r="B205" s="555" t="str">
        <f t="shared" si="15"/>
        <v/>
      </c>
      <c r="C205" s="556" t="str">
        <f t="shared" si="16"/>
        <v/>
      </c>
      <c r="D205" s="557" t="str">
        <f t="shared" si="17"/>
        <v/>
      </c>
      <c r="E205" s="560"/>
      <c r="F205" s="559"/>
      <c r="G205" s="559" t="str">
        <f t="shared" si="18"/>
        <v/>
      </c>
      <c r="H205" s="559" t="str">
        <f t="shared" si="19"/>
        <v/>
      </c>
      <c r="I205" s="559" t="str">
        <f t="shared" si="20"/>
        <v/>
      </c>
    </row>
    <row r="206" spans="2:9">
      <c r="B206" s="555" t="str">
        <f t="shared" si="15"/>
        <v/>
      </c>
      <c r="C206" s="556" t="str">
        <f t="shared" si="16"/>
        <v/>
      </c>
      <c r="D206" s="557" t="str">
        <f t="shared" si="17"/>
        <v/>
      </c>
      <c r="E206" s="560"/>
      <c r="F206" s="559"/>
      <c r="G206" s="559" t="str">
        <f t="shared" si="18"/>
        <v/>
      </c>
      <c r="H206" s="559" t="str">
        <f t="shared" si="19"/>
        <v/>
      </c>
      <c r="I206" s="559" t="str">
        <f t="shared" si="20"/>
        <v/>
      </c>
    </row>
    <row r="207" spans="2:9">
      <c r="B207" s="555" t="str">
        <f t="shared" si="15"/>
        <v/>
      </c>
      <c r="C207" s="556" t="str">
        <f t="shared" si="16"/>
        <v/>
      </c>
      <c r="D207" s="557" t="str">
        <f t="shared" si="17"/>
        <v/>
      </c>
      <c r="E207" s="560"/>
      <c r="F207" s="559"/>
      <c r="G207" s="559" t="str">
        <f t="shared" si="18"/>
        <v/>
      </c>
      <c r="H207" s="559" t="str">
        <f t="shared" si="19"/>
        <v/>
      </c>
      <c r="I207" s="559" t="str">
        <f t="shared" si="20"/>
        <v/>
      </c>
    </row>
    <row r="208" spans="2:9">
      <c r="B208" s="555" t="str">
        <f t="shared" si="15"/>
        <v/>
      </c>
      <c r="C208" s="556" t="str">
        <f t="shared" si="16"/>
        <v/>
      </c>
      <c r="D208" s="557" t="str">
        <f t="shared" si="17"/>
        <v/>
      </c>
      <c r="E208" s="560"/>
      <c r="F208" s="559"/>
      <c r="G208" s="559" t="str">
        <f t="shared" si="18"/>
        <v/>
      </c>
      <c r="H208" s="559" t="str">
        <f t="shared" si="19"/>
        <v/>
      </c>
      <c r="I208" s="559" t="str">
        <f t="shared" si="20"/>
        <v/>
      </c>
    </row>
    <row r="209" spans="2:9">
      <c r="B209" s="555" t="str">
        <f t="shared" si="15"/>
        <v/>
      </c>
      <c r="C209" s="556" t="str">
        <f t="shared" si="16"/>
        <v/>
      </c>
      <c r="D209" s="557" t="str">
        <f t="shared" si="17"/>
        <v/>
      </c>
      <c r="E209" s="560"/>
      <c r="F209" s="559"/>
      <c r="G209" s="559" t="str">
        <f t="shared" si="18"/>
        <v/>
      </c>
      <c r="H209" s="559" t="str">
        <f t="shared" si="19"/>
        <v/>
      </c>
      <c r="I209" s="559" t="str">
        <f t="shared" si="20"/>
        <v/>
      </c>
    </row>
    <row r="210" spans="2:9">
      <c r="B210" s="555" t="str">
        <f t="shared" si="15"/>
        <v/>
      </c>
      <c r="C210" s="556" t="str">
        <f t="shared" si="16"/>
        <v/>
      </c>
      <c r="D210" s="557" t="str">
        <f t="shared" si="17"/>
        <v/>
      </c>
      <c r="E210" s="560"/>
      <c r="F210" s="559"/>
      <c r="G210" s="559" t="str">
        <f t="shared" si="18"/>
        <v/>
      </c>
      <c r="H210" s="559" t="str">
        <f t="shared" si="19"/>
        <v/>
      </c>
      <c r="I210" s="559" t="str">
        <f t="shared" si="20"/>
        <v/>
      </c>
    </row>
    <row r="211" spans="2:9">
      <c r="B211" s="555" t="str">
        <f t="shared" si="15"/>
        <v/>
      </c>
      <c r="C211" s="556" t="str">
        <f t="shared" si="16"/>
        <v/>
      </c>
      <c r="D211" s="557" t="str">
        <f t="shared" si="17"/>
        <v/>
      </c>
      <c r="E211" s="560"/>
      <c r="F211" s="559"/>
      <c r="G211" s="559" t="str">
        <f t="shared" si="18"/>
        <v/>
      </c>
      <c r="H211" s="559" t="str">
        <f t="shared" si="19"/>
        <v/>
      </c>
      <c r="I211" s="559" t="str">
        <f t="shared" si="20"/>
        <v/>
      </c>
    </row>
    <row r="212" spans="2:9">
      <c r="B212" s="555" t="str">
        <f t="shared" si="15"/>
        <v/>
      </c>
      <c r="C212" s="556" t="str">
        <f t="shared" si="16"/>
        <v/>
      </c>
      <c r="D212" s="557" t="str">
        <f t="shared" si="17"/>
        <v/>
      </c>
      <c r="E212" s="560"/>
      <c r="F212" s="559"/>
      <c r="G212" s="559" t="str">
        <f t="shared" si="18"/>
        <v/>
      </c>
      <c r="H212" s="559" t="str">
        <f t="shared" si="19"/>
        <v/>
      </c>
      <c r="I212" s="559" t="str">
        <f t="shared" si="20"/>
        <v/>
      </c>
    </row>
    <row r="213" spans="2:9">
      <c r="B213" s="555" t="str">
        <f t="shared" si="15"/>
        <v/>
      </c>
      <c r="C213" s="556" t="str">
        <f t="shared" si="16"/>
        <v/>
      </c>
      <c r="D213" s="557" t="str">
        <f t="shared" si="17"/>
        <v/>
      </c>
      <c r="E213" s="560"/>
      <c r="F213" s="559"/>
      <c r="G213" s="559" t="str">
        <f t="shared" si="18"/>
        <v/>
      </c>
      <c r="H213" s="559" t="str">
        <f t="shared" si="19"/>
        <v/>
      </c>
      <c r="I213" s="559" t="str">
        <f t="shared" si="20"/>
        <v/>
      </c>
    </row>
    <row r="214" spans="2:9">
      <c r="B214" s="555" t="str">
        <f t="shared" si="15"/>
        <v/>
      </c>
      <c r="C214" s="556" t="str">
        <f t="shared" si="16"/>
        <v/>
      </c>
      <c r="D214" s="557" t="str">
        <f t="shared" si="17"/>
        <v/>
      </c>
      <c r="E214" s="560"/>
      <c r="F214" s="559"/>
      <c r="G214" s="559" t="str">
        <f t="shared" si="18"/>
        <v/>
      </c>
      <c r="H214" s="559" t="str">
        <f t="shared" si="19"/>
        <v/>
      </c>
      <c r="I214" s="559" t="str">
        <f t="shared" si="20"/>
        <v/>
      </c>
    </row>
    <row r="215" spans="2:9">
      <c r="B215" s="555" t="str">
        <f t="shared" si="15"/>
        <v/>
      </c>
      <c r="C215" s="556" t="str">
        <f t="shared" si="16"/>
        <v/>
      </c>
      <c r="D215" s="557" t="str">
        <f t="shared" si="17"/>
        <v/>
      </c>
      <c r="E215" s="560"/>
      <c r="F215" s="559"/>
      <c r="G215" s="559" t="str">
        <f t="shared" si="18"/>
        <v/>
      </c>
      <c r="H215" s="559" t="str">
        <f t="shared" si="19"/>
        <v/>
      </c>
      <c r="I215" s="559" t="str">
        <f t="shared" si="20"/>
        <v/>
      </c>
    </row>
    <row r="216" spans="2:9">
      <c r="B216" s="555" t="str">
        <f t="shared" si="15"/>
        <v/>
      </c>
      <c r="C216" s="556" t="str">
        <f t="shared" si="16"/>
        <v/>
      </c>
      <c r="D216" s="557" t="str">
        <f t="shared" si="17"/>
        <v/>
      </c>
      <c r="E216" s="560"/>
      <c r="F216" s="559"/>
      <c r="G216" s="559" t="str">
        <f t="shared" si="18"/>
        <v/>
      </c>
      <c r="H216" s="559" t="str">
        <f t="shared" si="19"/>
        <v/>
      </c>
      <c r="I216" s="559" t="str">
        <f t="shared" si="20"/>
        <v/>
      </c>
    </row>
    <row r="217" spans="2:9">
      <c r="B217" s="555" t="str">
        <f t="shared" si="15"/>
        <v/>
      </c>
      <c r="C217" s="556" t="str">
        <f t="shared" si="16"/>
        <v/>
      </c>
      <c r="D217" s="557" t="str">
        <f t="shared" si="17"/>
        <v/>
      </c>
      <c r="E217" s="560"/>
      <c r="F217" s="559"/>
      <c r="G217" s="559" t="str">
        <f t="shared" si="18"/>
        <v/>
      </c>
      <c r="H217" s="559" t="str">
        <f t="shared" si="19"/>
        <v/>
      </c>
      <c r="I217" s="559" t="str">
        <f t="shared" si="20"/>
        <v/>
      </c>
    </row>
    <row r="218" spans="2:9">
      <c r="B218" s="555" t="str">
        <f t="shared" si="15"/>
        <v/>
      </c>
      <c r="C218" s="556" t="str">
        <f t="shared" si="16"/>
        <v/>
      </c>
      <c r="D218" s="557" t="str">
        <f t="shared" si="17"/>
        <v/>
      </c>
      <c r="E218" s="560"/>
      <c r="F218" s="559"/>
      <c r="G218" s="559" t="str">
        <f t="shared" si="18"/>
        <v/>
      </c>
      <c r="H218" s="559" t="str">
        <f t="shared" si="19"/>
        <v/>
      </c>
      <c r="I218" s="559" t="str">
        <f t="shared" si="20"/>
        <v/>
      </c>
    </row>
    <row r="219" spans="2:9">
      <c r="B219" s="555" t="str">
        <f t="shared" si="15"/>
        <v/>
      </c>
      <c r="C219" s="556" t="str">
        <f t="shared" si="16"/>
        <v/>
      </c>
      <c r="D219" s="557" t="str">
        <f t="shared" si="17"/>
        <v/>
      </c>
      <c r="E219" s="560"/>
      <c r="F219" s="559"/>
      <c r="G219" s="559" t="str">
        <f t="shared" si="18"/>
        <v/>
      </c>
      <c r="H219" s="559" t="str">
        <f t="shared" si="19"/>
        <v/>
      </c>
      <c r="I219" s="559" t="str">
        <f t="shared" si="20"/>
        <v/>
      </c>
    </row>
    <row r="220" spans="2:9">
      <c r="B220" s="555" t="str">
        <f t="shared" si="15"/>
        <v/>
      </c>
      <c r="C220" s="556" t="str">
        <f t="shared" si="16"/>
        <v/>
      </c>
      <c r="D220" s="557" t="str">
        <f t="shared" si="17"/>
        <v/>
      </c>
      <c r="E220" s="560"/>
      <c r="F220" s="559"/>
      <c r="G220" s="559" t="str">
        <f t="shared" si="18"/>
        <v/>
      </c>
      <c r="H220" s="559" t="str">
        <f t="shared" si="19"/>
        <v/>
      </c>
      <c r="I220" s="559" t="str">
        <f t="shared" si="20"/>
        <v/>
      </c>
    </row>
    <row r="221" spans="2:9">
      <c r="B221" s="555" t="str">
        <f t="shared" si="15"/>
        <v/>
      </c>
      <c r="C221" s="556" t="str">
        <f t="shared" si="16"/>
        <v/>
      </c>
      <c r="D221" s="557" t="str">
        <f t="shared" si="17"/>
        <v/>
      </c>
      <c r="E221" s="560"/>
      <c r="F221" s="559"/>
      <c r="G221" s="559" t="str">
        <f t="shared" si="18"/>
        <v/>
      </c>
      <c r="H221" s="559" t="str">
        <f t="shared" si="19"/>
        <v/>
      </c>
      <c r="I221" s="559" t="str">
        <f t="shared" si="20"/>
        <v/>
      </c>
    </row>
    <row r="222" spans="2:9">
      <c r="B222" s="555" t="str">
        <f t="shared" si="15"/>
        <v/>
      </c>
      <c r="C222" s="556" t="str">
        <f t="shared" si="16"/>
        <v/>
      </c>
      <c r="D222" s="557" t="str">
        <f t="shared" si="17"/>
        <v/>
      </c>
      <c r="E222" s="560"/>
      <c r="F222" s="559"/>
      <c r="G222" s="559" t="str">
        <f t="shared" si="18"/>
        <v/>
      </c>
      <c r="H222" s="559" t="str">
        <f t="shared" si="19"/>
        <v/>
      </c>
      <c r="I222" s="559" t="str">
        <f t="shared" si="20"/>
        <v/>
      </c>
    </row>
    <row r="223" spans="2:9">
      <c r="B223" s="555" t="str">
        <f t="shared" si="15"/>
        <v/>
      </c>
      <c r="C223" s="556" t="str">
        <f t="shared" si="16"/>
        <v/>
      </c>
      <c r="D223" s="557" t="str">
        <f t="shared" si="17"/>
        <v/>
      </c>
      <c r="E223" s="560"/>
      <c r="F223" s="559"/>
      <c r="G223" s="559" t="str">
        <f t="shared" si="18"/>
        <v/>
      </c>
      <c r="H223" s="559" t="str">
        <f t="shared" si="19"/>
        <v/>
      </c>
      <c r="I223" s="559" t="str">
        <f t="shared" si="20"/>
        <v/>
      </c>
    </row>
    <row r="224" spans="2:9">
      <c r="B224" s="555" t="str">
        <f t="shared" si="15"/>
        <v/>
      </c>
      <c r="C224" s="556" t="str">
        <f t="shared" si="16"/>
        <v/>
      </c>
      <c r="D224" s="557" t="str">
        <f t="shared" si="17"/>
        <v/>
      </c>
      <c r="E224" s="560"/>
      <c r="F224" s="559"/>
      <c r="G224" s="559" t="str">
        <f t="shared" si="18"/>
        <v/>
      </c>
      <c r="H224" s="559" t="str">
        <f t="shared" si="19"/>
        <v/>
      </c>
      <c r="I224" s="559" t="str">
        <f t="shared" si="20"/>
        <v/>
      </c>
    </row>
    <row r="225" spans="2:9">
      <c r="B225" s="555" t="str">
        <f t="shared" si="15"/>
        <v/>
      </c>
      <c r="C225" s="556" t="str">
        <f t="shared" si="16"/>
        <v/>
      </c>
      <c r="D225" s="557" t="str">
        <f t="shared" si="17"/>
        <v/>
      </c>
      <c r="E225" s="560"/>
      <c r="F225" s="559"/>
      <c r="G225" s="559" t="str">
        <f t="shared" si="18"/>
        <v/>
      </c>
      <c r="H225" s="559" t="str">
        <f t="shared" si="19"/>
        <v/>
      </c>
      <c r="I225" s="559" t="str">
        <f t="shared" si="20"/>
        <v/>
      </c>
    </row>
    <row r="226" spans="2:9">
      <c r="B226" s="555" t="str">
        <f t="shared" si="15"/>
        <v/>
      </c>
      <c r="C226" s="556" t="str">
        <f t="shared" si="16"/>
        <v/>
      </c>
      <c r="D226" s="557" t="str">
        <f t="shared" si="17"/>
        <v/>
      </c>
      <c r="E226" s="560"/>
      <c r="F226" s="559"/>
      <c r="G226" s="559" t="str">
        <f t="shared" si="18"/>
        <v/>
      </c>
      <c r="H226" s="559" t="str">
        <f t="shared" si="19"/>
        <v/>
      </c>
      <c r="I226" s="559" t="str">
        <f t="shared" si="20"/>
        <v/>
      </c>
    </row>
    <row r="227" spans="2:9">
      <c r="B227" s="555" t="str">
        <f t="shared" si="15"/>
        <v/>
      </c>
      <c r="C227" s="556" t="str">
        <f t="shared" si="16"/>
        <v/>
      </c>
      <c r="D227" s="557" t="str">
        <f t="shared" si="17"/>
        <v/>
      </c>
      <c r="E227" s="560"/>
      <c r="F227" s="559"/>
      <c r="G227" s="559" t="str">
        <f t="shared" si="18"/>
        <v/>
      </c>
      <c r="H227" s="559" t="str">
        <f t="shared" si="19"/>
        <v/>
      </c>
      <c r="I227" s="559" t="str">
        <f t="shared" si="20"/>
        <v/>
      </c>
    </row>
    <row r="228" spans="2:9">
      <c r="B228" s="555" t="str">
        <f t="shared" si="15"/>
        <v/>
      </c>
      <c r="C228" s="556" t="str">
        <f t="shared" si="16"/>
        <v/>
      </c>
      <c r="D228" s="557" t="str">
        <f t="shared" si="17"/>
        <v/>
      </c>
      <c r="E228" s="560"/>
      <c r="F228" s="559"/>
      <c r="G228" s="559" t="str">
        <f t="shared" si="18"/>
        <v/>
      </c>
      <c r="H228" s="559" t="str">
        <f t="shared" si="19"/>
        <v/>
      </c>
      <c r="I228" s="559" t="str">
        <f t="shared" si="20"/>
        <v/>
      </c>
    </row>
    <row r="229" spans="2:9">
      <c r="B229" s="555" t="str">
        <f t="shared" si="15"/>
        <v/>
      </c>
      <c r="C229" s="556" t="str">
        <f t="shared" si="16"/>
        <v/>
      </c>
      <c r="D229" s="557" t="str">
        <f t="shared" si="17"/>
        <v/>
      </c>
      <c r="E229" s="560"/>
      <c r="F229" s="559"/>
      <c r="G229" s="559" t="str">
        <f t="shared" si="18"/>
        <v/>
      </c>
      <c r="H229" s="559" t="str">
        <f t="shared" si="19"/>
        <v/>
      </c>
      <c r="I229" s="559" t="str">
        <f t="shared" si="20"/>
        <v/>
      </c>
    </row>
    <row r="230" spans="2:9">
      <c r="B230" s="555" t="str">
        <f t="shared" si="15"/>
        <v/>
      </c>
      <c r="C230" s="556" t="str">
        <f t="shared" si="16"/>
        <v/>
      </c>
      <c r="D230" s="557" t="str">
        <f t="shared" si="17"/>
        <v/>
      </c>
      <c r="E230" s="560"/>
      <c r="F230" s="559"/>
      <c r="G230" s="559" t="str">
        <f t="shared" si="18"/>
        <v/>
      </c>
      <c r="H230" s="559" t="str">
        <f t="shared" si="19"/>
        <v/>
      </c>
      <c r="I230" s="559" t="str">
        <f t="shared" si="20"/>
        <v/>
      </c>
    </row>
    <row r="231" spans="2:9">
      <c r="B231" s="555" t="str">
        <f t="shared" si="15"/>
        <v/>
      </c>
      <c r="C231" s="556" t="str">
        <f t="shared" si="16"/>
        <v/>
      </c>
      <c r="D231" s="557" t="str">
        <f t="shared" si="17"/>
        <v/>
      </c>
      <c r="E231" s="560"/>
      <c r="F231" s="559"/>
      <c r="G231" s="559" t="str">
        <f t="shared" si="18"/>
        <v/>
      </c>
      <c r="H231" s="559" t="str">
        <f t="shared" si="19"/>
        <v/>
      </c>
      <c r="I231" s="559" t="str">
        <f t="shared" si="20"/>
        <v/>
      </c>
    </row>
    <row r="232" spans="2:9">
      <c r="B232" s="555" t="str">
        <f t="shared" si="15"/>
        <v/>
      </c>
      <c r="C232" s="556" t="str">
        <f t="shared" si="16"/>
        <v/>
      </c>
      <c r="D232" s="557" t="str">
        <f t="shared" si="17"/>
        <v/>
      </c>
      <c r="E232" s="560"/>
      <c r="F232" s="559"/>
      <c r="G232" s="559" t="str">
        <f t="shared" si="18"/>
        <v/>
      </c>
      <c r="H232" s="559" t="str">
        <f t="shared" si="19"/>
        <v/>
      </c>
      <c r="I232" s="559" t="str">
        <f t="shared" si="20"/>
        <v/>
      </c>
    </row>
    <row r="233" spans="2:9">
      <c r="B233" s="555" t="str">
        <f t="shared" si="15"/>
        <v/>
      </c>
      <c r="C233" s="556" t="str">
        <f t="shared" si="16"/>
        <v/>
      </c>
      <c r="D233" s="557" t="str">
        <f t="shared" si="17"/>
        <v/>
      </c>
      <c r="E233" s="560"/>
      <c r="F233" s="559"/>
      <c r="G233" s="559" t="str">
        <f t="shared" si="18"/>
        <v/>
      </c>
      <c r="H233" s="559" t="str">
        <f t="shared" si="19"/>
        <v/>
      </c>
      <c r="I233" s="559" t="str">
        <f t="shared" si="20"/>
        <v/>
      </c>
    </row>
    <row r="234" spans="2:9">
      <c r="B234" s="555" t="str">
        <f t="shared" si="15"/>
        <v/>
      </c>
      <c r="C234" s="556" t="str">
        <f t="shared" si="16"/>
        <v/>
      </c>
      <c r="D234" s="557" t="str">
        <f t="shared" si="17"/>
        <v/>
      </c>
      <c r="E234" s="560"/>
      <c r="F234" s="559"/>
      <c r="G234" s="559" t="str">
        <f t="shared" si="18"/>
        <v/>
      </c>
      <c r="H234" s="559" t="str">
        <f t="shared" si="19"/>
        <v/>
      </c>
      <c r="I234" s="559" t="str">
        <f t="shared" si="20"/>
        <v/>
      </c>
    </row>
    <row r="235" spans="2:9">
      <c r="B235" s="555" t="str">
        <f t="shared" si="15"/>
        <v/>
      </c>
      <c r="C235" s="556" t="str">
        <f t="shared" si="16"/>
        <v/>
      </c>
      <c r="D235" s="557" t="str">
        <f t="shared" si="17"/>
        <v/>
      </c>
      <c r="E235" s="560"/>
      <c r="F235" s="559"/>
      <c r="G235" s="559" t="str">
        <f t="shared" si="18"/>
        <v/>
      </c>
      <c r="H235" s="559" t="str">
        <f t="shared" si="19"/>
        <v/>
      </c>
      <c r="I235" s="559" t="str">
        <f t="shared" si="20"/>
        <v/>
      </c>
    </row>
    <row r="236" spans="2:9">
      <c r="B236" s="555" t="str">
        <f t="shared" si="15"/>
        <v/>
      </c>
      <c r="C236" s="556" t="str">
        <f t="shared" si="16"/>
        <v/>
      </c>
      <c r="D236" s="557" t="str">
        <f t="shared" si="17"/>
        <v/>
      </c>
      <c r="E236" s="560"/>
      <c r="F236" s="559"/>
      <c r="G236" s="559" t="str">
        <f t="shared" si="18"/>
        <v/>
      </c>
      <c r="H236" s="559" t="str">
        <f t="shared" si="19"/>
        <v/>
      </c>
      <c r="I236" s="559" t="str">
        <f t="shared" si="20"/>
        <v/>
      </c>
    </row>
    <row r="237" spans="2:9">
      <c r="B237" s="555" t="str">
        <f t="shared" si="15"/>
        <v/>
      </c>
      <c r="C237" s="556" t="str">
        <f t="shared" si="16"/>
        <v/>
      </c>
      <c r="D237" s="557" t="str">
        <f t="shared" si="17"/>
        <v/>
      </c>
      <c r="E237" s="560"/>
      <c r="F237" s="559"/>
      <c r="G237" s="559" t="str">
        <f t="shared" si="18"/>
        <v/>
      </c>
      <c r="H237" s="559" t="str">
        <f t="shared" si="19"/>
        <v/>
      </c>
      <c r="I237" s="559" t="str">
        <f t="shared" si="20"/>
        <v/>
      </c>
    </row>
    <row r="238" spans="2:9">
      <c r="B238" s="555" t="str">
        <f t="shared" si="15"/>
        <v/>
      </c>
      <c r="C238" s="556" t="str">
        <f t="shared" si="16"/>
        <v/>
      </c>
      <c r="D238" s="557" t="str">
        <f t="shared" si="17"/>
        <v/>
      </c>
      <c r="E238" s="560"/>
      <c r="F238" s="559"/>
      <c r="G238" s="559" t="str">
        <f t="shared" si="18"/>
        <v/>
      </c>
      <c r="H238" s="559" t="str">
        <f t="shared" si="19"/>
        <v/>
      </c>
      <c r="I238" s="559" t="str">
        <f t="shared" si="20"/>
        <v/>
      </c>
    </row>
    <row r="239" spans="2:9">
      <c r="B239" s="555" t="str">
        <f t="shared" si="15"/>
        <v/>
      </c>
      <c r="C239" s="556" t="str">
        <f t="shared" si="16"/>
        <v/>
      </c>
      <c r="D239" s="557" t="str">
        <f t="shared" si="17"/>
        <v/>
      </c>
      <c r="E239" s="560"/>
      <c r="F239" s="559"/>
      <c r="G239" s="559" t="str">
        <f t="shared" si="18"/>
        <v/>
      </c>
      <c r="H239" s="559" t="str">
        <f t="shared" si="19"/>
        <v/>
      </c>
      <c r="I239" s="559" t="str">
        <f t="shared" si="20"/>
        <v/>
      </c>
    </row>
    <row r="240" spans="2:9">
      <c r="B240" s="555" t="str">
        <f t="shared" si="15"/>
        <v/>
      </c>
      <c r="C240" s="556" t="str">
        <f t="shared" si="16"/>
        <v/>
      </c>
      <c r="D240" s="557" t="str">
        <f t="shared" si="17"/>
        <v/>
      </c>
      <c r="E240" s="560"/>
      <c r="F240" s="559"/>
      <c r="G240" s="559" t="str">
        <f t="shared" si="18"/>
        <v/>
      </c>
      <c r="H240" s="559" t="str">
        <f t="shared" si="19"/>
        <v/>
      </c>
      <c r="I240" s="559" t="str">
        <f t="shared" si="20"/>
        <v/>
      </c>
    </row>
    <row r="241" spans="2:9">
      <c r="B241" s="555" t="str">
        <f t="shared" si="15"/>
        <v/>
      </c>
      <c r="C241" s="556" t="str">
        <f t="shared" si="16"/>
        <v/>
      </c>
      <c r="D241" s="557" t="str">
        <f t="shared" si="17"/>
        <v/>
      </c>
      <c r="E241" s="560"/>
      <c r="F241" s="559"/>
      <c r="G241" s="559" t="str">
        <f t="shared" si="18"/>
        <v/>
      </c>
      <c r="H241" s="559" t="str">
        <f t="shared" si="19"/>
        <v/>
      </c>
      <c r="I241" s="559" t="str">
        <f t="shared" si="20"/>
        <v/>
      </c>
    </row>
    <row r="242" spans="2:9">
      <c r="B242" s="555" t="str">
        <f t="shared" si="15"/>
        <v/>
      </c>
      <c r="C242" s="556" t="str">
        <f t="shared" si="16"/>
        <v/>
      </c>
      <c r="D242" s="557" t="str">
        <f t="shared" si="17"/>
        <v/>
      </c>
      <c r="E242" s="560"/>
      <c r="F242" s="559"/>
      <c r="G242" s="559" t="str">
        <f t="shared" si="18"/>
        <v/>
      </c>
      <c r="H242" s="559" t="str">
        <f t="shared" si="19"/>
        <v/>
      </c>
      <c r="I242" s="559" t="str">
        <f t="shared" si="20"/>
        <v/>
      </c>
    </row>
    <row r="243" spans="2:9">
      <c r="B243" s="555" t="str">
        <f t="shared" si="15"/>
        <v/>
      </c>
      <c r="C243" s="556" t="str">
        <f t="shared" si="16"/>
        <v/>
      </c>
      <c r="D243" s="557" t="str">
        <f t="shared" si="17"/>
        <v/>
      </c>
      <c r="E243" s="560"/>
      <c r="F243" s="559"/>
      <c r="G243" s="559" t="str">
        <f t="shared" si="18"/>
        <v/>
      </c>
      <c r="H243" s="559" t="str">
        <f t="shared" si="19"/>
        <v/>
      </c>
      <c r="I243" s="559" t="str">
        <f t="shared" si="20"/>
        <v/>
      </c>
    </row>
    <row r="244" spans="2:9">
      <c r="B244" s="555" t="str">
        <f t="shared" si="15"/>
        <v/>
      </c>
      <c r="C244" s="556" t="str">
        <f t="shared" si="16"/>
        <v/>
      </c>
      <c r="D244" s="557" t="str">
        <f t="shared" si="17"/>
        <v/>
      </c>
      <c r="E244" s="560"/>
      <c r="F244" s="559"/>
      <c r="G244" s="559" t="str">
        <f t="shared" si="18"/>
        <v/>
      </c>
      <c r="H244" s="559" t="str">
        <f t="shared" si="19"/>
        <v/>
      </c>
      <c r="I244" s="559" t="str">
        <f t="shared" si="20"/>
        <v/>
      </c>
    </row>
    <row r="245" spans="2:9">
      <c r="B245" s="555" t="str">
        <f t="shared" si="15"/>
        <v/>
      </c>
      <c r="C245" s="556" t="str">
        <f t="shared" si="16"/>
        <v/>
      </c>
      <c r="D245" s="557" t="str">
        <f t="shared" si="17"/>
        <v/>
      </c>
      <c r="E245" s="560"/>
      <c r="F245" s="559"/>
      <c r="G245" s="559" t="str">
        <f t="shared" si="18"/>
        <v/>
      </c>
      <c r="H245" s="559" t="str">
        <f t="shared" si="19"/>
        <v/>
      </c>
      <c r="I245" s="559" t="str">
        <f t="shared" si="20"/>
        <v/>
      </c>
    </row>
    <row r="246" spans="2:9">
      <c r="B246" s="555" t="str">
        <f t="shared" si="15"/>
        <v/>
      </c>
      <c r="C246" s="556" t="str">
        <f t="shared" si="16"/>
        <v/>
      </c>
      <c r="D246" s="557" t="str">
        <f t="shared" si="17"/>
        <v/>
      </c>
      <c r="E246" s="560"/>
      <c r="F246" s="559"/>
      <c r="G246" s="559" t="str">
        <f t="shared" si="18"/>
        <v/>
      </c>
      <c r="H246" s="559" t="str">
        <f t="shared" si="19"/>
        <v/>
      </c>
      <c r="I246" s="559" t="str">
        <f t="shared" si="20"/>
        <v/>
      </c>
    </row>
    <row r="247" spans="2:9">
      <c r="B247" s="555" t="str">
        <f t="shared" si="15"/>
        <v/>
      </c>
      <c r="C247" s="556" t="str">
        <f t="shared" si="16"/>
        <v/>
      </c>
      <c r="D247" s="557" t="str">
        <f t="shared" si="17"/>
        <v/>
      </c>
      <c r="E247" s="560"/>
      <c r="F247" s="559"/>
      <c r="G247" s="559" t="str">
        <f t="shared" si="18"/>
        <v/>
      </c>
      <c r="H247" s="559" t="str">
        <f t="shared" si="19"/>
        <v/>
      </c>
      <c r="I247" s="559" t="str">
        <f t="shared" si="20"/>
        <v/>
      </c>
    </row>
    <row r="248" spans="2:9">
      <c r="B248" s="555" t="str">
        <f t="shared" si="15"/>
        <v/>
      </c>
      <c r="C248" s="556" t="str">
        <f t="shared" si="16"/>
        <v/>
      </c>
      <c r="D248" s="557" t="str">
        <f t="shared" si="17"/>
        <v/>
      </c>
      <c r="E248" s="560"/>
      <c r="F248" s="559"/>
      <c r="G248" s="559" t="str">
        <f t="shared" si="18"/>
        <v/>
      </c>
      <c r="H248" s="559" t="str">
        <f t="shared" si="19"/>
        <v/>
      </c>
      <c r="I248" s="559" t="str">
        <f t="shared" si="20"/>
        <v/>
      </c>
    </row>
    <row r="249" spans="2:9">
      <c r="B249" s="555" t="str">
        <f t="shared" si="15"/>
        <v/>
      </c>
      <c r="C249" s="556" t="str">
        <f t="shared" si="16"/>
        <v/>
      </c>
      <c r="D249" s="557" t="str">
        <f t="shared" si="17"/>
        <v/>
      </c>
      <c r="E249" s="560"/>
      <c r="F249" s="559"/>
      <c r="G249" s="559" t="str">
        <f t="shared" si="18"/>
        <v/>
      </c>
      <c r="H249" s="559" t="str">
        <f t="shared" si="19"/>
        <v/>
      </c>
      <c r="I249" s="559" t="str">
        <f t="shared" si="20"/>
        <v/>
      </c>
    </row>
    <row r="250" spans="2:9">
      <c r="B250" s="555" t="str">
        <f t="shared" si="15"/>
        <v/>
      </c>
      <c r="C250" s="556" t="str">
        <f t="shared" si="16"/>
        <v/>
      </c>
      <c r="D250" s="557" t="str">
        <f t="shared" si="17"/>
        <v/>
      </c>
      <c r="E250" s="560"/>
      <c r="F250" s="559"/>
      <c r="G250" s="559" t="str">
        <f t="shared" si="18"/>
        <v/>
      </c>
      <c r="H250" s="559" t="str">
        <f t="shared" si="19"/>
        <v/>
      </c>
      <c r="I250" s="559" t="str">
        <f t="shared" si="20"/>
        <v/>
      </c>
    </row>
    <row r="251" spans="2:9">
      <c r="B251" s="555" t="str">
        <f t="shared" si="15"/>
        <v/>
      </c>
      <c r="C251" s="556" t="str">
        <f t="shared" si="16"/>
        <v/>
      </c>
      <c r="D251" s="557" t="str">
        <f t="shared" si="17"/>
        <v/>
      </c>
      <c r="E251" s="560"/>
      <c r="F251" s="559"/>
      <c r="G251" s="559" t="str">
        <f t="shared" si="18"/>
        <v/>
      </c>
      <c r="H251" s="559" t="str">
        <f t="shared" si="19"/>
        <v/>
      </c>
      <c r="I251" s="559" t="str">
        <f t="shared" si="20"/>
        <v/>
      </c>
    </row>
    <row r="252" spans="2:9">
      <c r="B252" s="555" t="str">
        <f t="shared" si="15"/>
        <v/>
      </c>
      <c r="C252" s="556" t="str">
        <f t="shared" si="16"/>
        <v/>
      </c>
      <c r="D252" s="557" t="str">
        <f t="shared" si="17"/>
        <v/>
      </c>
      <c r="E252" s="560"/>
      <c r="F252" s="559"/>
      <c r="G252" s="559" t="str">
        <f t="shared" si="18"/>
        <v/>
      </c>
      <c r="H252" s="559" t="str">
        <f t="shared" si="19"/>
        <v/>
      </c>
      <c r="I252" s="559" t="str">
        <f t="shared" si="20"/>
        <v/>
      </c>
    </row>
    <row r="253" spans="2:9">
      <c r="B253" s="555" t="str">
        <f t="shared" ref="B253:B316" si="21">IF(I252="","",IF(roundOpt,IF(OR(B252&gt;=nper,ROUND(I252,2)&lt;=0),"",B252+1),IF(OR(B252&gt;=nper,I252&lt;=0),"",B252+1)))</f>
        <v/>
      </c>
      <c r="C253" s="556" t="str">
        <f t="shared" ref="C253:C316" si="22">IF(B253="","",IF(OR(periods_per_year=26,periods_per_year=52),IF(periods_per_year=26,IF(B253=1,fpdate,C252+14),IF(periods_per_year=52,IF(B253=1,fpdate,C252+7),"n/a")),IF(periods_per_year=24,DATE(YEAR(fpdate),MONTH(fpdate)+(B253-1)/2+IF(AND(DAY(fpdate)&gt;=15,MOD(B253,2)=0),1,0),IF(MOD(B253,2)=0,IF(DAY(fpdate)&gt;=15,DAY(fpdate)-14,DAY(fpdate)+14),DAY(fpdate))),IF(DAY(DATE(YEAR(fpdate),MONTH(fpdate)+(B253-1)*months_per_period,DAY(fpdate)))&lt;&gt;DAY(fpdate),DATE(YEAR(fpdate),MONTH(fpdate)+(B253-1)*months_per_period+1,0),DATE(YEAR(fpdate),MONTH(fpdate)+(B253-1)*months_per_period,DAY(fpdate))))))</f>
        <v/>
      </c>
      <c r="D253" s="557" t="str">
        <f t="shared" ref="D253:D316" si="23">IF(B253="","",IF(roundOpt,IF(OR(B253=nper,payment&gt;ROUND((1+rate)*I252,2)),ROUND((1+rate)*I252,2),payment),IF(OR(B253=nper,payment&gt;(1+rate)*I252),(1+rate)*I252,payment)))</f>
        <v/>
      </c>
      <c r="E253" s="560"/>
      <c r="F253" s="559"/>
      <c r="G253" s="559" t="str">
        <f t="shared" ref="G253:G316" si="24">IF(B253="","",IF(AND(B253=1,pmtType=1),0,IF(roundOpt,ROUND(rate*I252,2),rate*I252)))</f>
        <v/>
      </c>
      <c r="H253" s="559" t="str">
        <f t="shared" ref="H253:H316" si="25">IF(B253="","",D253-G253+E253)</f>
        <v/>
      </c>
      <c r="I253" s="559" t="str">
        <f t="shared" ref="I253:I316" si="26">IF(B253="","",I252-H253)</f>
        <v/>
      </c>
    </row>
    <row r="254" spans="2:9">
      <c r="B254" s="555" t="str">
        <f t="shared" si="21"/>
        <v/>
      </c>
      <c r="C254" s="556" t="str">
        <f t="shared" si="22"/>
        <v/>
      </c>
      <c r="D254" s="557" t="str">
        <f t="shared" si="23"/>
        <v/>
      </c>
      <c r="E254" s="560"/>
      <c r="F254" s="559"/>
      <c r="G254" s="559" t="str">
        <f t="shared" si="24"/>
        <v/>
      </c>
      <c r="H254" s="559" t="str">
        <f t="shared" si="25"/>
        <v/>
      </c>
      <c r="I254" s="559" t="str">
        <f t="shared" si="26"/>
        <v/>
      </c>
    </row>
    <row r="255" spans="2:9">
      <c r="B255" s="555" t="str">
        <f t="shared" si="21"/>
        <v/>
      </c>
      <c r="C255" s="556" t="str">
        <f t="shared" si="22"/>
        <v/>
      </c>
      <c r="D255" s="557" t="str">
        <f t="shared" si="23"/>
        <v/>
      </c>
      <c r="E255" s="560"/>
      <c r="F255" s="559"/>
      <c r="G255" s="559" t="str">
        <f t="shared" si="24"/>
        <v/>
      </c>
      <c r="H255" s="559" t="str">
        <f t="shared" si="25"/>
        <v/>
      </c>
      <c r="I255" s="559" t="str">
        <f t="shared" si="26"/>
        <v/>
      </c>
    </row>
    <row r="256" spans="2:9">
      <c r="B256" s="555" t="str">
        <f t="shared" si="21"/>
        <v/>
      </c>
      <c r="C256" s="556" t="str">
        <f t="shared" si="22"/>
        <v/>
      </c>
      <c r="D256" s="557" t="str">
        <f t="shared" si="23"/>
        <v/>
      </c>
      <c r="E256" s="560"/>
      <c r="F256" s="559"/>
      <c r="G256" s="559" t="str">
        <f t="shared" si="24"/>
        <v/>
      </c>
      <c r="H256" s="559" t="str">
        <f t="shared" si="25"/>
        <v/>
      </c>
      <c r="I256" s="559" t="str">
        <f t="shared" si="26"/>
        <v/>
      </c>
    </row>
    <row r="257" spans="2:9">
      <c r="B257" s="555" t="str">
        <f t="shared" si="21"/>
        <v/>
      </c>
      <c r="C257" s="556" t="str">
        <f t="shared" si="22"/>
        <v/>
      </c>
      <c r="D257" s="557" t="str">
        <f t="shared" si="23"/>
        <v/>
      </c>
      <c r="E257" s="560"/>
      <c r="F257" s="559"/>
      <c r="G257" s="559" t="str">
        <f t="shared" si="24"/>
        <v/>
      </c>
      <c r="H257" s="559" t="str">
        <f t="shared" si="25"/>
        <v/>
      </c>
      <c r="I257" s="559" t="str">
        <f t="shared" si="26"/>
        <v/>
      </c>
    </row>
    <row r="258" spans="2:9">
      <c r="B258" s="555" t="str">
        <f t="shared" si="21"/>
        <v/>
      </c>
      <c r="C258" s="556" t="str">
        <f t="shared" si="22"/>
        <v/>
      </c>
      <c r="D258" s="557" t="str">
        <f t="shared" si="23"/>
        <v/>
      </c>
      <c r="E258" s="560"/>
      <c r="F258" s="559"/>
      <c r="G258" s="559" t="str">
        <f t="shared" si="24"/>
        <v/>
      </c>
      <c r="H258" s="559" t="str">
        <f t="shared" si="25"/>
        <v/>
      </c>
      <c r="I258" s="559" t="str">
        <f t="shared" si="26"/>
        <v/>
      </c>
    </row>
    <row r="259" spans="2:9">
      <c r="B259" s="555" t="str">
        <f t="shared" si="21"/>
        <v/>
      </c>
      <c r="C259" s="556" t="str">
        <f t="shared" si="22"/>
        <v/>
      </c>
      <c r="D259" s="557" t="str">
        <f t="shared" si="23"/>
        <v/>
      </c>
      <c r="E259" s="560"/>
      <c r="F259" s="559"/>
      <c r="G259" s="559" t="str">
        <f t="shared" si="24"/>
        <v/>
      </c>
      <c r="H259" s="559" t="str">
        <f t="shared" si="25"/>
        <v/>
      </c>
      <c r="I259" s="559" t="str">
        <f t="shared" si="26"/>
        <v/>
      </c>
    </row>
    <row r="260" spans="2:9">
      <c r="B260" s="555" t="str">
        <f t="shared" si="21"/>
        <v/>
      </c>
      <c r="C260" s="556" t="str">
        <f t="shared" si="22"/>
        <v/>
      </c>
      <c r="D260" s="557" t="str">
        <f t="shared" si="23"/>
        <v/>
      </c>
      <c r="E260" s="560"/>
      <c r="F260" s="559"/>
      <c r="G260" s="559" t="str">
        <f t="shared" si="24"/>
        <v/>
      </c>
      <c r="H260" s="559" t="str">
        <f t="shared" si="25"/>
        <v/>
      </c>
      <c r="I260" s="559" t="str">
        <f t="shared" si="26"/>
        <v/>
      </c>
    </row>
    <row r="261" spans="2:9">
      <c r="B261" s="555" t="str">
        <f t="shared" si="21"/>
        <v/>
      </c>
      <c r="C261" s="556" t="str">
        <f t="shared" si="22"/>
        <v/>
      </c>
      <c r="D261" s="557" t="str">
        <f t="shared" si="23"/>
        <v/>
      </c>
      <c r="E261" s="560"/>
      <c r="F261" s="559"/>
      <c r="G261" s="559" t="str">
        <f t="shared" si="24"/>
        <v/>
      </c>
      <c r="H261" s="559" t="str">
        <f t="shared" si="25"/>
        <v/>
      </c>
      <c r="I261" s="559" t="str">
        <f t="shared" si="26"/>
        <v/>
      </c>
    </row>
    <row r="262" spans="2:9">
      <c r="B262" s="555" t="str">
        <f t="shared" si="21"/>
        <v/>
      </c>
      <c r="C262" s="556" t="str">
        <f t="shared" si="22"/>
        <v/>
      </c>
      <c r="D262" s="557" t="str">
        <f t="shared" si="23"/>
        <v/>
      </c>
      <c r="E262" s="560"/>
      <c r="F262" s="559"/>
      <c r="G262" s="559" t="str">
        <f t="shared" si="24"/>
        <v/>
      </c>
      <c r="H262" s="559" t="str">
        <f t="shared" si="25"/>
        <v/>
      </c>
      <c r="I262" s="559" t="str">
        <f t="shared" si="26"/>
        <v/>
      </c>
    </row>
    <row r="263" spans="2:9">
      <c r="B263" s="555" t="str">
        <f t="shared" si="21"/>
        <v/>
      </c>
      <c r="C263" s="556" t="str">
        <f t="shared" si="22"/>
        <v/>
      </c>
      <c r="D263" s="557" t="str">
        <f t="shared" si="23"/>
        <v/>
      </c>
      <c r="E263" s="560"/>
      <c r="F263" s="559"/>
      <c r="G263" s="559" t="str">
        <f t="shared" si="24"/>
        <v/>
      </c>
      <c r="H263" s="559" t="str">
        <f t="shared" si="25"/>
        <v/>
      </c>
      <c r="I263" s="559" t="str">
        <f t="shared" si="26"/>
        <v/>
      </c>
    </row>
    <row r="264" spans="2:9">
      <c r="B264" s="555" t="str">
        <f t="shared" si="21"/>
        <v/>
      </c>
      <c r="C264" s="556" t="str">
        <f t="shared" si="22"/>
        <v/>
      </c>
      <c r="D264" s="557" t="str">
        <f t="shared" si="23"/>
        <v/>
      </c>
      <c r="E264" s="560"/>
      <c r="F264" s="559"/>
      <c r="G264" s="559" t="str">
        <f t="shared" si="24"/>
        <v/>
      </c>
      <c r="H264" s="559" t="str">
        <f t="shared" si="25"/>
        <v/>
      </c>
      <c r="I264" s="559" t="str">
        <f t="shared" si="26"/>
        <v/>
      </c>
    </row>
    <row r="265" spans="2:9">
      <c r="B265" s="555" t="str">
        <f t="shared" si="21"/>
        <v/>
      </c>
      <c r="C265" s="556" t="str">
        <f t="shared" si="22"/>
        <v/>
      </c>
      <c r="D265" s="557" t="str">
        <f t="shared" si="23"/>
        <v/>
      </c>
      <c r="E265" s="560"/>
      <c r="F265" s="559"/>
      <c r="G265" s="559" t="str">
        <f t="shared" si="24"/>
        <v/>
      </c>
      <c r="H265" s="559" t="str">
        <f t="shared" si="25"/>
        <v/>
      </c>
      <c r="I265" s="559" t="str">
        <f t="shared" si="26"/>
        <v/>
      </c>
    </row>
    <row r="266" spans="2:9">
      <c r="B266" s="555" t="str">
        <f t="shared" si="21"/>
        <v/>
      </c>
      <c r="C266" s="556" t="str">
        <f t="shared" si="22"/>
        <v/>
      </c>
      <c r="D266" s="557" t="str">
        <f t="shared" si="23"/>
        <v/>
      </c>
      <c r="E266" s="560"/>
      <c r="F266" s="559"/>
      <c r="G266" s="559" t="str">
        <f t="shared" si="24"/>
        <v/>
      </c>
      <c r="H266" s="559" t="str">
        <f t="shared" si="25"/>
        <v/>
      </c>
      <c r="I266" s="559" t="str">
        <f t="shared" si="26"/>
        <v/>
      </c>
    </row>
    <row r="267" spans="2:9">
      <c r="B267" s="555" t="str">
        <f t="shared" si="21"/>
        <v/>
      </c>
      <c r="C267" s="556" t="str">
        <f t="shared" si="22"/>
        <v/>
      </c>
      <c r="D267" s="557" t="str">
        <f t="shared" si="23"/>
        <v/>
      </c>
      <c r="E267" s="560"/>
      <c r="F267" s="559"/>
      <c r="G267" s="559" t="str">
        <f t="shared" si="24"/>
        <v/>
      </c>
      <c r="H267" s="559" t="str">
        <f t="shared" si="25"/>
        <v/>
      </c>
      <c r="I267" s="559" t="str">
        <f t="shared" si="26"/>
        <v/>
      </c>
    </row>
    <row r="268" spans="2:9">
      <c r="B268" s="555" t="str">
        <f t="shared" si="21"/>
        <v/>
      </c>
      <c r="C268" s="556" t="str">
        <f t="shared" si="22"/>
        <v/>
      </c>
      <c r="D268" s="557" t="str">
        <f t="shared" si="23"/>
        <v/>
      </c>
      <c r="E268" s="560"/>
      <c r="F268" s="559"/>
      <c r="G268" s="559" t="str">
        <f t="shared" si="24"/>
        <v/>
      </c>
      <c r="H268" s="559" t="str">
        <f t="shared" si="25"/>
        <v/>
      </c>
      <c r="I268" s="559" t="str">
        <f t="shared" si="26"/>
        <v/>
      </c>
    </row>
    <row r="269" spans="2:9">
      <c r="B269" s="555" t="str">
        <f t="shared" si="21"/>
        <v/>
      </c>
      <c r="C269" s="556" t="str">
        <f t="shared" si="22"/>
        <v/>
      </c>
      <c r="D269" s="557" t="str">
        <f t="shared" si="23"/>
        <v/>
      </c>
      <c r="E269" s="560"/>
      <c r="F269" s="559"/>
      <c r="G269" s="559" t="str">
        <f t="shared" si="24"/>
        <v/>
      </c>
      <c r="H269" s="559" t="str">
        <f t="shared" si="25"/>
        <v/>
      </c>
      <c r="I269" s="559" t="str">
        <f t="shared" si="26"/>
        <v/>
      </c>
    </row>
    <row r="270" spans="2:9">
      <c r="B270" s="555" t="str">
        <f t="shared" si="21"/>
        <v/>
      </c>
      <c r="C270" s="556" t="str">
        <f t="shared" si="22"/>
        <v/>
      </c>
      <c r="D270" s="557" t="str">
        <f t="shared" si="23"/>
        <v/>
      </c>
      <c r="E270" s="560"/>
      <c r="F270" s="559"/>
      <c r="G270" s="559" t="str">
        <f t="shared" si="24"/>
        <v/>
      </c>
      <c r="H270" s="559" t="str">
        <f t="shared" si="25"/>
        <v/>
      </c>
      <c r="I270" s="559" t="str">
        <f t="shared" si="26"/>
        <v/>
      </c>
    </row>
    <row r="271" spans="2:9">
      <c r="B271" s="555" t="str">
        <f t="shared" si="21"/>
        <v/>
      </c>
      <c r="C271" s="556" t="str">
        <f t="shared" si="22"/>
        <v/>
      </c>
      <c r="D271" s="557" t="str">
        <f t="shared" si="23"/>
        <v/>
      </c>
      <c r="E271" s="560"/>
      <c r="F271" s="559"/>
      <c r="G271" s="559" t="str">
        <f t="shared" si="24"/>
        <v/>
      </c>
      <c r="H271" s="559" t="str">
        <f t="shared" si="25"/>
        <v/>
      </c>
      <c r="I271" s="559" t="str">
        <f t="shared" si="26"/>
        <v/>
      </c>
    </row>
    <row r="272" spans="2:9">
      <c r="B272" s="555" t="str">
        <f t="shared" si="21"/>
        <v/>
      </c>
      <c r="C272" s="556" t="str">
        <f t="shared" si="22"/>
        <v/>
      </c>
      <c r="D272" s="557" t="str">
        <f t="shared" si="23"/>
        <v/>
      </c>
      <c r="E272" s="560"/>
      <c r="F272" s="559"/>
      <c r="G272" s="559" t="str">
        <f t="shared" si="24"/>
        <v/>
      </c>
      <c r="H272" s="559" t="str">
        <f t="shared" si="25"/>
        <v/>
      </c>
      <c r="I272" s="559" t="str">
        <f t="shared" si="26"/>
        <v/>
      </c>
    </row>
    <row r="273" spans="2:9">
      <c r="B273" s="555" t="str">
        <f t="shared" si="21"/>
        <v/>
      </c>
      <c r="C273" s="556" t="str">
        <f t="shared" si="22"/>
        <v/>
      </c>
      <c r="D273" s="557" t="str">
        <f t="shared" si="23"/>
        <v/>
      </c>
      <c r="E273" s="560"/>
      <c r="F273" s="559"/>
      <c r="G273" s="559" t="str">
        <f t="shared" si="24"/>
        <v/>
      </c>
      <c r="H273" s="559" t="str">
        <f t="shared" si="25"/>
        <v/>
      </c>
      <c r="I273" s="559" t="str">
        <f t="shared" si="26"/>
        <v/>
      </c>
    </row>
    <row r="274" spans="2:9">
      <c r="B274" s="555" t="str">
        <f t="shared" si="21"/>
        <v/>
      </c>
      <c r="C274" s="556" t="str">
        <f t="shared" si="22"/>
        <v/>
      </c>
      <c r="D274" s="557" t="str">
        <f t="shared" si="23"/>
        <v/>
      </c>
      <c r="E274" s="560"/>
      <c r="F274" s="559"/>
      <c r="G274" s="559" t="str">
        <f t="shared" si="24"/>
        <v/>
      </c>
      <c r="H274" s="559" t="str">
        <f t="shared" si="25"/>
        <v/>
      </c>
      <c r="I274" s="559" t="str">
        <f t="shared" si="26"/>
        <v/>
      </c>
    </row>
    <row r="275" spans="2:9">
      <c r="B275" s="555" t="str">
        <f t="shared" si="21"/>
        <v/>
      </c>
      <c r="C275" s="556" t="str">
        <f t="shared" si="22"/>
        <v/>
      </c>
      <c r="D275" s="557" t="str">
        <f t="shared" si="23"/>
        <v/>
      </c>
      <c r="E275" s="560"/>
      <c r="F275" s="559"/>
      <c r="G275" s="559" t="str">
        <f t="shared" si="24"/>
        <v/>
      </c>
      <c r="H275" s="559" t="str">
        <f t="shared" si="25"/>
        <v/>
      </c>
      <c r="I275" s="559" t="str">
        <f t="shared" si="26"/>
        <v/>
      </c>
    </row>
    <row r="276" spans="2:9">
      <c r="B276" s="555" t="str">
        <f t="shared" si="21"/>
        <v/>
      </c>
      <c r="C276" s="556" t="str">
        <f t="shared" si="22"/>
        <v/>
      </c>
      <c r="D276" s="557" t="str">
        <f t="shared" si="23"/>
        <v/>
      </c>
      <c r="E276" s="560"/>
      <c r="F276" s="559"/>
      <c r="G276" s="559" t="str">
        <f t="shared" si="24"/>
        <v/>
      </c>
      <c r="H276" s="559" t="str">
        <f t="shared" si="25"/>
        <v/>
      </c>
      <c r="I276" s="559" t="str">
        <f t="shared" si="26"/>
        <v/>
      </c>
    </row>
    <row r="277" spans="2:9">
      <c r="B277" s="555" t="str">
        <f t="shared" si="21"/>
        <v/>
      </c>
      <c r="C277" s="556" t="str">
        <f t="shared" si="22"/>
        <v/>
      </c>
      <c r="D277" s="557" t="str">
        <f t="shared" si="23"/>
        <v/>
      </c>
      <c r="E277" s="560"/>
      <c r="F277" s="559"/>
      <c r="G277" s="559" t="str">
        <f t="shared" si="24"/>
        <v/>
      </c>
      <c r="H277" s="559" t="str">
        <f t="shared" si="25"/>
        <v/>
      </c>
      <c r="I277" s="559" t="str">
        <f t="shared" si="26"/>
        <v/>
      </c>
    </row>
    <row r="278" spans="2:9">
      <c r="B278" s="555" t="str">
        <f t="shared" si="21"/>
        <v/>
      </c>
      <c r="C278" s="556" t="str">
        <f t="shared" si="22"/>
        <v/>
      </c>
      <c r="D278" s="557" t="str">
        <f t="shared" si="23"/>
        <v/>
      </c>
      <c r="E278" s="560"/>
      <c r="F278" s="559"/>
      <c r="G278" s="559" t="str">
        <f t="shared" si="24"/>
        <v/>
      </c>
      <c r="H278" s="559" t="str">
        <f t="shared" si="25"/>
        <v/>
      </c>
      <c r="I278" s="559" t="str">
        <f t="shared" si="26"/>
        <v/>
      </c>
    </row>
    <row r="279" spans="2:9">
      <c r="B279" s="555" t="str">
        <f t="shared" si="21"/>
        <v/>
      </c>
      <c r="C279" s="556" t="str">
        <f t="shared" si="22"/>
        <v/>
      </c>
      <c r="D279" s="557" t="str">
        <f t="shared" si="23"/>
        <v/>
      </c>
      <c r="E279" s="560"/>
      <c r="F279" s="559"/>
      <c r="G279" s="559" t="str">
        <f t="shared" si="24"/>
        <v/>
      </c>
      <c r="H279" s="559" t="str">
        <f t="shared" si="25"/>
        <v/>
      </c>
      <c r="I279" s="559" t="str">
        <f t="shared" si="26"/>
        <v/>
      </c>
    </row>
    <row r="280" spans="2:9">
      <c r="B280" s="555" t="str">
        <f t="shared" si="21"/>
        <v/>
      </c>
      <c r="C280" s="556" t="str">
        <f t="shared" si="22"/>
        <v/>
      </c>
      <c r="D280" s="557" t="str">
        <f t="shared" si="23"/>
        <v/>
      </c>
      <c r="E280" s="560"/>
      <c r="F280" s="559"/>
      <c r="G280" s="559" t="str">
        <f t="shared" si="24"/>
        <v/>
      </c>
      <c r="H280" s="559" t="str">
        <f t="shared" si="25"/>
        <v/>
      </c>
      <c r="I280" s="559" t="str">
        <f t="shared" si="26"/>
        <v/>
      </c>
    </row>
    <row r="281" spans="2:9">
      <c r="B281" s="555" t="str">
        <f t="shared" si="21"/>
        <v/>
      </c>
      <c r="C281" s="556" t="str">
        <f t="shared" si="22"/>
        <v/>
      </c>
      <c r="D281" s="557" t="str">
        <f t="shared" si="23"/>
        <v/>
      </c>
      <c r="E281" s="560"/>
      <c r="F281" s="559"/>
      <c r="G281" s="559" t="str">
        <f t="shared" si="24"/>
        <v/>
      </c>
      <c r="H281" s="559" t="str">
        <f t="shared" si="25"/>
        <v/>
      </c>
      <c r="I281" s="559" t="str">
        <f t="shared" si="26"/>
        <v/>
      </c>
    </row>
    <row r="282" spans="2:9">
      <c r="B282" s="555" t="str">
        <f t="shared" si="21"/>
        <v/>
      </c>
      <c r="C282" s="556" t="str">
        <f t="shared" si="22"/>
        <v/>
      </c>
      <c r="D282" s="557" t="str">
        <f t="shared" si="23"/>
        <v/>
      </c>
      <c r="E282" s="560"/>
      <c r="F282" s="559"/>
      <c r="G282" s="559" t="str">
        <f t="shared" si="24"/>
        <v/>
      </c>
      <c r="H282" s="559" t="str">
        <f t="shared" si="25"/>
        <v/>
      </c>
      <c r="I282" s="559" t="str">
        <f t="shared" si="26"/>
        <v/>
      </c>
    </row>
    <row r="283" spans="2:9">
      <c r="B283" s="555" t="str">
        <f t="shared" si="21"/>
        <v/>
      </c>
      <c r="C283" s="556" t="str">
        <f t="shared" si="22"/>
        <v/>
      </c>
      <c r="D283" s="557" t="str">
        <f t="shared" si="23"/>
        <v/>
      </c>
      <c r="E283" s="560"/>
      <c r="F283" s="559"/>
      <c r="G283" s="559" t="str">
        <f t="shared" si="24"/>
        <v/>
      </c>
      <c r="H283" s="559" t="str">
        <f t="shared" si="25"/>
        <v/>
      </c>
      <c r="I283" s="559" t="str">
        <f t="shared" si="26"/>
        <v/>
      </c>
    </row>
    <row r="284" spans="2:9">
      <c r="B284" s="555" t="str">
        <f t="shared" si="21"/>
        <v/>
      </c>
      <c r="C284" s="556" t="str">
        <f t="shared" si="22"/>
        <v/>
      </c>
      <c r="D284" s="557" t="str">
        <f t="shared" si="23"/>
        <v/>
      </c>
      <c r="E284" s="560"/>
      <c r="F284" s="559"/>
      <c r="G284" s="559" t="str">
        <f t="shared" si="24"/>
        <v/>
      </c>
      <c r="H284" s="559" t="str">
        <f t="shared" si="25"/>
        <v/>
      </c>
      <c r="I284" s="559" t="str">
        <f t="shared" si="26"/>
        <v/>
      </c>
    </row>
    <row r="285" spans="2:9">
      <c r="B285" s="555" t="str">
        <f t="shared" si="21"/>
        <v/>
      </c>
      <c r="C285" s="556" t="str">
        <f t="shared" si="22"/>
        <v/>
      </c>
      <c r="D285" s="557" t="str">
        <f t="shared" si="23"/>
        <v/>
      </c>
      <c r="E285" s="560"/>
      <c r="F285" s="559"/>
      <c r="G285" s="559" t="str">
        <f t="shared" si="24"/>
        <v/>
      </c>
      <c r="H285" s="559" t="str">
        <f t="shared" si="25"/>
        <v/>
      </c>
      <c r="I285" s="559" t="str">
        <f t="shared" si="26"/>
        <v/>
      </c>
    </row>
    <row r="286" spans="2:9">
      <c r="B286" s="555" t="str">
        <f t="shared" si="21"/>
        <v/>
      </c>
      <c r="C286" s="556" t="str">
        <f t="shared" si="22"/>
        <v/>
      </c>
      <c r="D286" s="557" t="str">
        <f t="shared" si="23"/>
        <v/>
      </c>
      <c r="E286" s="560"/>
      <c r="F286" s="559"/>
      <c r="G286" s="559" t="str">
        <f t="shared" si="24"/>
        <v/>
      </c>
      <c r="H286" s="559" t="str">
        <f t="shared" si="25"/>
        <v/>
      </c>
      <c r="I286" s="559" t="str">
        <f t="shared" si="26"/>
        <v/>
      </c>
    </row>
    <row r="287" spans="2:9">
      <c r="B287" s="555" t="str">
        <f t="shared" si="21"/>
        <v/>
      </c>
      <c r="C287" s="556" t="str">
        <f t="shared" si="22"/>
        <v/>
      </c>
      <c r="D287" s="557" t="str">
        <f t="shared" si="23"/>
        <v/>
      </c>
      <c r="E287" s="560"/>
      <c r="F287" s="559"/>
      <c r="G287" s="559" t="str">
        <f t="shared" si="24"/>
        <v/>
      </c>
      <c r="H287" s="559" t="str">
        <f t="shared" si="25"/>
        <v/>
      </c>
      <c r="I287" s="559" t="str">
        <f t="shared" si="26"/>
        <v/>
      </c>
    </row>
    <row r="288" spans="2:9">
      <c r="B288" s="555" t="str">
        <f t="shared" si="21"/>
        <v/>
      </c>
      <c r="C288" s="556" t="str">
        <f t="shared" si="22"/>
        <v/>
      </c>
      <c r="D288" s="557" t="str">
        <f t="shared" si="23"/>
        <v/>
      </c>
      <c r="E288" s="560"/>
      <c r="F288" s="559"/>
      <c r="G288" s="559" t="str">
        <f t="shared" si="24"/>
        <v/>
      </c>
      <c r="H288" s="559" t="str">
        <f t="shared" si="25"/>
        <v/>
      </c>
      <c r="I288" s="559" t="str">
        <f t="shared" si="26"/>
        <v/>
      </c>
    </row>
    <row r="289" spans="2:9">
      <c r="B289" s="555" t="str">
        <f t="shared" si="21"/>
        <v/>
      </c>
      <c r="C289" s="556" t="str">
        <f t="shared" si="22"/>
        <v/>
      </c>
      <c r="D289" s="557" t="str">
        <f t="shared" si="23"/>
        <v/>
      </c>
      <c r="E289" s="560"/>
      <c r="F289" s="559"/>
      <c r="G289" s="559" t="str">
        <f t="shared" si="24"/>
        <v/>
      </c>
      <c r="H289" s="559" t="str">
        <f t="shared" si="25"/>
        <v/>
      </c>
      <c r="I289" s="559" t="str">
        <f t="shared" si="26"/>
        <v/>
      </c>
    </row>
    <row r="290" spans="2:9">
      <c r="B290" s="555" t="str">
        <f t="shared" si="21"/>
        <v/>
      </c>
      <c r="C290" s="556" t="str">
        <f t="shared" si="22"/>
        <v/>
      </c>
      <c r="D290" s="557" t="str">
        <f t="shared" si="23"/>
        <v/>
      </c>
      <c r="E290" s="560"/>
      <c r="F290" s="559"/>
      <c r="G290" s="559" t="str">
        <f t="shared" si="24"/>
        <v/>
      </c>
      <c r="H290" s="559" t="str">
        <f t="shared" si="25"/>
        <v/>
      </c>
      <c r="I290" s="559" t="str">
        <f t="shared" si="26"/>
        <v/>
      </c>
    </row>
    <row r="291" spans="2:9">
      <c r="B291" s="555" t="str">
        <f t="shared" si="21"/>
        <v/>
      </c>
      <c r="C291" s="556" t="str">
        <f t="shared" si="22"/>
        <v/>
      </c>
      <c r="D291" s="557" t="str">
        <f t="shared" si="23"/>
        <v/>
      </c>
      <c r="E291" s="560"/>
      <c r="F291" s="559"/>
      <c r="G291" s="559" t="str">
        <f t="shared" si="24"/>
        <v/>
      </c>
      <c r="H291" s="559" t="str">
        <f t="shared" si="25"/>
        <v/>
      </c>
      <c r="I291" s="559" t="str">
        <f t="shared" si="26"/>
        <v/>
      </c>
    </row>
    <row r="292" spans="2:9">
      <c r="B292" s="555" t="str">
        <f t="shared" si="21"/>
        <v/>
      </c>
      <c r="C292" s="556" t="str">
        <f t="shared" si="22"/>
        <v/>
      </c>
      <c r="D292" s="557" t="str">
        <f t="shared" si="23"/>
        <v/>
      </c>
      <c r="E292" s="560"/>
      <c r="F292" s="559"/>
      <c r="G292" s="559" t="str">
        <f t="shared" si="24"/>
        <v/>
      </c>
      <c r="H292" s="559" t="str">
        <f t="shared" si="25"/>
        <v/>
      </c>
      <c r="I292" s="559" t="str">
        <f t="shared" si="26"/>
        <v/>
      </c>
    </row>
    <row r="293" spans="2:9">
      <c r="B293" s="555" t="str">
        <f t="shared" si="21"/>
        <v/>
      </c>
      <c r="C293" s="556" t="str">
        <f t="shared" si="22"/>
        <v/>
      </c>
      <c r="D293" s="557" t="str">
        <f t="shared" si="23"/>
        <v/>
      </c>
      <c r="E293" s="560"/>
      <c r="F293" s="559"/>
      <c r="G293" s="559" t="str">
        <f t="shared" si="24"/>
        <v/>
      </c>
      <c r="H293" s="559" t="str">
        <f t="shared" si="25"/>
        <v/>
      </c>
      <c r="I293" s="559" t="str">
        <f t="shared" si="26"/>
        <v/>
      </c>
    </row>
    <row r="294" spans="2:9">
      <c r="B294" s="555" t="str">
        <f t="shared" si="21"/>
        <v/>
      </c>
      <c r="C294" s="556" t="str">
        <f t="shared" si="22"/>
        <v/>
      </c>
      <c r="D294" s="557" t="str">
        <f t="shared" si="23"/>
        <v/>
      </c>
      <c r="E294" s="560"/>
      <c r="F294" s="559"/>
      <c r="G294" s="559" t="str">
        <f t="shared" si="24"/>
        <v/>
      </c>
      <c r="H294" s="559" t="str">
        <f t="shared" si="25"/>
        <v/>
      </c>
      <c r="I294" s="559" t="str">
        <f t="shared" si="26"/>
        <v/>
      </c>
    </row>
    <row r="295" spans="2:9">
      <c r="B295" s="555" t="str">
        <f t="shared" si="21"/>
        <v/>
      </c>
      <c r="C295" s="556" t="str">
        <f t="shared" si="22"/>
        <v/>
      </c>
      <c r="D295" s="557" t="str">
        <f t="shared" si="23"/>
        <v/>
      </c>
      <c r="E295" s="560"/>
      <c r="F295" s="559"/>
      <c r="G295" s="559" t="str">
        <f t="shared" si="24"/>
        <v/>
      </c>
      <c r="H295" s="559" t="str">
        <f t="shared" si="25"/>
        <v/>
      </c>
      <c r="I295" s="559" t="str">
        <f t="shared" si="26"/>
        <v/>
      </c>
    </row>
    <row r="296" spans="2:9">
      <c r="B296" s="555" t="str">
        <f t="shared" si="21"/>
        <v/>
      </c>
      <c r="C296" s="556" t="str">
        <f t="shared" si="22"/>
        <v/>
      </c>
      <c r="D296" s="557" t="str">
        <f t="shared" si="23"/>
        <v/>
      </c>
      <c r="E296" s="560"/>
      <c r="F296" s="559"/>
      <c r="G296" s="559" t="str">
        <f t="shared" si="24"/>
        <v/>
      </c>
      <c r="H296" s="559" t="str">
        <f t="shared" si="25"/>
        <v/>
      </c>
      <c r="I296" s="559" t="str">
        <f t="shared" si="26"/>
        <v/>
      </c>
    </row>
    <row r="297" spans="2:9">
      <c r="B297" s="555" t="str">
        <f t="shared" si="21"/>
        <v/>
      </c>
      <c r="C297" s="556" t="str">
        <f t="shared" si="22"/>
        <v/>
      </c>
      <c r="D297" s="557" t="str">
        <f t="shared" si="23"/>
        <v/>
      </c>
      <c r="E297" s="560"/>
      <c r="F297" s="559"/>
      <c r="G297" s="559" t="str">
        <f t="shared" si="24"/>
        <v/>
      </c>
      <c r="H297" s="559" t="str">
        <f t="shared" si="25"/>
        <v/>
      </c>
      <c r="I297" s="559" t="str">
        <f t="shared" si="26"/>
        <v/>
      </c>
    </row>
    <row r="298" spans="2:9">
      <c r="B298" s="555" t="str">
        <f t="shared" si="21"/>
        <v/>
      </c>
      <c r="C298" s="556" t="str">
        <f t="shared" si="22"/>
        <v/>
      </c>
      <c r="D298" s="557" t="str">
        <f t="shared" si="23"/>
        <v/>
      </c>
      <c r="E298" s="560"/>
      <c r="F298" s="559"/>
      <c r="G298" s="559" t="str">
        <f t="shared" si="24"/>
        <v/>
      </c>
      <c r="H298" s="559" t="str">
        <f t="shared" si="25"/>
        <v/>
      </c>
      <c r="I298" s="559" t="str">
        <f t="shared" si="26"/>
        <v/>
      </c>
    </row>
    <row r="299" spans="2:9">
      <c r="B299" s="555" t="str">
        <f t="shared" si="21"/>
        <v/>
      </c>
      <c r="C299" s="556" t="str">
        <f t="shared" si="22"/>
        <v/>
      </c>
      <c r="D299" s="557" t="str">
        <f t="shared" si="23"/>
        <v/>
      </c>
      <c r="E299" s="560"/>
      <c r="F299" s="559"/>
      <c r="G299" s="559" t="str">
        <f t="shared" si="24"/>
        <v/>
      </c>
      <c r="H299" s="559" t="str">
        <f t="shared" si="25"/>
        <v/>
      </c>
      <c r="I299" s="559" t="str">
        <f t="shared" si="26"/>
        <v/>
      </c>
    </row>
    <row r="300" spans="2:9">
      <c r="B300" s="555" t="str">
        <f t="shared" si="21"/>
        <v/>
      </c>
      <c r="C300" s="556" t="str">
        <f t="shared" si="22"/>
        <v/>
      </c>
      <c r="D300" s="557" t="str">
        <f t="shared" si="23"/>
        <v/>
      </c>
      <c r="E300" s="560"/>
      <c r="F300" s="559"/>
      <c r="G300" s="559" t="str">
        <f t="shared" si="24"/>
        <v/>
      </c>
      <c r="H300" s="559" t="str">
        <f t="shared" si="25"/>
        <v/>
      </c>
      <c r="I300" s="559" t="str">
        <f t="shared" si="26"/>
        <v/>
      </c>
    </row>
    <row r="301" spans="2:9">
      <c r="B301" s="555" t="str">
        <f t="shared" si="21"/>
        <v/>
      </c>
      <c r="C301" s="556" t="str">
        <f t="shared" si="22"/>
        <v/>
      </c>
      <c r="D301" s="557" t="str">
        <f t="shared" si="23"/>
        <v/>
      </c>
      <c r="E301" s="560"/>
      <c r="F301" s="559"/>
      <c r="G301" s="559" t="str">
        <f t="shared" si="24"/>
        <v/>
      </c>
      <c r="H301" s="559" t="str">
        <f t="shared" si="25"/>
        <v/>
      </c>
      <c r="I301" s="559" t="str">
        <f t="shared" si="26"/>
        <v/>
      </c>
    </row>
    <row r="302" spans="2:9">
      <c r="B302" s="555" t="str">
        <f t="shared" si="21"/>
        <v/>
      </c>
      <c r="C302" s="556" t="str">
        <f t="shared" si="22"/>
        <v/>
      </c>
      <c r="D302" s="557" t="str">
        <f t="shared" si="23"/>
        <v/>
      </c>
      <c r="E302" s="560"/>
      <c r="F302" s="559"/>
      <c r="G302" s="559" t="str">
        <f t="shared" si="24"/>
        <v/>
      </c>
      <c r="H302" s="559" t="str">
        <f t="shared" si="25"/>
        <v/>
      </c>
      <c r="I302" s="559" t="str">
        <f t="shared" si="26"/>
        <v/>
      </c>
    </row>
    <row r="303" spans="2:9">
      <c r="B303" s="555" t="str">
        <f t="shared" si="21"/>
        <v/>
      </c>
      <c r="C303" s="556" t="str">
        <f t="shared" si="22"/>
        <v/>
      </c>
      <c r="D303" s="557" t="str">
        <f t="shared" si="23"/>
        <v/>
      </c>
      <c r="E303" s="560"/>
      <c r="F303" s="559"/>
      <c r="G303" s="559" t="str">
        <f t="shared" si="24"/>
        <v/>
      </c>
      <c r="H303" s="559" t="str">
        <f t="shared" si="25"/>
        <v/>
      </c>
      <c r="I303" s="559" t="str">
        <f t="shared" si="26"/>
        <v/>
      </c>
    </row>
    <row r="304" spans="2:9">
      <c r="B304" s="555" t="str">
        <f t="shared" si="21"/>
        <v/>
      </c>
      <c r="C304" s="556" t="str">
        <f t="shared" si="22"/>
        <v/>
      </c>
      <c r="D304" s="557" t="str">
        <f t="shared" si="23"/>
        <v/>
      </c>
      <c r="E304" s="560"/>
      <c r="F304" s="559"/>
      <c r="G304" s="559" t="str">
        <f t="shared" si="24"/>
        <v/>
      </c>
      <c r="H304" s="559" t="str">
        <f t="shared" si="25"/>
        <v/>
      </c>
      <c r="I304" s="559" t="str">
        <f t="shared" si="26"/>
        <v/>
      </c>
    </row>
    <row r="305" spans="2:9">
      <c r="B305" s="555" t="str">
        <f t="shared" si="21"/>
        <v/>
      </c>
      <c r="C305" s="556" t="str">
        <f t="shared" si="22"/>
        <v/>
      </c>
      <c r="D305" s="557" t="str">
        <f t="shared" si="23"/>
        <v/>
      </c>
      <c r="E305" s="560"/>
      <c r="F305" s="559"/>
      <c r="G305" s="559" t="str">
        <f t="shared" si="24"/>
        <v/>
      </c>
      <c r="H305" s="559" t="str">
        <f t="shared" si="25"/>
        <v/>
      </c>
      <c r="I305" s="559" t="str">
        <f t="shared" si="26"/>
        <v/>
      </c>
    </row>
    <row r="306" spans="2:9">
      <c r="B306" s="555" t="str">
        <f t="shared" si="21"/>
        <v/>
      </c>
      <c r="C306" s="556" t="str">
        <f t="shared" si="22"/>
        <v/>
      </c>
      <c r="D306" s="557" t="str">
        <f t="shared" si="23"/>
        <v/>
      </c>
      <c r="E306" s="560"/>
      <c r="F306" s="559"/>
      <c r="G306" s="559" t="str">
        <f t="shared" si="24"/>
        <v/>
      </c>
      <c r="H306" s="559" t="str">
        <f t="shared" si="25"/>
        <v/>
      </c>
      <c r="I306" s="559" t="str">
        <f t="shared" si="26"/>
        <v/>
      </c>
    </row>
    <row r="307" spans="2:9">
      <c r="B307" s="555" t="str">
        <f t="shared" si="21"/>
        <v/>
      </c>
      <c r="C307" s="556" t="str">
        <f t="shared" si="22"/>
        <v/>
      </c>
      <c r="D307" s="557" t="str">
        <f t="shared" si="23"/>
        <v/>
      </c>
      <c r="E307" s="560"/>
      <c r="F307" s="559"/>
      <c r="G307" s="559" t="str">
        <f t="shared" si="24"/>
        <v/>
      </c>
      <c r="H307" s="559" t="str">
        <f t="shared" si="25"/>
        <v/>
      </c>
      <c r="I307" s="559" t="str">
        <f t="shared" si="26"/>
        <v/>
      </c>
    </row>
    <row r="308" spans="2:9">
      <c r="B308" s="555" t="str">
        <f t="shared" si="21"/>
        <v/>
      </c>
      <c r="C308" s="556" t="str">
        <f t="shared" si="22"/>
        <v/>
      </c>
      <c r="D308" s="557" t="str">
        <f t="shared" si="23"/>
        <v/>
      </c>
      <c r="E308" s="560"/>
      <c r="F308" s="559"/>
      <c r="G308" s="559" t="str">
        <f t="shared" si="24"/>
        <v/>
      </c>
      <c r="H308" s="559" t="str">
        <f t="shared" si="25"/>
        <v/>
      </c>
      <c r="I308" s="559" t="str">
        <f t="shared" si="26"/>
        <v/>
      </c>
    </row>
    <row r="309" spans="2:9">
      <c r="B309" s="555" t="str">
        <f t="shared" si="21"/>
        <v/>
      </c>
      <c r="C309" s="556" t="str">
        <f t="shared" si="22"/>
        <v/>
      </c>
      <c r="D309" s="557" t="str">
        <f t="shared" si="23"/>
        <v/>
      </c>
      <c r="E309" s="560"/>
      <c r="F309" s="559"/>
      <c r="G309" s="559" t="str">
        <f t="shared" si="24"/>
        <v/>
      </c>
      <c r="H309" s="559" t="str">
        <f t="shared" si="25"/>
        <v/>
      </c>
      <c r="I309" s="559" t="str">
        <f t="shared" si="26"/>
        <v/>
      </c>
    </row>
    <row r="310" spans="2:9">
      <c r="B310" s="555" t="str">
        <f t="shared" si="21"/>
        <v/>
      </c>
      <c r="C310" s="556" t="str">
        <f t="shared" si="22"/>
        <v/>
      </c>
      <c r="D310" s="557" t="str">
        <f t="shared" si="23"/>
        <v/>
      </c>
      <c r="E310" s="560"/>
      <c r="F310" s="559"/>
      <c r="G310" s="559" t="str">
        <f t="shared" si="24"/>
        <v/>
      </c>
      <c r="H310" s="559" t="str">
        <f t="shared" si="25"/>
        <v/>
      </c>
      <c r="I310" s="559" t="str">
        <f t="shared" si="26"/>
        <v/>
      </c>
    </row>
    <row r="311" spans="2:9">
      <c r="B311" s="555" t="str">
        <f t="shared" si="21"/>
        <v/>
      </c>
      <c r="C311" s="556" t="str">
        <f t="shared" si="22"/>
        <v/>
      </c>
      <c r="D311" s="557" t="str">
        <f t="shared" si="23"/>
        <v/>
      </c>
      <c r="E311" s="560"/>
      <c r="F311" s="559"/>
      <c r="G311" s="559" t="str">
        <f t="shared" si="24"/>
        <v/>
      </c>
      <c r="H311" s="559" t="str">
        <f t="shared" si="25"/>
        <v/>
      </c>
      <c r="I311" s="559" t="str">
        <f t="shared" si="26"/>
        <v/>
      </c>
    </row>
    <row r="312" spans="2:9">
      <c r="B312" s="555" t="str">
        <f t="shared" si="21"/>
        <v/>
      </c>
      <c r="C312" s="556" t="str">
        <f t="shared" si="22"/>
        <v/>
      </c>
      <c r="D312" s="557" t="str">
        <f t="shared" si="23"/>
        <v/>
      </c>
      <c r="E312" s="560"/>
      <c r="F312" s="559"/>
      <c r="G312" s="559" t="str">
        <f t="shared" si="24"/>
        <v/>
      </c>
      <c r="H312" s="559" t="str">
        <f t="shared" si="25"/>
        <v/>
      </c>
      <c r="I312" s="559" t="str">
        <f t="shared" si="26"/>
        <v/>
      </c>
    </row>
    <row r="313" spans="2:9">
      <c r="B313" s="555" t="str">
        <f t="shared" si="21"/>
        <v/>
      </c>
      <c r="C313" s="556" t="str">
        <f t="shared" si="22"/>
        <v/>
      </c>
      <c r="D313" s="557" t="str">
        <f t="shared" si="23"/>
        <v/>
      </c>
      <c r="E313" s="560"/>
      <c r="F313" s="559"/>
      <c r="G313" s="559" t="str">
        <f t="shared" si="24"/>
        <v/>
      </c>
      <c r="H313" s="559" t="str">
        <f t="shared" si="25"/>
        <v/>
      </c>
      <c r="I313" s="559" t="str">
        <f t="shared" si="26"/>
        <v/>
      </c>
    </row>
    <row r="314" spans="2:9">
      <c r="B314" s="555" t="str">
        <f t="shared" si="21"/>
        <v/>
      </c>
      <c r="C314" s="556" t="str">
        <f t="shared" si="22"/>
        <v/>
      </c>
      <c r="D314" s="557" t="str">
        <f t="shared" si="23"/>
        <v/>
      </c>
      <c r="E314" s="560"/>
      <c r="F314" s="559"/>
      <c r="G314" s="559" t="str">
        <f t="shared" si="24"/>
        <v/>
      </c>
      <c r="H314" s="559" t="str">
        <f t="shared" si="25"/>
        <v/>
      </c>
      <c r="I314" s="559" t="str">
        <f t="shared" si="26"/>
        <v/>
      </c>
    </row>
    <row r="315" spans="2:9">
      <c r="B315" s="555" t="str">
        <f t="shared" si="21"/>
        <v/>
      </c>
      <c r="C315" s="556" t="str">
        <f t="shared" si="22"/>
        <v/>
      </c>
      <c r="D315" s="557" t="str">
        <f t="shared" si="23"/>
        <v/>
      </c>
      <c r="E315" s="560"/>
      <c r="F315" s="559"/>
      <c r="G315" s="559" t="str">
        <f t="shared" si="24"/>
        <v/>
      </c>
      <c r="H315" s="559" t="str">
        <f t="shared" si="25"/>
        <v/>
      </c>
      <c r="I315" s="559" t="str">
        <f t="shared" si="26"/>
        <v/>
      </c>
    </row>
    <row r="316" spans="2:9">
      <c r="B316" s="555" t="str">
        <f t="shared" si="21"/>
        <v/>
      </c>
      <c r="C316" s="556" t="str">
        <f t="shared" si="22"/>
        <v/>
      </c>
      <c r="D316" s="557" t="str">
        <f t="shared" si="23"/>
        <v/>
      </c>
      <c r="E316" s="560"/>
      <c r="F316" s="559"/>
      <c r="G316" s="559" t="str">
        <f t="shared" si="24"/>
        <v/>
      </c>
      <c r="H316" s="559" t="str">
        <f t="shared" si="25"/>
        <v/>
      </c>
      <c r="I316" s="559" t="str">
        <f t="shared" si="26"/>
        <v/>
      </c>
    </row>
    <row r="317" spans="2:9">
      <c r="B317" s="555" t="str">
        <f t="shared" ref="B317:B380" si="27">IF(I316="","",IF(roundOpt,IF(OR(B316&gt;=nper,ROUND(I316,2)&lt;=0),"",B316+1),IF(OR(B316&gt;=nper,I316&lt;=0),"",B316+1)))</f>
        <v/>
      </c>
      <c r="C317" s="556" t="str">
        <f t="shared" ref="C317:C380" si="28">IF(B317="","",IF(OR(periods_per_year=26,periods_per_year=52),IF(periods_per_year=26,IF(B317=1,fpdate,C316+14),IF(periods_per_year=52,IF(B317=1,fpdate,C316+7),"n/a")),IF(periods_per_year=24,DATE(YEAR(fpdate),MONTH(fpdate)+(B317-1)/2+IF(AND(DAY(fpdate)&gt;=15,MOD(B317,2)=0),1,0),IF(MOD(B317,2)=0,IF(DAY(fpdate)&gt;=15,DAY(fpdate)-14,DAY(fpdate)+14),DAY(fpdate))),IF(DAY(DATE(YEAR(fpdate),MONTH(fpdate)+(B317-1)*months_per_period,DAY(fpdate)))&lt;&gt;DAY(fpdate),DATE(YEAR(fpdate),MONTH(fpdate)+(B317-1)*months_per_period+1,0),DATE(YEAR(fpdate),MONTH(fpdate)+(B317-1)*months_per_period,DAY(fpdate))))))</f>
        <v/>
      </c>
      <c r="D317" s="557" t="str">
        <f t="shared" ref="D317:D380" si="29">IF(B317="","",IF(roundOpt,IF(OR(B317=nper,payment&gt;ROUND((1+rate)*I316,2)),ROUND((1+rate)*I316,2),payment),IF(OR(B317=nper,payment&gt;(1+rate)*I316),(1+rate)*I316,payment)))</f>
        <v/>
      </c>
      <c r="E317" s="560"/>
      <c r="F317" s="559"/>
      <c r="G317" s="559" t="str">
        <f t="shared" ref="G317:G380" si="30">IF(B317="","",IF(AND(B317=1,pmtType=1),0,IF(roundOpt,ROUND(rate*I316,2),rate*I316)))</f>
        <v/>
      </c>
      <c r="H317" s="559" t="str">
        <f t="shared" ref="H317:H380" si="31">IF(B317="","",D317-G317+E317)</f>
        <v/>
      </c>
      <c r="I317" s="559" t="str">
        <f t="shared" ref="I317:I380" si="32">IF(B317="","",I316-H317)</f>
        <v/>
      </c>
    </row>
    <row r="318" spans="2:9">
      <c r="B318" s="555" t="str">
        <f t="shared" si="27"/>
        <v/>
      </c>
      <c r="C318" s="556" t="str">
        <f t="shared" si="28"/>
        <v/>
      </c>
      <c r="D318" s="557" t="str">
        <f t="shared" si="29"/>
        <v/>
      </c>
      <c r="E318" s="560"/>
      <c r="F318" s="559"/>
      <c r="G318" s="559" t="str">
        <f t="shared" si="30"/>
        <v/>
      </c>
      <c r="H318" s="559" t="str">
        <f t="shared" si="31"/>
        <v/>
      </c>
      <c r="I318" s="559" t="str">
        <f t="shared" si="32"/>
        <v/>
      </c>
    </row>
    <row r="319" spans="2:9">
      <c r="B319" s="555" t="str">
        <f t="shared" si="27"/>
        <v/>
      </c>
      <c r="C319" s="556" t="str">
        <f t="shared" si="28"/>
        <v/>
      </c>
      <c r="D319" s="557" t="str">
        <f t="shared" si="29"/>
        <v/>
      </c>
      <c r="E319" s="560"/>
      <c r="F319" s="559"/>
      <c r="G319" s="559" t="str">
        <f t="shared" si="30"/>
        <v/>
      </c>
      <c r="H319" s="559" t="str">
        <f t="shared" si="31"/>
        <v/>
      </c>
      <c r="I319" s="559" t="str">
        <f t="shared" si="32"/>
        <v/>
      </c>
    </row>
    <row r="320" spans="2:9">
      <c r="B320" s="555" t="str">
        <f t="shared" si="27"/>
        <v/>
      </c>
      <c r="C320" s="556" t="str">
        <f t="shared" si="28"/>
        <v/>
      </c>
      <c r="D320" s="557" t="str">
        <f t="shared" si="29"/>
        <v/>
      </c>
      <c r="E320" s="560"/>
      <c r="F320" s="559"/>
      <c r="G320" s="559" t="str">
        <f t="shared" si="30"/>
        <v/>
      </c>
      <c r="H320" s="559" t="str">
        <f t="shared" si="31"/>
        <v/>
      </c>
      <c r="I320" s="559" t="str">
        <f t="shared" si="32"/>
        <v/>
      </c>
    </row>
    <row r="321" spans="2:9">
      <c r="B321" s="555" t="str">
        <f t="shared" si="27"/>
        <v/>
      </c>
      <c r="C321" s="556" t="str">
        <f t="shared" si="28"/>
        <v/>
      </c>
      <c r="D321" s="557" t="str">
        <f t="shared" si="29"/>
        <v/>
      </c>
      <c r="E321" s="560"/>
      <c r="F321" s="559"/>
      <c r="G321" s="559" t="str">
        <f t="shared" si="30"/>
        <v/>
      </c>
      <c r="H321" s="559" t="str">
        <f t="shared" si="31"/>
        <v/>
      </c>
      <c r="I321" s="559" t="str">
        <f t="shared" si="32"/>
        <v/>
      </c>
    </row>
    <row r="322" spans="2:9">
      <c r="B322" s="555" t="str">
        <f t="shared" si="27"/>
        <v/>
      </c>
      <c r="C322" s="556" t="str">
        <f t="shared" si="28"/>
        <v/>
      </c>
      <c r="D322" s="557" t="str">
        <f t="shared" si="29"/>
        <v/>
      </c>
      <c r="E322" s="560"/>
      <c r="F322" s="559"/>
      <c r="G322" s="559" t="str">
        <f t="shared" si="30"/>
        <v/>
      </c>
      <c r="H322" s="559" t="str">
        <f t="shared" si="31"/>
        <v/>
      </c>
      <c r="I322" s="559" t="str">
        <f t="shared" si="32"/>
        <v/>
      </c>
    </row>
    <row r="323" spans="2:9">
      <c r="B323" s="555" t="str">
        <f t="shared" si="27"/>
        <v/>
      </c>
      <c r="C323" s="556" t="str">
        <f t="shared" si="28"/>
        <v/>
      </c>
      <c r="D323" s="557" t="str">
        <f t="shared" si="29"/>
        <v/>
      </c>
      <c r="E323" s="560"/>
      <c r="F323" s="559"/>
      <c r="G323" s="559" t="str">
        <f t="shared" si="30"/>
        <v/>
      </c>
      <c r="H323" s="559" t="str">
        <f t="shared" si="31"/>
        <v/>
      </c>
      <c r="I323" s="559" t="str">
        <f t="shared" si="32"/>
        <v/>
      </c>
    </row>
    <row r="324" spans="2:9">
      <c r="B324" s="555" t="str">
        <f t="shared" si="27"/>
        <v/>
      </c>
      <c r="C324" s="556" t="str">
        <f t="shared" si="28"/>
        <v/>
      </c>
      <c r="D324" s="557" t="str">
        <f t="shared" si="29"/>
        <v/>
      </c>
      <c r="E324" s="560"/>
      <c r="F324" s="559"/>
      <c r="G324" s="559" t="str">
        <f t="shared" si="30"/>
        <v/>
      </c>
      <c r="H324" s="559" t="str">
        <f t="shared" si="31"/>
        <v/>
      </c>
      <c r="I324" s="559" t="str">
        <f t="shared" si="32"/>
        <v/>
      </c>
    </row>
    <row r="325" spans="2:9">
      <c r="B325" s="555" t="str">
        <f t="shared" si="27"/>
        <v/>
      </c>
      <c r="C325" s="556" t="str">
        <f t="shared" si="28"/>
        <v/>
      </c>
      <c r="D325" s="557" t="str">
        <f t="shared" si="29"/>
        <v/>
      </c>
      <c r="E325" s="560"/>
      <c r="F325" s="559"/>
      <c r="G325" s="559" t="str">
        <f t="shared" si="30"/>
        <v/>
      </c>
      <c r="H325" s="559" t="str">
        <f t="shared" si="31"/>
        <v/>
      </c>
      <c r="I325" s="559" t="str">
        <f t="shared" si="32"/>
        <v/>
      </c>
    </row>
    <row r="326" spans="2:9">
      <c r="B326" s="555" t="str">
        <f t="shared" si="27"/>
        <v/>
      </c>
      <c r="C326" s="556" t="str">
        <f t="shared" si="28"/>
        <v/>
      </c>
      <c r="D326" s="557" t="str">
        <f t="shared" si="29"/>
        <v/>
      </c>
      <c r="E326" s="560"/>
      <c r="F326" s="559"/>
      <c r="G326" s="559" t="str">
        <f t="shared" si="30"/>
        <v/>
      </c>
      <c r="H326" s="559" t="str">
        <f t="shared" si="31"/>
        <v/>
      </c>
      <c r="I326" s="559" t="str">
        <f t="shared" si="32"/>
        <v/>
      </c>
    </row>
    <row r="327" spans="2:9">
      <c r="B327" s="555" t="str">
        <f t="shared" si="27"/>
        <v/>
      </c>
      <c r="C327" s="556" t="str">
        <f t="shared" si="28"/>
        <v/>
      </c>
      <c r="D327" s="557" t="str">
        <f t="shared" si="29"/>
        <v/>
      </c>
      <c r="E327" s="560"/>
      <c r="F327" s="559"/>
      <c r="G327" s="559" t="str">
        <f t="shared" si="30"/>
        <v/>
      </c>
      <c r="H327" s="559" t="str">
        <f t="shared" si="31"/>
        <v/>
      </c>
      <c r="I327" s="559" t="str">
        <f t="shared" si="32"/>
        <v/>
      </c>
    </row>
    <row r="328" spans="2:9">
      <c r="B328" s="555" t="str">
        <f t="shared" si="27"/>
        <v/>
      </c>
      <c r="C328" s="556" t="str">
        <f t="shared" si="28"/>
        <v/>
      </c>
      <c r="D328" s="557" t="str">
        <f t="shared" si="29"/>
        <v/>
      </c>
      <c r="E328" s="560"/>
      <c r="F328" s="559"/>
      <c r="G328" s="559" t="str">
        <f t="shared" si="30"/>
        <v/>
      </c>
      <c r="H328" s="559" t="str">
        <f t="shared" si="31"/>
        <v/>
      </c>
      <c r="I328" s="559" t="str">
        <f t="shared" si="32"/>
        <v/>
      </c>
    </row>
    <row r="329" spans="2:9">
      <c r="B329" s="555" t="str">
        <f t="shared" si="27"/>
        <v/>
      </c>
      <c r="C329" s="556" t="str">
        <f t="shared" si="28"/>
        <v/>
      </c>
      <c r="D329" s="557" t="str">
        <f t="shared" si="29"/>
        <v/>
      </c>
      <c r="E329" s="560"/>
      <c r="F329" s="559"/>
      <c r="G329" s="559" t="str">
        <f t="shared" si="30"/>
        <v/>
      </c>
      <c r="H329" s="559" t="str">
        <f t="shared" si="31"/>
        <v/>
      </c>
      <c r="I329" s="559" t="str">
        <f t="shared" si="32"/>
        <v/>
      </c>
    </row>
    <row r="330" spans="2:9">
      <c r="B330" s="555" t="str">
        <f t="shared" si="27"/>
        <v/>
      </c>
      <c r="C330" s="556" t="str">
        <f t="shared" si="28"/>
        <v/>
      </c>
      <c r="D330" s="557" t="str">
        <f t="shared" si="29"/>
        <v/>
      </c>
      <c r="E330" s="560"/>
      <c r="F330" s="559"/>
      <c r="G330" s="559" t="str">
        <f t="shared" si="30"/>
        <v/>
      </c>
      <c r="H330" s="559" t="str">
        <f t="shared" si="31"/>
        <v/>
      </c>
      <c r="I330" s="559" t="str">
        <f t="shared" si="32"/>
        <v/>
      </c>
    </row>
    <row r="331" spans="2:9">
      <c r="B331" s="555" t="str">
        <f t="shared" si="27"/>
        <v/>
      </c>
      <c r="C331" s="556" t="str">
        <f t="shared" si="28"/>
        <v/>
      </c>
      <c r="D331" s="557" t="str">
        <f t="shared" si="29"/>
        <v/>
      </c>
      <c r="E331" s="560"/>
      <c r="F331" s="559"/>
      <c r="G331" s="559" t="str">
        <f t="shared" si="30"/>
        <v/>
      </c>
      <c r="H331" s="559" t="str">
        <f t="shared" si="31"/>
        <v/>
      </c>
      <c r="I331" s="559" t="str">
        <f t="shared" si="32"/>
        <v/>
      </c>
    </row>
    <row r="332" spans="2:9">
      <c r="B332" s="555" t="str">
        <f t="shared" si="27"/>
        <v/>
      </c>
      <c r="C332" s="556" t="str">
        <f t="shared" si="28"/>
        <v/>
      </c>
      <c r="D332" s="557" t="str">
        <f t="shared" si="29"/>
        <v/>
      </c>
      <c r="E332" s="560"/>
      <c r="F332" s="559"/>
      <c r="G332" s="559" t="str">
        <f t="shared" si="30"/>
        <v/>
      </c>
      <c r="H332" s="559" t="str">
        <f t="shared" si="31"/>
        <v/>
      </c>
      <c r="I332" s="559" t="str">
        <f t="shared" si="32"/>
        <v/>
      </c>
    </row>
    <row r="333" spans="2:9">
      <c r="B333" s="555" t="str">
        <f t="shared" si="27"/>
        <v/>
      </c>
      <c r="C333" s="556" t="str">
        <f t="shared" si="28"/>
        <v/>
      </c>
      <c r="D333" s="557" t="str">
        <f t="shared" si="29"/>
        <v/>
      </c>
      <c r="E333" s="560"/>
      <c r="F333" s="559"/>
      <c r="G333" s="559" t="str">
        <f t="shared" si="30"/>
        <v/>
      </c>
      <c r="H333" s="559" t="str">
        <f t="shared" si="31"/>
        <v/>
      </c>
      <c r="I333" s="559" t="str">
        <f t="shared" si="32"/>
        <v/>
      </c>
    </row>
    <row r="334" spans="2:9">
      <c r="B334" s="555" t="str">
        <f t="shared" si="27"/>
        <v/>
      </c>
      <c r="C334" s="556" t="str">
        <f t="shared" si="28"/>
        <v/>
      </c>
      <c r="D334" s="557" t="str">
        <f t="shared" si="29"/>
        <v/>
      </c>
      <c r="E334" s="560"/>
      <c r="F334" s="559"/>
      <c r="G334" s="559" t="str">
        <f t="shared" si="30"/>
        <v/>
      </c>
      <c r="H334" s="559" t="str">
        <f t="shared" si="31"/>
        <v/>
      </c>
      <c r="I334" s="559" t="str">
        <f t="shared" si="32"/>
        <v/>
      </c>
    </row>
    <row r="335" spans="2:9">
      <c r="B335" s="555" t="str">
        <f t="shared" si="27"/>
        <v/>
      </c>
      <c r="C335" s="556" t="str">
        <f t="shared" si="28"/>
        <v/>
      </c>
      <c r="D335" s="557" t="str">
        <f t="shared" si="29"/>
        <v/>
      </c>
      <c r="E335" s="560"/>
      <c r="F335" s="559"/>
      <c r="G335" s="559" t="str">
        <f t="shared" si="30"/>
        <v/>
      </c>
      <c r="H335" s="559" t="str">
        <f t="shared" si="31"/>
        <v/>
      </c>
      <c r="I335" s="559" t="str">
        <f t="shared" si="32"/>
        <v/>
      </c>
    </row>
    <row r="336" spans="2:9">
      <c r="B336" s="555" t="str">
        <f t="shared" si="27"/>
        <v/>
      </c>
      <c r="C336" s="556" t="str">
        <f t="shared" si="28"/>
        <v/>
      </c>
      <c r="D336" s="557" t="str">
        <f t="shared" si="29"/>
        <v/>
      </c>
      <c r="E336" s="560"/>
      <c r="F336" s="559"/>
      <c r="G336" s="559" t="str">
        <f t="shared" si="30"/>
        <v/>
      </c>
      <c r="H336" s="559" t="str">
        <f t="shared" si="31"/>
        <v/>
      </c>
      <c r="I336" s="559" t="str">
        <f t="shared" si="32"/>
        <v/>
      </c>
    </row>
    <row r="337" spans="2:9">
      <c r="B337" s="555" t="str">
        <f t="shared" si="27"/>
        <v/>
      </c>
      <c r="C337" s="556" t="str">
        <f t="shared" si="28"/>
        <v/>
      </c>
      <c r="D337" s="557" t="str">
        <f t="shared" si="29"/>
        <v/>
      </c>
      <c r="E337" s="560"/>
      <c r="F337" s="559"/>
      <c r="G337" s="559" t="str">
        <f t="shared" si="30"/>
        <v/>
      </c>
      <c r="H337" s="559" t="str">
        <f t="shared" si="31"/>
        <v/>
      </c>
      <c r="I337" s="559" t="str">
        <f t="shared" si="32"/>
        <v/>
      </c>
    </row>
    <row r="338" spans="2:9">
      <c r="B338" s="555" t="str">
        <f t="shared" si="27"/>
        <v/>
      </c>
      <c r="C338" s="556" t="str">
        <f t="shared" si="28"/>
        <v/>
      </c>
      <c r="D338" s="557" t="str">
        <f t="shared" si="29"/>
        <v/>
      </c>
      <c r="E338" s="560"/>
      <c r="F338" s="559"/>
      <c r="G338" s="559" t="str">
        <f t="shared" si="30"/>
        <v/>
      </c>
      <c r="H338" s="559" t="str">
        <f t="shared" si="31"/>
        <v/>
      </c>
      <c r="I338" s="559" t="str">
        <f t="shared" si="32"/>
        <v/>
      </c>
    </row>
    <row r="339" spans="2:9">
      <c r="B339" s="555" t="str">
        <f t="shared" si="27"/>
        <v/>
      </c>
      <c r="C339" s="556" t="str">
        <f t="shared" si="28"/>
        <v/>
      </c>
      <c r="D339" s="557" t="str">
        <f t="shared" si="29"/>
        <v/>
      </c>
      <c r="E339" s="560"/>
      <c r="F339" s="559"/>
      <c r="G339" s="559" t="str">
        <f t="shared" si="30"/>
        <v/>
      </c>
      <c r="H339" s="559" t="str">
        <f t="shared" si="31"/>
        <v/>
      </c>
      <c r="I339" s="559" t="str">
        <f t="shared" si="32"/>
        <v/>
      </c>
    </row>
    <row r="340" spans="2:9">
      <c r="B340" s="555" t="str">
        <f t="shared" si="27"/>
        <v/>
      </c>
      <c r="C340" s="556" t="str">
        <f t="shared" si="28"/>
        <v/>
      </c>
      <c r="D340" s="557" t="str">
        <f t="shared" si="29"/>
        <v/>
      </c>
      <c r="E340" s="560"/>
      <c r="F340" s="559"/>
      <c r="G340" s="559" t="str">
        <f t="shared" si="30"/>
        <v/>
      </c>
      <c r="H340" s="559" t="str">
        <f t="shared" si="31"/>
        <v/>
      </c>
      <c r="I340" s="559" t="str">
        <f t="shared" si="32"/>
        <v/>
      </c>
    </row>
    <row r="341" spans="2:9">
      <c r="B341" s="555" t="str">
        <f t="shared" si="27"/>
        <v/>
      </c>
      <c r="C341" s="556" t="str">
        <f t="shared" si="28"/>
        <v/>
      </c>
      <c r="D341" s="557" t="str">
        <f t="shared" si="29"/>
        <v/>
      </c>
      <c r="E341" s="560"/>
      <c r="F341" s="559"/>
      <c r="G341" s="559" t="str">
        <f t="shared" si="30"/>
        <v/>
      </c>
      <c r="H341" s="559" t="str">
        <f t="shared" si="31"/>
        <v/>
      </c>
      <c r="I341" s="559" t="str">
        <f t="shared" si="32"/>
        <v/>
      </c>
    </row>
    <row r="342" spans="2:9">
      <c r="B342" s="555" t="str">
        <f t="shared" si="27"/>
        <v/>
      </c>
      <c r="C342" s="556" t="str">
        <f t="shared" si="28"/>
        <v/>
      </c>
      <c r="D342" s="557" t="str">
        <f t="shared" si="29"/>
        <v/>
      </c>
      <c r="E342" s="560"/>
      <c r="F342" s="559"/>
      <c r="G342" s="559" t="str">
        <f t="shared" si="30"/>
        <v/>
      </c>
      <c r="H342" s="559" t="str">
        <f t="shared" si="31"/>
        <v/>
      </c>
      <c r="I342" s="559" t="str">
        <f t="shared" si="32"/>
        <v/>
      </c>
    </row>
    <row r="343" spans="2:9">
      <c r="B343" s="555" t="str">
        <f t="shared" si="27"/>
        <v/>
      </c>
      <c r="C343" s="556" t="str">
        <f t="shared" si="28"/>
        <v/>
      </c>
      <c r="D343" s="557" t="str">
        <f t="shared" si="29"/>
        <v/>
      </c>
      <c r="E343" s="560"/>
      <c r="F343" s="559"/>
      <c r="G343" s="559" t="str">
        <f t="shared" si="30"/>
        <v/>
      </c>
      <c r="H343" s="559" t="str">
        <f t="shared" si="31"/>
        <v/>
      </c>
      <c r="I343" s="559" t="str">
        <f t="shared" si="32"/>
        <v/>
      </c>
    </row>
    <row r="344" spans="2:9">
      <c r="B344" s="555" t="str">
        <f t="shared" si="27"/>
        <v/>
      </c>
      <c r="C344" s="556" t="str">
        <f t="shared" si="28"/>
        <v/>
      </c>
      <c r="D344" s="557" t="str">
        <f t="shared" si="29"/>
        <v/>
      </c>
      <c r="E344" s="560"/>
      <c r="F344" s="559"/>
      <c r="G344" s="559" t="str">
        <f t="shared" si="30"/>
        <v/>
      </c>
      <c r="H344" s="559" t="str">
        <f t="shared" si="31"/>
        <v/>
      </c>
      <c r="I344" s="559" t="str">
        <f t="shared" si="32"/>
        <v/>
      </c>
    </row>
    <row r="345" spans="2:9">
      <c r="B345" s="555" t="str">
        <f t="shared" si="27"/>
        <v/>
      </c>
      <c r="C345" s="556" t="str">
        <f t="shared" si="28"/>
        <v/>
      </c>
      <c r="D345" s="557" t="str">
        <f t="shared" si="29"/>
        <v/>
      </c>
      <c r="E345" s="560"/>
      <c r="F345" s="559"/>
      <c r="G345" s="559" t="str">
        <f t="shared" si="30"/>
        <v/>
      </c>
      <c r="H345" s="559" t="str">
        <f t="shared" si="31"/>
        <v/>
      </c>
      <c r="I345" s="559" t="str">
        <f t="shared" si="32"/>
        <v/>
      </c>
    </row>
    <row r="346" spans="2:9">
      <c r="B346" s="555" t="str">
        <f t="shared" si="27"/>
        <v/>
      </c>
      <c r="C346" s="556" t="str">
        <f t="shared" si="28"/>
        <v/>
      </c>
      <c r="D346" s="557" t="str">
        <f t="shared" si="29"/>
        <v/>
      </c>
      <c r="E346" s="560"/>
      <c r="F346" s="559"/>
      <c r="G346" s="559" t="str">
        <f t="shared" si="30"/>
        <v/>
      </c>
      <c r="H346" s="559" t="str">
        <f t="shared" si="31"/>
        <v/>
      </c>
      <c r="I346" s="559" t="str">
        <f t="shared" si="32"/>
        <v/>
      </c>
    </row>
    <row r="347" spans="2:9">
      <c r="B347" s="555" t="str">
        <f t="shared" si="27"/>
        <v/>
      </c>
      <c r="C347" s="556" t="str">
        <f t="shared" si="28"/>
        <v/>
      </c>
      <c r="D347" s="557" t="str">
        <f t="shared" si="29"/>
        <v/>
      </c>
      <c r="E347" s="560"/>
      <c r="F347" s="559"/>
      <c r="G347" s="559" t="str">
        <f t="shared" si="30"/>
        <v/>
      </c>
      <c r="H347" s="559" t="str">
        <f t="shared" si="31"/>
        <v/>
      </c>
      <c r="I347" s="559" t="str">
        <f t="shared" si="32"/>
        <v/>
      </c>
    </row>
    <row r="348" spans="2:9">
      <c r="B348" s="555" t="str">
        <f t="shared" si="27"/>
        <v/>
      </c>
      <c r="C348" s="556" t="str">
        <f t="shared" si="28"/>
        <v/>
      </c>
      <c r="D348" s="557" t="str">
        <f t="shared" si="29"/>
        <v/>
      </c>
      <c r="E348" s="560"/>
      <c r="F348" s="559"/>
      <c r="G348" s="559" t="str">
        <f t="shared" si="30"/>
        <v/>
      </c>
      <c r="H348" s="559" t="str">
        <f t="shared" si="31"/>
        <v/>
      </c>
      <c r="I348" s="559" t="str">
        <f t="shared" si="32"/>
        <v/>
      </c>
    </row>
    <row r="349" spans="2:9">
      <c r="B349" s="555" t="str">
        <f t="shared" si="27"/>
        <v/>
      </c>
      <c r="C349" s="556" t="str">
        <f t="shared" si="28"/>
        <v/>
      </c>
      <c r="D349" s="557" t="str">
        <f t="shared" si="29"/>
        <v/>
      </c>
      <c r="E349" s="560"/>
      <c r="F349" s="559"/>
      <c r="G349" s="559" t="str">
        <f t="shared" si="30"/>
        <v/>
      </c>
      <c r="H349" s="559" t="str">
        <f t="shared" si="31"/>
        <v/>
      </c>
      <c r="I349" s="559" t="str">
        <f t="shared" si="32"/>
        <v/>
      </c>
    </row>
    <row r="350" spans="2:9">
      <c r="B350" s="555" t="str">
        <f t="shared" si="27"/>
        <v/>
      </c>
      <c r="C350" s="556" t="str">
        <f t="shared" si="28"/>
        <v/>
      </c>
      <c r="D350" s="557" t="str">
        <f t="shared" si="29"/>
        <v/>
      </c>
      <c r="E350" s="560"/>
      <c r="F350" s="559"/>
      <c r="G350" s="559" t="str">
        <f t="shared" si="30"/>
        <v/>
      </c>
      <c r="H350" s="559" t="str">
        <f t="shared" si="31"/>
        <v/>
      </c>
      <c r="I350" s="559" t="str">
        <f t="shared" si="32"/>
        <v/>
      </c>
    </row>
    <row r="351" spans="2:9">
      <c r="B351" s="555" t="str">
        <f t="shared" si="27"/>
        <v/>
      </c>
      <c r="C351" s="556" t="str">
        <f t="shared" si="28"/>
        <v/>
      </c>
      <c r="D351" s="557" t="str">
        <f t="shared" si="29"/>
        <v/>
      </c>
      <c r="E351" s="560"/>
      <c r="F351" s="559"/>
      <c r="G351" s="559" t="str">
        <f t="shared" si="30"/>
        <v/>
      </c>
      <c r="H351" s="559" t="str">
        <f t="shared" si="31"/>
        <v/>
      </c>
      <c r="I351" s="559" t="str">
        <f t="shared" si="32"/>
        <v/>
      </c>
    </row>
    <row r="352" spans="2:9">
      <c r="B352" s="555" t="str">
        <f t="shared" si="27"/>
        <v/>
      </c>
      <c r="C352" s="556" t="str">
        <f t="shared" si="28"/>
        <v/>
      </c>
      <c r="D352" s="557" t="str">
        <f t="shared" si="29"/>
        <v/>
      </c>
      <c r="E352" s="560"/>
      <c r="F352" s="559"/>
      <c r="G352" s="559" t="str">
        <f t="shared" si="30"/>
        <v/>
      </c>
      <c r="H352" s="559" t="str">
        <f t="shared" si="31"/>
        <v/>
      </c>
      <c r="I352" s="559" t="str">
        <f t="shared" si="32"/>
        <v/>
      </c>
    </row>
    <row r="353" spans="2:9">
      <c r="B353" s="555" t="str">
        <f t="shared" si="27"/>
        <v/>
      </c>
      <c r="C353" s="556" t="str">
        <f t="shared" si="28"/>
        <v/>
      </c>
      <c r="D353" s="557" t="str">
        <f t="shared" si="29"/>
        <v/>
      </c>
      <c r="E353" s="560"/>
      <c r="F353" s="559"/>
      <c r="G353" s="559" t="str">
        <f t="shared" si="30"/>
        <v/>
      </c>
      <c r="H353" s="559" t="str">
        <f t="shared" si="31"/>
        <v/>
      </c>
      <c r="I353" s="559" t="str">
        <f t="shared" si="32"/>
        <v/>
      </c>
    </row>
    <row r="354" spans="2:9">
      <c r="B354" s="555" t="str">
        <f t="shared" si="27"/>
        <v/>
      </c>
      <c r="C354" s="556" t="str">
        <f t="shared" si="28"/>
        <v/>
      </c>
      <c r="D354" s="557" t="str">
        <f t="shared" si="29"/>
        <v/>
      </c>
      <c r="E354" s="560"/>
      <c r="F354" s="559"/>
      <c r="G354" s="559" t="str">
        <f t="shared" si="30"/>
        <v/>
      </c>
      <c r="H354" s="559" t="str">
        <f t="shared" si="31"/>
        <v/>
      </c>
      <c r="I354" s="559" t="str">
        <f t="shared" si="32"/>
        <v/>
      </c>
    </row>
    <row r="355" spans="2:9">
      <c r="B355" s="555" t="str">
        <f t="shared" si="27"/>
        <v/>
      </c>
      <c r="C355" s="556" t="str">
        <f t="shared" si="28"/>
        <v/>
      </c>
      <c r="D355" s="557" t="str">
        <f t="shared" si="29"/>
        <v/>
      </c>
      <c r="E355" s="560"/>
      <c r="F355" s="559"/>
      <c r="G355" s="559" t="str">
        <f t="shared" si="30"/>
        <v/>
      </c>
      <c r="H355" s="559" t="str">
        <f t="shared" si="31"/>
        <v/>
      </c>
      <c r="I355" s="559" t="str">
        <f t="shared" si="32"/>
        <v/>
      </c>
    </row>
    <row r="356" spans="2:9">
      <c r="B356" s="555" t="str">
        <f t="shared" si="27"/>
        <v/>
      </c>
      <c r="C356" s="556" t="str">
        <f t="shared" si="28"/>
        <v/>
      </c>
      <c r="D356" s="557" t="str">
        <f t="shared" si="29"/>
        <v/>
      </c>
      <c r="E356" s="560"/>
      <c r="F356" s="559"/>
      <c r="G356" s="559" t="str">
        <f t="shared" si="30"/>
        <v/>
      </c>
      <c r="H356" s="559" t="str">
        <f t="shared" si="31"/>
        <v/>
      </c>
      <c r="I356" s="559" t="str">
        <f t="shared" si="32"/>
        <v/>
      </c>
    </row>
    <row r="357" spans="2:9">
      <c r="B357" s="555" t="str">
        <f t="shared" si="27"/>
        <v/>
      </c>
      <c r="C357" s="556" t="str">
        <f t="shared" si="28"/>
        <v/>
      </c>
      <c r="D357" s="557" t="str">
        <f t="shared" si="29"/>
        <v/>
      </c>
      <c r="E357" s="560"/>
      <c r="F357" s="559"/>
      <c r="G357" s="559" t="str">
        <f t="shared" si="30"/>
        <v/>
      </c>
      <c r="H357" s="559" t="str">
        <f t="shared" si="31"/>
        <v/>
      </c>
      <c r="I357" s="559" t="str">
        <f t="shared" si="32"/>
        <v/>
      </c>
    </row>
    <row r="358" spans="2:9">
      <c r="B358" s="555" t="str">
        <f t="shared" si="27"/>
        <v/>
      </c>
      <c r="C358" s="556" t="str">
        <f t="shared" si="28"/>
        <v/>
      </c>
      <c r="D358" s="557" t="str">
        <f t="shared" si="29"/>
        <v/>
      </c>
      <c r="E358" s="560"/>
      <c r="F358" s="559"/>
      <c r="G358" s="559" t="str">
        <f t="shared" si="30"/>
        <v/>
      </c>
      <c r="H358" s="559" t="str">
        <f t="shared" si="31"/>
        <v/>
      </c>
      <c r="I358" s="559" t="str">
        <f t="shared" si="32"/>
        <v/>
      </c>
    </row>
    <row r="359" spans="2:9">
      <c r="B359" s="555" t="str">
        <f t="shared" si="27"/>
        <v/>
      </c>
      <c r="C359" s="556" t="str">
        <f t="shared" si="28"/>
        <v/>
      </c>
      <c r="D359" s="557" t="str">
        <f t="shared" si="29"/>
        <v/>
      </c>
      <c r="E359" s="560"/>
      <c r="F359" s="559"/>
      <c r="G359" s="559" t="str">
        <f t="shared" si="30"/>
        <v/>
      </c>
      <c r="H359" s="559" t="str">
        <f t="shared" si="31"/>
        <v/>
      </c>
      <c r="I359" s="559" t="str">
        <f t="shared" si="32"/>
        <v/>
      </c>
    </row>
    <row r="360" spans="2:9">
      <c r="B360" s="555" t="str">
        <f t="shared" si="27"/>
        <v/>
      </c>
      <c r="C360" s="556" t="str">
        <f t="shared" si="28"/>
        <v/>
      </c>
      <c r="D360" s="557" t="str">
        <f t="shared" si="29"/>
        <v/>
      </c>
      <c r="E360" s="560"/>
      <c r="F360" s="559"/>
      <c r="G360" s="559" t="str">
        <f t="shared" si="30"/>
        <v/>
      </c>
      <c r="H360" s="559" t="str">
        <f t="shared" si="31"/>
        <v/>
      </c>
      <c r="I360" s="559" t="str">
        <f t="shared" si="32"/>
        <v/>
      </c>
    </row>
    <row r="361" spans="2:9">
      <c r="B361" s="555" t="str">
        <f t="shared" si="27"/>
        <v/>
      </c>
      <c r="C361" s="556" t="str">
        <f t="shared" si="28"/>
        <v/>
      </c>
      <c r="D361" s="557" t="str">
        <f t="shared" si="29"/>
        <v/>
      </c>
      <c r="E361" s="560"/>
      <c r="F361" s="559"/>
      <c r="G361" s="559" t="str">
        <f t="shared" si="30"/>
        <v/>
      </c>
      <c r="H361" s="559" t="str">
        <f t="shared" si="31"/>
        <v/>
      </c>
      <c r="I361" s="559" t="str">
        <f t="shared" si="32"/>
        <v/>
      </c>
    </row>
    <row r="362" spans="2:9">
      <c r="B362" s="555" t="str">
        <f t="shared" si="27"/>
        <v/>
      </c>
      <c r="C362" s="556" t="str">
        <f t="shared" si="28"/>
        <v/>
      </c>
      <c r="D362" s="557" t="str">
        <f t="shared" si="29"/>
        <v/>
      </c>
      <c r="E362" s="560"/>
      <c r="F362" s="559"/>
      <c r="G362" s="559" t="str">
        <f t="shared" si="30"/>
        <v/>
      </c>
      <c r="H362" s="559" t="str">
        <f t="shared" si="31"/>
        <v/>
      </c>
      <c r="I362" s="559" t="str">
        <f t="shared" si="32"/>
        <v/>
      </c>
    </row>
    <row r="363" spans="2:9">
      <c r="B363" s="555" t="str">
        <f t="shared" si="27"/>
        <v/>
      </c>
      <c r="C363" s="556" t="str">
        <f t="shared" si="28"/>
        <v/>
      </c>
      <c r="D363" s="557" t="str">
        <f t="shared" si="29"/>
        <v/>
      </c>
      <c r="E363" s="560"/>
      <c r="F363" s="559"/>
      <c r="G363" s="559" t="str">
        <f t="shared" si="30"/>
        <v/>
      </c>
      <c r="H363" s="559" t="str">
        <f t="shared" si="31"/>
        <v/>
      </c>
      <c r="I363" s="559" t="str">
        <f t="shared" si="32"/>
        <v/>
      </c>
    </row>
    <row r="364" spans="2:9">
      <c r="B364" s="555" t="str">
        <f t="shared" si="27"/>
        <v/>
      </c>
      <c r="C364" s="556" t="str">
        <f t="shared" si="28"/>
        <v/>
      </c>
      <c r="D364" s="557" t="str">
        <f t="shared" si="29"/>
        <v/>
      </c>
      <c r="E364" s="560"/>
      <c r="F364" s="559"/>
      <c r="G364" s="559" t="str">
        <f t="shared" si="30"/>
        <v/>
      </c>
      <c r="H364" s="559" t="str">
        <f t="shared" si="31"/>
        <v/>
      </c>
      <c r="I364" s="559" t="str">
        <f t="shared" si="32"/>
        <v/>
      </c>
    </row>
    <row r="365" spans="2:9">
      <c r="B365" s="555" t="str">
        <f t="shared" si="27"/>
        <v/>
      </c>
      <c r="C365" s="556" t="str">
        <f t="shared" si="28"/>
        <v/>
      </c>
      <c r="D365" s="557" t="str">
        <f t="shared" si="29"/>
        <v/>
      </c>
      <c r="E365" s="560"/>
      <c r="F365" s="559"/>
      <c r="G365" s="559" t="str">
        <f t="shared" si="30"/>
        <v/>
      </c>
      <c r="H365" s="559" t="str">
        <f t="shared" si="31"/>
        <v/>
      </c>
      <c r="I365" s="559" t="str">
        <f t="shared" si="32"/>
        <v/>
      </c>
    </row>
    <row r="366" spans="2:9">
      <c r="B366" s="555" t="str">
        <f t="shared" si="27"/>
        <v/>
      </c>
      <c r="C366" s="556" t="str">
        <f t="shared" si="28"/>
        <v/>
      </c>
      <c r="D366" s="557" t="str">
        <f t="shared" si="29"/>
        <v/>
      </c>
      <c r="E366" s="560"/>
      <c r="F366" s="559"/>
      <c r="G366" s="559" t="str">
        <f t="shared" si="30"/>
        <v/>
      </c>
      <c r="H366" s="559" t="str">
        <f t="shared" si="31"/>
        <v/>
      </c>
      <c r="I366" s="559" t="str">
        <f t="shared" si="32"/>
        <v/>
      </c>
    </row>
    <row r="367" spans="2:9">
      <c r="B367" s="555" t="str">
        <f t="shared" si="27"/>
        <v/>
      </c>
      <c r="C367" s="556" t="str">
        <f t="shared" si="28"/>
        <v/>
      </c>
      <c r="D367" s="557" t="str">
        <f t="shared" si="29"/>
        <v/>
      </c>
      <c r="E367" s="560"/>
      <c r="F367" s="559"/>
      <c r="G367" s="559" t="str">
        <f t="shared" si="30"/>
        <v/>
      </c>
      <c r="H367" s="559" t="str">
        <f t="shared" si="31"/>
        <v/>
      </c>
      <c r="I367" s="559" t="str">
        <f t="shared" si="32"/>
        <v/>
      </c>
    </row>
    <row r="368" spans="2:9">
      <c r="B368" s="555" t="str">
        <f t="shared" si="27"/>
        <v/>
      </c>
      <c r="C368" s="556" t="str">
        <f t="shared" si="28"/>
        <v/>
      </c>
      <c r="D368" s="557" t="str">
        <f t="shared" si="29"/>
        <v/>
      </c>
      <c r="E368" s="560"/>
      <c r="F368" s="559"/>
      <c r="G368" s="559" t="str">
        <f t="shared" si="30"/>
        <v/>
      </c>
      <c r="H368" s="559" t="str">
        <f t="shared" si="31"/>
        <v/>
      </c>
      <c r="I368" s="559" t="str">
        <f t="shared" si="32"/>
        <v/>
      </c>
    </row>
    <row r="369" spans="2:9">
      <c r="B369" s="555" t="str">
        <f t="shared" si="27"/>
        <v/>
      </c>
      <c r="C369" s="556" t="str">
        <f t="shared" si="28"/>
        <v/>
      </c>
      <c r="D369" s="557" t="str">
        <f t="shared" si="29"/>
        <v/>
      </c>
      <c r="E369" s="560"/>
      <c r="F369" s="559"/>
      <c r="G369" s="559" t="str">
        <f t="shared" si="30"/>
        <v/>
      </c>
      <c r="H369" s="559" t="str">
        <f t="shared" si="31"/>
        <v/>
      </c>
      <c r="I369" s="559" t="str">
        <f t="shared" si="32"/>
        <v/>
      </c>
    </row>
    <row r="370" spans="2:9">
      <c r="B370" s="555" t="str">
        <f t="shared" si="27"/>
        <v/>
      </c>
      <c r="C370" s="556" t="str">
        <f t="shared" si="28"/>
        <v/>
      </c>
      <c r="D370" s="557" t="str">
        <f t="shared" si="29"/>
        <v/>
      </c>
      <c r="E370" s="560"/>
      <c r="F370" s="559"/>
      <c r="G370" s="559" t="str">
        <f t="shared" si="30"/>
        <v/>
      </c>
      <c r="H370" s="559" t="str">
        <f t="shared" si="31"/>
        <v/>
      </c>
      <c r="I370" s="559" t="str">
        <f t="shared" si="32"/>
        <v/>
      </c>
    </row>
    <row r="371" spans="2:9">
      <c r="B371" s="555" t="str">
        <f t="shared" si="27"/>
        <v/>
      </c>
      <c r="C371" s="556" t="str">
        <f t="shared" si="28"/>
        <v/>
      </c>
      <c r="D371" s="557" t="str">
        <f t="shared" si="29"/>
        <v/>
      </c>
      <c r="E371" s="560"/>
      <c r="F371" s="559"/>
      <c r="G371" s="559" t="str">
        <f t="shared" si="30"/>
        <v/>
      </c>
      <c r="H371" s="559" t="str">
        <f t="shared" si="31"/>
        <v/>
      </c>
      <c r="I371" s="559" t="str">
        <f t="shared" si="32"/>
        <v/>
      </c>
    </row>
    <row r="372" spans="2:9">
      <c r="B372" s="555" t="str">
        <f t="shared" si="27"/>
        <v/>
      </c>
      <c r="C372" s="556" t="str">
        <f t="shared" si="28"/>
        <v/>
      </c>
      <c r="D372" s="557" t="str">
        <f t="shared" si="29"/>
        <v/>
      </c>
      <c r="E372" s="560"/>
      <c r="F372" s="559"/>
      <c r="G372" s="559" t="str">
        <f t="shared" si="30"/>
        <v/>
      </c>
      <c r="H372" s="559" t="str">
        <f t="shared" si="31"/>
        <v/>
      </c>
      <c r="I372" s="559" t="str">
        <f t="shared" si="32"/>
        <v/>
      </c>
    </row>
    <row r="373" spans="2:9">
      <c r="B373" s="555" t="str">
        <f t="shared" si="27"/>
        <v/>
      </c>
      <c r="C373" s="556" t="str">
        <f t="shared" si="28"/>
        <v/>
      </c>
      <c r="D373" s="557" t="str">
        <f t="shared" si="29"/>
        <v/>
      </c>
      <c r="E373" s="560"/>
      <c r="F373" s="559"/>
      <c r="G373" s="559" t="str">
        <f t="shared" si="30"/>
        <v/>
      </c>
      <c r="H373" s="559" t="str">
        <f t="shared" si="31"/>
        <v/>
      </c>
      <c r="I373" s="559" t="str">
        <f t="shared" si="32"/>
        <v/>
      </c>
    </row>
    <row r="374" spans="2:9">
      <c r="B374" s="555" t="str">
        <f t="shared" si="27"/>
        <v/>
      </c>
      <c r="C374" s="556" t="str">
        <f t="shared" si="28"/>
        <v/>
      </c>
      <c r="D374" s="557" t="str">
        <f t="shared" si="29"/>
        <v/>
      </c>
      <c r="E374" s="560"/>
      <c r="F374" s="559"/>
      <c r="G374" s="559" t="str">
        <f t="shared" si="30"/>
        <v/>
      </c>
      <c r="H374" s="559" t="str">
        <f t="shared" si="31"/>
        <v/>
      </c>
      <c r="I374" s="559" t="str">
        <f t="shared" si="32"/>
        <v/>
      </c>
    </row>
    <row r="375" spans="2:9">
      <c r="B375" s="555" t="str">
        <f t="shared" si="27"/>
        <v/>
      </c>
      <c r="C375" s="556" t="str">
        <f t="shared" si="28"/>
        <v/>
      </c>
      <c r="D375" s="557" t="str">
        <f t="shared" si="29"/>
        <v/>
      </c>
      <c r="E375" s="560"/>
      <c r="F375" s="559"/>
      <c r="G375" s="559" t="str">
        <f t="shared" si="30"/>
        <v/>
      </c>
      <c r="H375" s="559" t="str">
        <f t="shared" si="31"/>
        <v/>
      </c>
      <c r="I375" s="559" t="str">
        <f t="shared" si="32"/>
        <v/>
      </c>
    </row>
    <row r="376" spans="2:9">
      <c r="B376" s="555" t="str">
        <f t="shared" si="27"/>
        <v/>
      </c>
      <c r="C376" s="556" t="str">
        <f t="shared" si="28"/>
        <v/>
      </c>
      <c r="D376" s="557" t="str">
        <f t="shared" si="29"/>
        <v/>
      </c>
      <c r="E376" s="560"/>
      <c r="F376" s="559"/>
      <c r="G376" s="559" t="str">
        <f t="shared" si="30"/>
        <v/>
      </c>
      <c r="H376" s="559" t="str">
        <f t="shared" si="31"/>
        <v/>
      </c>
      <c r="I376" s="559" t="str">
        <f t="shared" si="32"/>
        <v/>
      </c>
    </row>
    <row r="377" spans="2:9">
      <c r="B377" s="555" t="str">
        <f t="shared" si="27"/>
        <v/>
      </c>
      <c r="C377" s="556" t="str">
        <f t="shared" si="28"/>
        <v/>
      </c>
      <c r="D377" s="557" t="str">
        <f t="shared" si="29"/>
        <v/>
      </c>
      <c r="E377" s="560"/>
      <c r="F377" s="559"/>
      <c r="G377" s="559" t="str">
        <f t="shared" si="30"/>
        <v/>
      </c>
      <c r="H377" s="559" t="str">
        <f t="shared" si="31"/>
        <v/>
      </c>
      <c r="I377" s="559" t="str">
        <f t="shared" si="32"/>
        <v/>
      </c>
    </row>
    <row r="378" spans="2:9">
      <c r="B378" s="555" t="str">
        <f t="shared" si="27"/>
        <v/>
      </c>
      <c r="C378" s="556" t="str">
        <f t="shared" si="28"/>
        <v/>
      </c>
      <c r="D378" s="557" t="str">
        <f t="shared" si="29"/>
        <v/>
      </c>
      <c r="E378" s="560"/>
      <c r="F378" s="559"/>
      <c r="G378" s="559" t="str">
        <f t="shared" si="30"/>
        <v/>
      </c>
      <c r="H378" s="559" t="str">
        <f t="shared" si="31"/>
        <v/>
      </c>
      <c r="I378" s="559" t="str">
        <f t="shared" si="32"/>
        <v/>
      </c>
    </row>
    <row r="379" spans="2:9">
      <c r="B379" s="555" t="str">
        <f t="shared" si="27"/>
        <v/>
      </c>
      <c r="C379" s="556" t="str">
        <f t="shared" si="28"/>
        <v/>
      </c>
      <c r="D379" s="557" t="str">
        <f t="shared" si="29"/>
        <v/>
      </c>
      <c r="E379" s="560"/>
      <c r="F379" s="559"/>
      <c r="G379" s="559" t="str">
        <f t="shared" si="30"/>
        <v/>
      </c>
      <c r="H379" s="559" t="str">
        <f t="shared" si="31"/>
        <v/>
      </c>
      <c r="I379" s="559" t="str">
        <f t="shared" si="32"/>
        <v/>
      </c>
    </row>
    <row r="380" spans="2:9">
      <c r="B380" s="555" t="str">
        <f t="shared" si="27"/>
        <v/>
      </c>
      <c r="C380" s="556" t="str">
        <f t="shared" si="28"/>
        <v/>
      </c>
      <c r="D380" s="557" t="str">
        <f t="shared" si="29"/>
        <v/>
      </c>
      <c r="E380" s="560"/>
      <c r="F380" s="559"/>
      <c r="G380" s="559" t="str">
        <f t="shared" si="30"/>
        <v/>
      </c>
      <c r="H380" s="559" t="str">
        <f t="shared" si="31"/>
        <v/>
      </c>
      <c r="I380" s="559" t="str">
        <f t="shared" si="32"/>
        <v/>
      </c>
    </row>
    <row r="381" spans="2:9">
      <c r="B381" s="555" t="str">
        <f t="shared" ref="B381:B444" si="33">IF(I380="","",IF(roundOpt,IF(OR(B380&gt;=nper,ROUND(I380,2)&lt;=0),"",B380+1),IF(OR(B380&gt;=nper,I380&lt;=0),"",B380+1)))</f>
        <v/>
      </c>
      <c r="C381" s="556" t="str">
        <f t="shared" ref="C381:C444" si="34">IF(B381="","",IF(OR(periods_per_year=26,periods_per_year=52),IF(periods_per_year=26,IF(B381=1,fpdate,C380+14),IF(periods_per_year=52,IF(B381=1,fpdate,C380+7),"n/a")),IF(periods_per_year=24,DATE(YEAR(fpdate),MONTH(fpdate)+(B381-1)/2+IF(AND(DAY(fpdate)&gt;=15,MOD(B381,2)=0),1,0),IF(MOD(B381,2)=0,IF(DAY(fpdate)&gt;=15,DAY(fpdate)-14,DAY(fpdate)+14),DAY(fpdate))),IF(DAY(DATE(YEAR(fpdate),MONTH(fpdate)+(B381-1)*months_per_period,DAY(fpdate)))&lt;&gt;DAY(fpdate),DATE(YEAR(fpdate),MONTH(fpdate)+(B381-1)*months_per_period+1,0),DATE(YEAR(fpdate),MONTH(fpdate)+(B381-1)*months_per_period,DAY(fpdate))))))</f>
        <v/>
      </c>
      <c r="D381" s="557" t="str">
        <f t="shared" ref="D381:D444" si="35">IF(B381="","",IF(roundOpt,IF(OR(B381=nper,payment&gt;ROUND((1+rate)*I380,2)),ROUND((1+rate)*I380,2),payment),IF(OR(B381=nper,payment&gt;(1+rate)*I380),(1+rate)*I380,payment)))</f>
        <v/>
      </c>
      <c r="E381" s="560"/>
      <c r="F381" s="559"/>
      <c r="G381" s="559" t="str">
        <f t="shared" ref="G381:G444" si="36">IF(B381="","",IF(AND(B381=1,pmtType=1),0,IF(roundOpt,ROUND(rate*I380,2),rate*I380)))</f>
        <v/>
      </c>
      <c r="H381" s="559" t="str">
        <f t="shared" ref="H381:H444" si="37">IF(B381="","",D381-G381+E381)</f>
        <v/>
      </c>
      <c r="I381" s="559" t="str">
        <f t="shared" ref="I381:I444" si="38">IF(B381="","",I380-H381)</f>
        <v/>
      </c>
    </row>
    <row r="382" spans="2:9">
      <c r="B382" s="555" t="str">
        <f t="shared" si="33"/>
        <v/>
      </c>
      <c r="C382" s="556" t="str">
        <f t="shared" si="34"/>
        <v/>
      </c>
      <c r="D382" s="557" t="str">
        <f t="shared" si="35"/>
        <v/>
      </c>
      <c r="E382" s="560"/>
      <c r="F382" s="559"/>
      <c r="G382" s="559" t="str">
        <f t="shared" si="36"/>
        <v/>
      </c>
      <c r="H382" s="559" t="str">
        <f t="shared" si="37"/>
        <v/>
      </c>
      <c r="I382" s="559" t="str">
        <f t="shared" si="38"/>
        <v/>
      </c>
    </row>
    <row r="383" spans="2:9">
      <c r="B383" s="555" t="str">
        <f t="shared" si="33"/>
        <v/>
      </c>
      <c r="C383" s="556" t="str">
        <f t="shared" si="34"/>
        <v/>
      </c>
      <c r="D383" s="557" t="str">
        <f t="shared" si="35"/>
        <v/>
      </c>
      <c r="E383" s="560"/>
      <c r="F383" s="559"/>
      <c r="G383" s="559" t="str">
        <f t="shared" si="36"/>
        <v/>
      </c>
      <c r="H383" s="559" t="str">
        <f t="shared" si="37"/>
        <v/>
      </c>
      <c r="I383" s="559" t="str">
        <f t="shared" si="38"/>
        <v/>
      </c>
    </row>
    <row r="384" spans="2:9">
      <c r="B384" s="555" t="str">
        <f t="shared" si="33"/>
        <v/>
      </c>
      <c r="C384" s="556" t="str">
        <f t="shared" si="34"/>
        <v/>
      </c>
      <c r="D384" s="557" t="str">
        <f t="shared" si="35"/>
        <v/>
      </c>
      <c r="E384" s="560"/>
      <c r="F384" s="559"/>
      <c r="G384" s="559" t="str">
        <f t="shared" si="36"/>
        <v/>
      </c>
      <c r="H384" s="559" t="str">
        <f t="shared" si="37"/>
        <v/>
      </c>
      <c r="I384" s="559" t="str">
        <f t="shared" si="38"/>
        <v/>
      </c>
    </row>
    <row r="385" spans="2:9">
      <c r="B385" s="555" t="str">
        <f t="shared" si="33"/>
        <v/>
      </c>
      <c r="C385" s="556" t="str">
        <f t="shared" si="34"/>
        <v/>
      </c>
      <c r="D385" s="557" t="str">
        <f t="shared" si="35"/>
        <v/>
      </c>
      <c r="E385" s="560"/>
      <c r="F385" s="559"/>
      <c r="G385" s="559" t="str">
        <f t="shared" si="36"/>
        <v/>
      </c>
      <c r="H385" s="559" t="str">
        <f t="shared" si="37"/>
        <v/>
      </c>
      <c r="I385" s="559" t="str">
        <f t="shared" si="38"/>
        <v/>
      </c>
    </row>
    <row r="386" spans="2:9">
      <c r="B386" s="555" t="str">
        <f t="shared" si="33"/>
        <v/>
      </c>
      <c r="C386" s="556" t="str">
        <f t="shared" si="34"/>
        <v/>
      </c>
      <c r="D386" s="557" t="str">
        <f t="shared" si="35"/>
        <v/>
      </c>
      <c r="E386" s="560"/>
      <c r="F386" s="559"/>
      <c r="G386" s="559" t="str">
        <f t="shared" si="36"/>
        <v/>
      </c>
      <c r="H386" s="559" t="str">
        <f t="shared" si="37"/>
        <v/>
      </c>
      <c r="I386" s="559" t="str">
        <f t="shared" si="38"/>
        <v/>
      </c>
    </row>
    <row r="387" spans="2:9">
      <c r="B387" s="555" t="str">
        <f t="shared" si="33"/>
        <v/>
      </c>
      <c r="C387" s="556" t="str">
        <f t="shared" si="34"/>
        <v/>
      </c>
      <c r="D387" s="557" t="str">
        <f t="shared" si="35"/>
        <v/>
      </c>
      <c r="E387" s="560"/>
      <c r="F387" s="559"/>
      <c r="G387" s="559" t="str">
        <f t="shared" si="36"/>
        <v/>
      </c>
      <c r="H387" s="559" t="str">
        <f t="shared" si="37"/>
        <v/>
      </c>
      <c r="I387" s="559" t="str">
        <f t="shared" si="38"/>
        <v/>
      </c>
    </row>
    <row r="388" spans="2:9">
      <c r="B388" s="555" t="str">
        <f t="shared" si="33"/>
        <v/>
      </c>
      <c r="C388" s="556" t="str">
        <f t="shared" si="34"/>
        <v/>
      </c>
      <c r="D388" s="557" t="str">
        <f t="shared" si="35"/>
        <v/>
      </c>
      <c r="E388" s="560"/>
      <c r="F388" s="559"/>
      <c r="G388" s="559" t="str">
        <f t="shared" si="36"/>
        <v/>
      </c>
      <c r="H388" s="559" t="str">
        <f t="shared" si="37"/>
        <v/>
      </c>
      <c r="I388" s="559" t="str">
        <f t="shared" si="38"/>
        <v/>
      </c>
    </row>
    <row r="389" spans="2:9">
      <c r="B389" s="555" t="str">
        <f t="shared" si="33"/>
        <v/>
      </c>
      <c r="C389" s="556" t="str">
        <f t="shared" si="34"/>
        <v/>
      </c>
      <c r="D389" s="557" t="str">
        <f t="shared" si="35"/>
        <v/>
      </c>
      <c r="E389" s="560"/>
      <c r="F389" s="559"/>
      <c r="G389" s="559" t="str">
        <f t="shared" si="36"/>
        <v/>
      </c>
      <c r="H389" s="559" t="str">
        <f t="shared" si="37"/>
        <v/>
      </c>
      <c r="I389" s="559" t="str">
        <f t="shared" si="38"/>
        <v/>
      </c>
    </row>
    <row r="390" spans="2:9">
      <c r="B390" s="555" t="str">
        <f t="shared" si="33"/>
        <v/>
      </c>
      <c r="C390" s="556" t="str">
        <f t="shared" si="34"/>
        <v/>
      </c>
      <c r="D390" s="557" t="str">
        <f t="shared" si="35"/>
        <v/>
      </c>
      <c r="E390" s="560"/>
      <c r="F390" s="559"/>
      <c r="G390" s="559" t="str">
        <f t="shared" si="36"/>
        <v/>
      </c>
      <c r="H390" s="559" t="str">
        <f t="shared" si="37"/>
        <v/>
      </c>
      <c r="I390" s="559" t="str">
        <f t="shared" si="38"/>
        <v/>
      </c>
    </row>
    <row r="391" spans="2:9">
      <c r="B391" s="555" t="str">
        <f t="shared" si="33"/>
        <v/>
      </c>
      <c r="C391" s="556" t="str">
        <f t="shared" si="34"/>
        <v/>
      </c>
      <c r="D391" s="557" t="str">
        <f t="shared" si="35"/>
        <v/>
      </c>
      <c r="E391" s="560"/>
      <c r="F391" s="559"/>
      <c r="G391" s="559" t="str">
        <f t="shared" si="36"/>
        <v/>
      </c>
      <c r="H391" s="559" t="str">
        <f t="shared" si="37"/>
        <v/>
      </c>
      <c r="I391" s="559" t="str">
        <f t="shared" si="38"/>
        <v/>
      </c>
    </row>
    <row r="392" spans="2:9">
      <c r="B392" s="555" t="str">
        <f t="shared" si="33"/>
        <v/>
      </c>
      <c r="C392" s="556" t="str">
        <f t="shared" si="34"/>
        <v/>
      </c>
      <c r="D392" s="557" t="str">
        <f t="shared" si="35"/>
        <v/>
      </c>
      <c r="E392" s="560"/>
      <c r="F392" s="559"/>
      <c r="G392" s="559" t="str">
        <f t="shared" si="36"/>
        <v/>
      </c>
      <c r="H392" s="559" t="str">
        <f t="shared" si="37"/>
        <v/>
      </c>
      <c r="I392" s="559" t="str">
        <f t="shared" si="38"/>
        <v/>
      </c>
    </row>
    <row r="393" spans="2:9">
      <c r="B393" s="555" t="str">
        <f t="shared" si="33"/>
        <v/>
      </c>
      <c r="C393" s="556" t="str">
        <f t="shared" si="34"/>
        <v/>
      </c>
      <c r="D393" s="557" t="str">
        <f t="shared" si="35"/>
        <v/>
      </c>
      <c r="E393" s="560"/>
      <c r="F393" s="559"/>
      <c r="G393" s="559" t="str">
        <f t="shared" si="36"/>
        <v/>
      </c>
      <c r="H393" s="559" t="str">
        <f t="shared" si="37"/>
        <v/>
      </c>
      <c r="I393" s="559" t="str">
        <f t="shared" si="38"/>
        <v/>
      </c>
    </row>
    <row r="394" spans="2:9">
      <c r="B394" s="555" t="str">
        <f t="shared" si="33"/>
        <v/>
      </c>
      <c r="C394" s="556" t="str">
        <f t="shared" si="34"/>
        <v/>
      </c>
      <c r="D394" s="557" t="str">
        <f t="shared" si="35"/>
        <v/>
      </c>
      <c r="E394" s="560"/>
      <c r="F394" s="559"/>
      <c r="G394" s="559" t="str">
        <f t="shared" si="36"/>
        <v/>
      </c>
      <c r="H394" s="559" t="str">
        <f t="shared" si="37"/>
        <v/>
      </c>
      <c r="I394" s="559" t="str">
        <f t="shared" si="38"/>
        <v/>
      </c>
    </row>
    <row r="395" spans="2:9">
      <c r="B395" s="555" t="str">
        <f t="shared" si="33"/>
        <v/>
      </c>
      <c r="C395" s="556" t="str">
        <f t="shared" si="34"/>
        <v/>
      </c>
      <c r="D395" s="557" t="str">
        <f t="shared" si="35"/>
        <v/>
      </c>
      <c r="E395" s="560"/>
      <c r="F395" s="559"/>
      <c r="G395" s="559" t="str">
        <f t="shared" si="36"/>
        <v/>
      </c>
      <c r="H395" s="559" t="str">
        <f t="shared" si="37"/>
        <v/>
      </c>
      <c r="I395" s="559" t="str">
        <f t="shared" si="38"/>
        <v/>
      </c>
    </row>
    <row r="396" spans="2:9">
      <c r="B396" s="555" t="str">
        <f t="shared" si="33"/>
        <v/>
      </c>
      <c r="C396" s="556" t="str">
        <f t="shared" si="34"/>
        <v/>
      </c>
      <c r="D396" s="557" t="str">
        <f t="shared" si="35"/>
        <v/>
      </c>
      <c r="E396" s="560"/>
      <c r="F396" s="559"/>
      <c r="G396" s="559" t="str">
        <f t="shared" si="36"/>
        <v/>
      </c>
      <c r="H396" s="559" t="str">
        <f t="shared" si="37"/>
        <v/>
      </c>
      <c r="I396" s="559" t="str">
        <f t="shared" si="38"/>
        <v/>
      </c>
    </row>
    <row r="397" spans="2:9">
      <c r="B397" s="555" t="str">
        <f t="shared" si="33"/>
        <v/>
      </c>
      <c r="C397" s="556" t="str">
        <f t="shared" si="34"/>
        <v/>
      </c>
      <c r="D397" s="557" t="str">
        <f t="shared" si="35"/>
        <v/>
      </c>
      <c r="E397" s="560"/>
      <c r="F397" s="559"/>
      <c r="G397" s="559" t="str">
        <f t="shared" si="36"/>
        <v/>
      </c>
      <c r="H397" s="559" t="str">
        <f t="shared" si="37"/>
        <v/>
      </c>
      <c r="I397" s="559" t="str">
        <f t="shared" si="38"/>
        <v/>
      </c>
    </row>
    <row r="398" spans="2:9">
      <c r="B398" s="555" t="str">
        <f t="shared" si="33"/>
        <v/>
      </c>
      <c r="C398" s="556" t="str">
        <f t="shared" si="34"/>
        <v/>
      </c>
      <c r="D398" s="557" t="str">
        <f t="shared" si="35"/>
        <v/>
      </c>
      <c r="E398" s="560"/>
      <c r="F398" s="559"/>
      <c r="G398" s="559" t="str">
        <f t="shared" si="36"/>
        <v/>
      </c>
      <c r="H398" s="559" t="str">
        <f t="shared" si="37"/>
        <v/>
      </c>
      <c r="I398" s="559" t="str">
        <f t="shared" si="38"/>
        <v/>
      </c>
    </row>
    <row r="399" spans="2:9">
      <c r="B399" s="555" t="str">
        <f t="shared" si="33"/>
        <v/>
      </c>
      <c r="C399" s="556" t="str">
        <f t="shared" si="34"/>
        <v/>
      </c>
      <c r="D399" s="557" t="str">
        <f t="shared" si="35"/>
        <v/>
      </c>
      <c r="E399" s="560"/>
      <c r="F399" s="559"/>
      <c r="G399" s="559" t="str">
        <f t="shared" si="36"/>
        <v/>
      </c>
      <c r="H399" s="559" t="str">
        <f t="shared" si="37"/>
        <v/>
      </c>
      <c r="I399" s="559" t="str">
        <f t="shared" si="38"/>
        <v/>
      </c>
    </row>
    <row r="400" spans="2:9">
      <c r="B400" s="555" t="str">
        <f t="shared" si="33"/>
        <v/>
      </c>
      <c r="C400" s="556" t="str">
        <f t="shared" si="34"/>
        <v/>
      </c>
      <c r="D400" s="557" t="str">
        <f t="shared" si="35"/>
        <v/>
      </c>
      <c r="E400" s="560"/>
      <c r="F400" s="559"/>
      <c r="G400" s="559" t="str">
        <f t="shared" si="36"/>
        <v/>
      </c>
      <c r="H400" s="559" t="str">
        <f t="shared" si="37"/>
        <v/>
      </c>
      <c r="I400" s="559" t="str">
        <f t="shared" si="38"/>
        <v/>
      </c>
    </row>
    <row r="401" spans="2:9">
      <c r="B401" s="555" t="str">
        <f t="shared" si="33"/>
        <v/>
      </c>
      <c r="C401" s="556" t="str">
        <f t="shared" si="34"/>
        <v/>
      </c>
      <c r="D401" s="557" t="str">
        <f t="shared" si="35"/>
        <v/>
      </c>
      <c r="E401" s="560"/>
      <c r="F401" s="559"/>
      <c r="G401" s="559" t="str">
        <f t="shared" si="36"/>
        <v/>
      </c>
      <c r="H401" s="559" t="str">
        <f t="shared" si="37"/>
        <v/>
      </c>
      <c r="I401" s="559" t="str">
        <f t="shared" si="38"/>
        <v/>
      </c>
    </row>
    <row r="402" spans="2:9">
      <c r="B402" s="555" t="str">
        <f t="shared" si="33"/>
        <v/>
      </c>
      <c r="C402" s="556" t="str">
        <f t="shared" si="34"/>
        <v/>
      </c>
      <c r="D402" s="557" t="str">
        <f t="shared" si="35"/>
        <v/>
      </c>
      <c r="E402" s="560"/>
      <c r="F402" s="559"/>
      <c r="G402" s="559" t="str">
        <f t="shared" si="36"/>
        <v/>
      </c>
      <c r="H402" s="559" t="str">
        <f t="shared" si="37"/>
        <v/>
      </c>
      <c r="I402" s="559" t="str">
        <f t="shared" si="38"/>
        <v/>
      </c>
    </row>
    <row r="403" spans="2:9">
      <c r="B403" s="555" t="str">
        <f t="shared" si="33"/>
        <v/>
      </c>
      <c r="C403" s="556" t="str">
        <f t="shared" si="34"/>
        <v/>
      </c>
      <c r="D403" s="557" t="str">
        <f t="shared" si="35"/>
        <v/>
      </c>
      <c r="E403" s="560"/>
      <c r="F403" s="559"/>
      <c r="G403" s="559" t="str">
        <f t="shared" si="36"/>
        <v/>
      </c>
      <c r="H403" s="559" t="str">
        <f t="shared" si="37"/>
        <v/>
      </c>
      <c r="I403" s="559" t="str">
        <f t="shared" si="38"/>
        <v/>
      </c>
    </row>
    <row r="404" spans="2:9">
      <c r="B404" s="555" t="str">
        <f t="shared" si="33"/>
        <v/>
      </c>
      <c r="C404" s="556" t="str">
        <f t="shared" si="34"/>
        <v/>
      </c>
      <c r="D404" s="557" t="str">
        <f t="shared" si="35"/>
        <v/>
      </c>
      <c r="E404" s="560"/>
      <c r="F404" s="559"/>
      <c r="G404" s="559" t="str">
        <f t="shared" si="36"/>
        <v/>
      </c>
      <c r="H404" s="559" t="str">
        <f t="shared" si="37"/>
        <v/>
      </c>
      <c r="I404" s="559" t="str">
        <f t="shared" si="38"/>
        <v/>
      </c>
    </row>
    <row r="405" spans="2:9">
      <c r="B405" s="555" t="str">
        <f t="shared" si="33"/>
        <v/>
      </c>
      <c r="C405" s="556" t="str">
        <f t="shared" si="34"/>
        <v/>
      </c>
      <c r="D405" s="557" t="str">
        <f t="shared" si="35"/>
        <v/>
      </c>
      <c r="E405" s="560"/>
      <c r="F405" s="559"/>
      <c r="G405" s="559" t="str">
        <f t="shared" si="36"/>
        <v/>
      </c>
      <c r="H405" s="559" t="str">
        <f t="shared" si="37"/>
        <v/>
      </c>
      <c r="I405" s="559" t="str">
        <f t="shared" si="38"/>
        <v/>
      </c>
    </row>
    <row r="406" spans="2:9">
      <c r="B406" s="555" t="str">
        <f t="shared" si="33"/>
        <v/>
      </c>
      <c r="C406" s="556" t="str">
        <f t="shared" si="34"/>
        <v/>
      </c>
      <c r="D406" s="557" t="str">
        <f t="shared" si="35"/>
        <v/>
      </c>
      <c r="E406" s="560"/>
      <c r="F406" s="559"/>
      <c r="G406" s="559" t="str">
        <f t="shared" si="36"/>
        <v/>
      </c>
      <c r="H406" s="559" t="str">
        <f t="shared" si="37"/>
        <v/>
      </c>
      <c r="I406" s="559" t="str">
        <f t="shared" si="38"/>
        <v/>
      </c>
    </row>
    <row r="407" spans="2:9">
      <c r="B407" s="555" t="str">
        <f t="shared" si="33"/>
        <v/>
      </c>
      <c r="C407" s="556" t="str">
        <f t="shared" si="34"/>
        <v/>
      </c>
      <c r="D407" s="557" t="str">
        <f t="shared" si="35"/>
        <v/>
      </c>
      <c r="E407" s="560"/>
      <c r="F407" s="559"/>
      <c r="G407" s="559" t="str">
        <f t="shared" si="36"/>
        <v/>
      </c>
      <c r="H407" s="559" t="str">
        <f t="shared" si="37"/>
        <v/>
      </c>
      <c r="I407" s="559" t="str">
        <f t="shared" si="38"/>
        <v/>
      </c>
    </row>
    <row r="408" spans="2:9">
      <c r="B408" s="555" t="str">
        <f t="shared" si="33"/>
        <v/>
      </c>
      <c r="C408" s="556" t="str">
        <f t="shared" si="34"/>
        <v/>
      </c>
      <c r="D408" s="557" t="str">
        <f t="shared" si="35"/>
        <v/>
      </c>
      <c r="E408" s="560"/>
      <c r="F408" s="559"/>
      <c r="G408" s="559" t="str">
        <f t="shared" si="36"/>
        <v/>
      </c>
      <c r="H408" s="559" t="str">
        <f t="shared" si="37"/>
        <v/>
      </c>
      <c r="I408" s="559" t="str">
        <f t="shared" si="38"/>
        <v/>
      </c>
    </row>
    <row r="409" spans="2:9">
      <c r="B409" s="555" t="str">
        <f t="shared" si="33"/>
        <v/>
      </c>
      <c r="C409" s="556" t="str">
        <f t="shared" si="34"/>
        <v/>
      </c>
      <c r="D409" s="557" t="str">
        <f t="shared" si="35"/>
        <v/>
      </c>
      <c r="E409" s="560"/>
      <c r="F409" s="559"/>
      <c r="G409" s="559" t="str">
        <f t="shared" si="36"/>
        <v/>
      </c>
      <c r="H409" s="559" t="str">
        <f t="shared" si="37"/>
        <v/>
      </c>
      <c r="I409" s="559" t="str">
        <f t="shared" si="38"/>
        <v/>
      </c>
    </row>
    <row r="410" spans="2:9">
      <c r="B410" s="555" t="str">
        <f t="shared" si="33"/>
        <v/>
      </c>
      <c r="C410" s="556" t="str">
        <f t="shared" si="34"/>
        <v/>
      </c>
      <c r="D410" s="557" t="str">
        <f t="shared" si="35"/>
        <v/>
      </c>
      <c r="E410" s="560"/>
      <c r="F410" s="559"/>
      <c r="G410" s="559" t="str">
        <f t="shared" si="36"/>
        <v/>
      </c>
      <c r="H410" s="559" t="str">
        <f t="shared" si="37"/>
        <v/>
      </c>
      <c r="I410" s="559" t="str">
        <f t="shared" si="38"/>
        <v/>
      </c>
    </row>
    <row r="411" spans="2:9">
      <c r="B411" s="555" t="str">
        <f t="shared" si="33"/>
        <v/>
      </c>
      <c r="C411" s="556" t="str">
        <f t="shared" si="34"/>
        <v/>
      </c>
      <c r="D411" s="557" t="str">
        <f t="shared" si="35"/>
        <v/>
      </c>
      <c r="E411" s="560"/>
      <c r="F411" s="559"/>
      <c r="G411" s="559" t="str">
        <f t="shared" si="36"/>
        <v/>
      </c>
      <c r="H411" s="559" t="str">
        <f t="shared" si="37"/>
        <v/>
      </c>
      <c r="I411" s="559" t="str">
        <f t="shared" si="38"/>
        <v/>
      </c>
    </row>
    <row r="412" spans="2:9">
      <c r="B412" s="555" t="str">
        <f t="shared" si="33"/>
        <v/>
      </c>
      <c r="C412" s="556" t="str">
        <f t="shared" si="34"/>
        <v/>
      </c>
      <c r="D412" s="557" t="str">
        <f t="shared" si="35"/>
        <v/>
      </c>
      <c r="E412" s="560"/>
      <c r="F412" s="559"/>
      <c r="G412" s="559" t="str">
        <f t="shared" si="36"/>
        <v/>
      </c>
      <c r="H412" s="559" t="str">
        <f t="shared" si="37"/>
        <v/>
      </c>
      <c r="I412" s="559" t="str">
        <f t="shared" si="38"/>
        <v/>
      </c>
    </row>
    <row r="413" spans="2:9">
      <c r="B413" s="555" t="str">
        <f t="shared" si="33"/>
        <v/>
      </c>
      <c r="C413" s="556" t="str">
        <f t="shared" si="34"/>
        <v/>
      </c>
      <c r="D413" s="557" t="str">
        <f t="shared" si="35"/>
        <v/>
      </c>
      <c r="E413" s="560"/>
      <c r="F413" s="559"/>
      <c r="G413" s="559" t="str">
        <f t="shared" si="36"/>
        <v/>
      </c>
      <c r="H413" s="559" t="str">
        <f t="shared" si="37"/>
        <v/>
      </c>
      <c r="I413" s="559" t="str">
        <f t="shared" si="38"/>
        <v/>
      </c>
    </row>
    <row r="414" spans="2:9">
      <c r="B414" s="555" t="str">
        <f t="shared" si="33"/>
        <v/>
      </c>
      <c r="C414" s="556" t="str">
        <f t="shared" si="34"/>
        <v/>
      </c>
      <c r="D414" s="557" t="str">
        <f t="shared" si="35"/>
        <v/>
      </c>
      <c r="E414" s="560"/>
      <c r="F414" s="559"/>
      <c r="G414" s="559" t="str">
        <f t="shared" si="36"/>
        <v/>
      </c>
      <c r="H414" s="559" t="str">
        <f t="shared" si="37"/>
        <v/>
      </c>
      <c r="I414" s="559" t="str">
        <f t="shared" si="38"/>
        <v/>
      </c>
    </row>
    <row r="415" spans="2:9">
      <c r="B415" s="555" t="str">
        <f t="shared" si="33"/>
        <v/>
      </c>
      <c r="C415" s="556" t="str">
        <f t="shared" si="34"/>
        <v/>
      </c>
      <c r="D415" s="557" t="str">
        <f t="shared" si="35"/>
        <v/>
      </c>
      <c r="E415" s="560"/>
      <c r="F415" s="559"/>
      <c r="G415" s="559" t="str">
        <f t="shared" si="36"/>
        <v/>
      </c>
      <c r="H415" s="559" t="str">
        <f t="shared" si="37"/>
        <v/>
      </c>
      <c r="I415" s="559" t="str">
        <f t="shared" si="38"/>
        <v/>
      </c>
    </row>
    <row r="416" spans="2:9">
      <c r="B416" s="555" t="str">
        <f t="shared" si="33"/>
        <v/>
      </c>
      <c r="C416" s="556" t="str">
        <f t="shared" si="34"/>
        <v/>
      </c>
      <c r="D416" s="557" t="str">
        <f t="shared" si="35"/>
        <v/>
      </c>
      <c r="E416" s="560"/>
      <c r="F416" s="559"/>
      <c r="G416" s="559" t="str">
        <f t="shared" si="36"/>
        <v/>
      </c>
      <c r="H416" s="559" t="str">
        <f t="shared" si="37"/>
        <v/>
      </c>
      <c r="I416" s="559" t="str">
        <f t="shared" si="38"/>
        <v/>
      </c>
    </row>
    <row r="417" spans="2:9">
      <c r="B417" s="555" t="str">
        <f t="shared" si="33"/>
        <v/>
      </c>
      <c r="C417" s="556" t="str">
        <f t="shared" si="34"/>
        <v/>
      </c>
      <c r="D417" s="557" t="str">
        <f t="shared" si="35"/>
        <v/>
      </c>
      <c r="E417" s="560"/>
      <c r="F417" s="559"/>
      <c r="G417" s="559" t="str">
        <f t="shared" si="36"/>
        <v/>
      </c>
      <c r="H417" s="559" t="str">
        <f t="shared" si="37"/>
        <v/>
      </c>
      <c r="I417" s="559" t="str">
        <f t="shared" si="38"/>
        <v/>
      </c>
    </row>
    <row r="418" spans="2:9">
      <c r="B418" s="555" t="str">
        <f t="shared" si="33"/>
        <v/>
      </c>
      <c r="C418" s="556" t="str">
        <f t="shared" si="34"/>
        <v/>
      </c>
      <c r="D418" s="557" t="str">
        <f t="shared" si="35"/>
        <v/>
      </c>
      <c r="E418" s="560"/>
      <c r="F418" s="559"/>
      <c r="G418" s="559" t="str">
        <f t="shared" si="36"/>
        <v/>
      </c>
      <c r="H418" s="559" t="str">
        <f t="shared" si="37"/>
        <v/>
      </c>
      <c r="I418" s="559" t="str">
        <f t="shared" si="38"/>
        <v/>
      </c>
    </row>
    <row r="419" spans="2:9">
      <c r="B419" s="555" t="str">
        <f t="shared" si="33"/>
        <v/>
      </c>
      <c r="C419" s="556" t="str">
        <f t="shared" si="34"/>
        <v/>
      </c>
      <c r="D419" s="557" t="str">
        <f t="shared" si="35"/>
        <v/>
      </c>
      <c r="E419" s="560"/>
      <c r="F419" s="559"/>
      <c r="G419" s="559" t="str">
        <f t="shared" si="36"/>
        <v/>
      </c>
      <c r="H419" s="559" t="str">
        <f t="shared" si="37"/>
        <v/>
      </c>
      <c r="I419" s="559" t="str">
        <f t="shared" si="38"/>
        <v/>
      </c>
    </row>
    <row r="420" spans="2:9">
      <c r="B420" s="555" t="str">
        <f t="shared" si="33"/>
        <v/>
      </c>
      <c r="C420" s="556" t="str">
        <f t="shared" si="34"/>
        <v/>
      </c>
      <c r="D420" s="557" t="str">
        <f t="shared" si="35"/>
        <v/>
      </c>
      <c r="E420" s="560"/>
      <c r="F420" s="559"/>
      <c r="G420" s="559" t="str">
        <f t="shared" si="36"/>
        <v/>
      </c>
      <c r="H420" s="559" t="str">
        <f t="shared" si="37"/>
        <v/>
      </c>
      <c r="I420" s="559" t="str">
        <f t="shared" si="38"/>
        <v/>
      </c>
    </row>
    <row r="421" spans="2:9">
      <c r="B421" s="555" t="str">
        <f t="shared" si="33"/>
        <v/>
      </c>
      <c r="C421" s="556" t="str">
        <f t="shared" si="34"/>
        <v/>
      </c>
      <c r="D421" s="557" t="str">
        <f t="shared" si="35"/>
        <v/>
      </c>
      <c r="E421" s="560"/>
      <c r="F421" s="559"/>
      <c r="G421" s="559" t="str">
        <f t="shared" si="36"/>
        <v/>
      </c>
      <c r="H421" s="559" t="str">
        <f t="shared" si="37"/>
        <v/>
      </c>
      <c r="I421" s="559" t="str">
        <f t="shared" si="38"/>
        <v/>
      </c>
    </row>
    <row r="422" spans="2:9">
      <c r="B422" s="555" t="str">
        <f t="shared" si="33"/>
        <v/>
      </c>
      <c r="C422" s="556" t="str">
        <f t="shared" si="34"/>
        <v/>
      </c>
      <c r="D422" s="557" t="str">
        <f t="shared" si="35"/>
        <v/>
      </c>
      <c r="E422" s="560"/>
      <c r="F422" s="559"/>
      <c r="G422" s="559" t="str">
        <f t="shared" si="36"/>
        <v/>
      </c>
      <c r="H422" s="559" t="str">
        <f t="shared" si="37"/>
        <v/>
      </c>
      <c r="I422" s="559" t="str">
        <f t="shared" si="38"/>
        <v/>
      </c>
    </row>
    <row r="423" spans="2:9">
      <c r="B423" s="555" t="str">
        <f t="shared" si="33"/>
        <v/>
      </c>
      <c r="C423" s="556" t="str">
        <f t="shared" si="34"/>
        <v/>
      </c>
      <c r="D423" s="557" t="str">
        <f t="shared" si="35"/>
        <v/>
      </c>
      <c r="E423" s="560"/>
      <c r="F423" s="559"/>
      <c r="G423" s="559" t="str">
        <f t="shared" si="36"/>
        <v/>
      </c>
      <c r="H423" s="559" t="str">
        <f t="shared" si="37"/>
        <v/>
      </c>
      <c r="I423" s="559" t="str">
        <f t="shared" si="38"/>
        <v/>
      </c>
    </row>
    <row r="424" spans="2:9">
      <c r="B424" s="555" t="str">
        <f t="shared" si="33"/>
        <v/>
      </c>
      <c r="C424" s="556" t="str">
        <f t="shared" si="34"/>
        <v/>
      </c>
      <c r="D424" s="557" t="str">
        <f t="shared" si="35"/>
        <v/>
      </c>
      <c r="E424" s="560"/>
      <c r="F424" s="559"/>
      <c r="G424" s="559" t="str">
        <f t="shared" si="36"/>
        <v/>
      </c>
      <c r="H424" s="559" t="str">
        <f t="shared" si="37"/>
        <v/>
      </c>
      <c r="I424" s="559" t="str">
        <f t="shared" si="38"/>
        <v/>
      </c>
    </row>
    <row r="425" spans="2:9">
      <c r="B425" s="555" t="str">
        <f t="shared" si="33"/>
        <v/>
      </c>
      <c r="C425" s="556" t="str">
        <f t="shared" si="34"/>
        <v/>
      </c>
      <c r="D425" s="557" t="str">
        <f t="shared" si="35"/>
        <v/>
      </c>
      <c r="E425" s="560"/>
      <c r="F425" s="559"/>
      <c r="G425" s="559" t="str">
        <f t="shared" si="36"/>
        <v/>
      </c>
      <c r="H425" s="559" t="str">
        <f t="shared" si="37"/>
        <v/>
      </c>
      <c r="I425" s="559" t="str">
        <f t="shared" si="38"/>
        <v/>
      </c>
    </row>
    <row r="426" spans="2:9">
      <c r="B426" s="555" t="str">
        <f t="shared" si="33"/>
        <v/>
      </c>
      <c r="C426" s="556" t="str">
        <f t="shared" si="34"/>
        <v/>
      </c>
      <c r="D426" s="557" t="str">
        <f t="shared" si="35"/>
        <v/>
      </c>
      <c r="E426" s="560"/>
      <c r="F426" s="559"/>
      <c r="G426" s="559" t="str">
        <f t="shared" si="36"/>
        <v/>
      </c>
      <c r="H426" s="559" t="str">
        <f t="shared" si="37"/>
        <v/>
      </c>
      <c r="I426" s="559" t="str">
        <f t="shared" si="38"/>
        <v/>
      </c>
    </row>
    <row r="427" spans="2:9">
      <c r="B427" s="555" t="str">
        <f t="shared" si="33"/>
        <v/>
      </c>
      <c r="C427" s="556" t="str">
        <f t="shared" si="34"/>
        <v/>
      </c>
      <c r="D427" s="557" t="str">
        <f t="shared" si="35"/>
        <v/>
      </c>
      <c r="E427" s="560"/>
      <c r="F427" s="559"/>
      <c r="G427" s="559" t="str">
        <f t="shared" si="36"/>
        <v/>
      </c>
      <c r="H427" s="559" t="str">
        <f t="shared" si="37"/>
        <v/>
      </c>
      <c r="I427" s="559" t="str">
        <f t="shared" si="38"/>
        <v/>
      </c>
    </row>
    <row r="428" spans="2:9">
      <c r="B428" s="555" t="str">
        <f t="shared" si="33"/>
        <v/>
      </c>
      <c r="C428" s="556" t="str">
        <f t="shared" si="34"/>
        <v/>
      </c>
      <c r="D428" s="557" t="str">
        <f t="shared" si="35"/>
        <v/>
      </c>
      <c r="E428" s="560"/>
      <c r="F428" s="559"/>
      <c r="G428" s="559" t="str">
        <f t="shared" si="36"/>
        <v/>
      </c>
      <c r="H428" s="559" t="str">
        <f t="shared" si="37"/>
        <v/>
      </c>
      <c r="I428" s="559" t="str">
        <f t="shared" si="38"/>
        <v/>
      </c>
    </row>
    <row r="429" spans="2:9">
      <c r="B429" s="555" t="str">
        <f t="shared" si="33"/>
        <v/>
      </c>
      <c r="C429" s="556" t="str">
        <f t="shared" si="34"/>
        <v/>
      </c>
      <c r="D429" s="557" t="str">
        <f t="shared" si="35"/>
        <v/>
      </c>
      <c r="E429" s="560"/>
      <c r="F429" s="559"/>
      <c r="G429" s="559" t="str">
        <f t="shared" si="36"/>
        <v/>
      </c>
      <c r="H429" s="559" t="str">
        <f t="shared" si="37"/>
        <v/>
      </c>
      <c r="I429" s="559" t="str">
        <f t="shared" si="38"/>
        <v/>
      </c>
    </row>
    <row r="430" spans="2:9">
      <c r="B430" s="555" t="str">
        <f t="shared" si="33"/>
        <v/>
      </c>
      <c r="C430" s="556" t="str">
        <f t="shared" si="34"/>
        <v/>
      </c>
      <c r="D430" s="557" t="str">
        <f t="shared" si="35"/>
        <v/>
      </c>
      <c r="E430" s="560"/>
      <c r="F430" s="559"/>
      <c r="G430" s="559" t="str">
        <f t="shared" si="36"/>
        <v/>
      </c>
      <c r="H430" s="559" t="str">
        <f t="shared" si="37"/>
        <v/>
      </c>
      <c r="I430" s="559" t="str">
        <f t="shared" si="38"/>
        <v/>
      </c>
    </row>
    <row r="431" spans="2:9">
      <c r="B431" s="555" t="str">
        <f t="shared" si="33"/>
        <v/>
      </c>
      <c r="C431" s="556" t="str">
        <f t="shared" si="34"/>
        <v/>
      </c>
      <c r="D431" s="557" t="str">
        <f t="shared" si="35"/>
        <v/>
      </c>
      <c r="E431" s="560"/>
      <c r="F431" s="559"/>
      <c r="G431" s="559" t="str">
        <f t="shared" si="36"/>
        <v/>
      </c>
      <c r="H431" s="559" t="str">
        <f t="shared" si="37"/>
        <v/>
      </c>
      <c r="I431" s="559" t="str">
        <f t="shared" si="38"/>
        <v/>
      </c>
    </row>
    <row r="432" spans="2:9">
      <c r="B432" s="555" t="str">
        <f t="shared" si="33"/>
        <v/>
      </c>
      <c r="C432" s="556" t="str">
        <f t="shared" si="34"/>
        <v/>
      </c>
      <c r="D432" s="557" t="str">
        <f t="shared" si="35"/>
        <v/>
      </c>
      <c r="E432" s="560"/>
      <c r="F432" s="559"/>
      <c r="G432" s="559" t="str">
        <f t="shared" si="36"/>
        <v/>
      </c>
      <c r="H432" s="559" t="str">
        <f t="shared" si="37"/>
        <v/>
      </c>
      <c r="I432" s="559" t="str">
        <f t="shared" si="38"/>
        <v/>
      </c>
    </row>
    <row r="433" spans="2:9">
      <c r="B433" s="555" t="str">
        <f t="shared" si="33"/>
        <v/>
      </c>
      <c r="C433" s="556" t="str">
        <f t="shared" si="34"/>
        <v/>
      </c>
      <c r="D433" s="557" t="str">
        <f t="shared" si="35"/>
        <v/>
      </c>
      <c r="E433" s="560"/>
      <c r="F433" s="559"/>
      <c r="G433" s="559" t="str">
        <f t="shared" si="36"/>
        <v/>
      </c>
      <c r="H433" s="559" t="str">
        <f t="shared" si="37"/>
        <v/>
      </c>
      <c r="I433" s="559" t="str">
        <f t="shared" si="38"/>
        <v/>
      </c>
    </row>
    <row r="434" spans="2:9">
      <c r="B434" s="555" t="str">
        <f t="shared" si="33"/>
        <v/>
      </c>
      <c r="C434" s="556" t="str">
        <f t="shared" si="34"/>
        <v/>
      </c>
      <c r="D434" s="557" t="str">
        <f t="shared" si="35"/>
        <v/>
      </c>
      <c r="E434" s="560"/>
      <c r="F434" s="559"/>
      <c r="G434" s="559" t="str">
        <f t="shared" si="36"/>
        <v/>
      </c>
      <c r="H434" s="559" t="str">
        <f t="shared" si="37"/>
        <v/>
      </c>
      <c r="I434" s="559" t="str">
        <f t="shared" si="38"/>
        <v/>
      </c>
    </row>
    <row r="435" spans="2:9">
      <c r="B435" s="555" t="str">
        <f t="shared" si="33"/>
        <v/>
      </c>
      <c r="C435" s="556" t="str">
        <f t="shared" si="34"/>
        <v/>
      </c>
      <c r="D435" s="557" t="str">
        <f t="shared" si="35"/>
        <v/>
      </c>
      <c r="E435" s="560"/>
      <c r="F435" s="559"/>
      <c r="G435" s="559" t="str">
        <f t="shared" si="36"/>
        <v/>
      </c>
      <c r="H435" s="559" t="str">
        <f t="shared" si="37"/>
        <v/>
      </c>
      <c r="I435" s="559" t="str">
        <f t="shared" si="38"/>
        <v/>
      </c>
    </row>
    <row r="436" spans="2:9">
      <c r="B436" s="555" t="str">
        <f t="shared" si="33"/>
        <v/>
      </c>
      <c r="C436" s="556" t="str">
        <f t="shared" si="34"/>
        <v/>
      </c>
      <c r="D436" s="557" t="str">
        <f t="shared" si="35"/>
        <v/>
      </c>
      <c r="E436" s="560"/>
      <c r="F436" s="559"/>
      <c r="G436" s="559" t="str">
        <f t="shared" si="36"/>
        <v/>
      </c>
      <c r="H436" s="559" t="str">
        <f t="shared" si="37"/>
        <v/>
      </c>
      <c r="I436" s="559" t="str">
        <f t="shared" si="38"/>
        <v/>
      </c>
    </row>
    <row r="437" spans="2:9">
      <c r="B437" s="555" t="str">
        <f t="shared" si="33"/>
        <v/>
      </c>
      <c r="C437" s="556" t="str">
        <f t="shared" si="34"/>
        <v/>
      </c>
      <c r="D437" s="557" t="str">
        <f t="shared" si="35"/>
        <v/>
      </c>
      <c r="E437" s="560"/>
      <c r="F437" s="559"/>
      <c r="G437" s="559" t="str">
        <f t="shared" si="36"/>
        <v/>
      </c>
      <c r="H437" s="559" t="str">
        <f t="shared" si="37"/>
        <v/>
      </c>
      <c r="I437" s="559" t="str">
        <f t="shared" si="38"/>
        <v/>
      </c>
    </row>
    <row r="438" spans="2:9">
      <c r="B438" s="555" t="str">
        <f t="shared" si="33"/>
        <v/>
      </c>
      <c r="C438" s="556" t="str">
        <f t="shared" si="34"/>
        <v/>
      </c>
      <c r="D438" s="557" t="str">
        <f t="shared" si="35"/>
        <v/>
      </c>
      <c r="E438" s="560"/>
      <c r="F438" s="559"/>
      <c r="G438" s="559" t="str">
        <f t="shared" si="36"/>
        <v/>
      </c>
      <c r="H438" s="559" t="str">
        <f t="shared" si="37"/>
        <v/>
      </c>
      <c r="I438" s="559" t="str">
        <f t="shared" si="38"/>
        <v/>
      </c>
    </row>
    <row r="439" spans="2:9">
      <c r="B439" s="555" t="str">
        <f t="shared" si="33"/>
        <v/>
      </c>
      <c r="C439" s="556" t="str">
        <f t="shared" si="34"/>
        <v/>
      </c>
      <c r="D439" s="557" t="str">
        <f t="shared" si="35"/>
        <v/>
      </c>
      <c r="E439" s="560"/>
      <c r="F439" s="559"/>
      <c r="G439" s="559" t="str">
        <f t="shared" si="36"/>
        <v/>
      </c>
      <c r="H439" s="559" t="str">
        <f t="shared" si="37"/>
        <v/>
      </c>
      <c r="I439" s="559" t="str">
        <f t="shared" si="38"/>
        <v/>
      </c>
    </row>
    <row r="440" spans="2:9">
      <c r="B440" s="555" t="str">
        <f t="shared" si="33"/>
        <v/>
      </c>
      <c r="C440" s="556" t="str">
        <f t="shared" si="34"/>
        <v/>
      </c>
      <c r="D440" s="557" t="str">
        <f t="shared" si="35"/>
        <v/>
      </c>
      <c r="E440" s="560"/>
      <c r="F440" s="559"/>
      <c r="G440" s="559" t="str">
        <f t="shared" si="36"/>
        <v/>
      </c>
      <c r="H440" s="559" t="str">
        <f t="shared" si="37"/>
        <v/>
      </c>
      <c r="I440" s="559" t="str">
        <f t="shared" si="38"/>
        <v/>
      </c>
    </row>
    <row r="441" spans="2:9">
      <c r="B441" s="555" t="str">
        <f t="shared" si="33"/>
        <v/>
      </c>
      <c r="C441" s="556" t="str">
        <f t="shared" si="34"/>
        <v/>
      </c>
      <c r="D441" s="557" t="str">
        <f t="shared" si="35"/>
        <v/>
      </c>
      <c r="E441" s="560"/>
      <c r="F441" s="559"/>
      <c r="G441" s="559" t="str">
        <f t="shared" si="36"/>
        <v/>
      </c>
      <c r="H441" s="559" t="str">
        <f t="shared" si="37"/>
        <v/>
      </c>
      <c r="I441" s="559" t="str">
        <f t="shared" si="38"/>
        <v/>
      </c>
    </row>
    <row r="442" spans="2:9">
      <c r="B442" s="555" t="str">
        <f t="shared" si="33"/>
        <v/>
      </c>
      <c r="C442" s="556" t="str">
        <f t="shared" si="34"/>
        <v/>
      </c>
      <c r="D442" s="557" t="str">
        <f t="shared" si="35"/>
        <v/>
      </c>
      <c r="E442" s="560"/>
      <c r="F442" s="559"/>
      <c r="G442" s="559" t="str">
        <f t="shared" si="36"/>
        <v/>
      </c>
      <c r="H442" s="559" t="str">
        <f t="shared" si="37"/>
        <v/>
      </c>
      <c r="I442" s="559" t="str">
        <f t="shared" si="38"/>
        <v/>
      </c>
    </row>
    <row r="443" spans="2:9">
      <c r="B443" s="555" t="str">
        <f t="shared" si="33"/>
        <v/>
      </c>
      <c r="C443" s="556" t="str">
        <f t="shared" si="34"/>
        <v/>
      </c>
      <c r="D443" s="557" t="str">
        <f t="shared" si="35"/>
        <v/>
      </c>
      <c r="E443" s="560"/>
      <c r="F443" s="559"/>
      <c r="G443" s="559" t="str">
        <f t="shared" si="36"/>
        <v/>
      </c>
      <c r="H443" s="559" t="str">
        <f t="shared" si="37"/>
        <v/>
      </c>
      <c r="I443" s="559" t="str">
        <f t="shared" si="38"/>
        <v/>
      </c>
    </row>
    <row r="444" spans="2:9">
      <c r="B444" s="555" t="str">
        <f t="shared" si="33"/>
        <v/>
      </c>
      <c r="C444" s="556" t="str">
        <f t="shared" si="34"/>
        <v/>
      </c>
      <c r="D444" s="557" t="str">
        <f t="shared" si="35"/>
        <v/>
      </c>
      <c r="E444" s="560"/>
      <c r="F444" s="559"/>
      <c r="G444" s="559" t="str">
        <f t="shared" si="36"/>
        <v/>
      </c>
      <c r="H444" s="559" t="str">
        <f t="shared" si="37"/>
        <v/>
      </c>
      <c r="I444" s="559" t="str">
        <f t="shared" si="38"/>
        <v/>
      </c>
    </row>
    <row r="445" spans="2:9">
      <c r="B445" s="555" t="str">
        <f t="shared" ref="B445:B508" si="39">IF(I444="","",IF(roundOpt,IF(OR(B444&gt;=nper,ROUND(I444,2)&lt;=0),"",B444+1),IF(OR(B444&gt;=nper,I444&lt;=0),"",B444+1)))</f>
        <v/>
      </c>
      <c r="C445" s="556" t="str">
        <f t="shared" ref="C445:C508" si="40">IF(B445="","",IF(OR(periods_per_year=26,periods_per_year=52),IF(periods_per_year=26,IF(B445=1,fpdate,C444+14),IF(periods_per_year=52,IF(B445=1,fpdate,C444+7),"n/a")),IF(periods_per_year=24,DATE(YEAR(fpdate),MONTH(fpdate)+(B445-1)/2+IF(AND(DAY(fpdate)&gt;=15,MOD(B445,2)=0),1,0),IF(MOD(B445,2)=0,IF(DAY(fpdate)&gt;=15,DAY(fpdate)-14,DAY(fpdate)+14),DAY(fpdate))),IF(DAY(DATE(YEAR(fpdate),MONTH(fpdate)+(B445-1)*months_per_period,DAY(fpdate)))&lt;&gt;DAY(fpdate),DATE(YEAR(fpdate),MONTH(fpdate)+(B445-1)*months_per_period+1,0),DATE(YEAR(fpdate),MONTH(fpdate)+(B445-1)*months_per_period,DAY(fpdate))))))</f>
        <v/>
      </c>
      <c r="D445" s="557" t="str">
        <f t="shared" ref="D445:D508" si="41">IF(B445="","",IF(roundOpt,IF(OR(B445=nper,payment&gt;ROUND((1+rate)*I444,2)),ROUND((1+rate)*I444,2),payment),IF(OR(B445=nper,payment&gt;(1+rate)*I444),(1+rate)*I444,payment)))</f>
        <v/>
      </c>
      <c r="E445" s="560"/>
      <c r="F445" s="559"/>
      <c r="G445" s="559" t="str">
        <f t="shared" ref="G445:G508" si="42">IF(B445="","",IF(AND(B445=1,pmtType=1),0,IF(roundOpt,ROUND(rate*I444,2),rate*I444)))</f>
        <v/>
      </c>
      <c r="H445" s="559" t="str">
        <f t="shared" ref="H445:H508" si="43">IF(B445="","",D445-G445+E445)</f>
        <v/>
      </c>
      <c r="I445" s="559" t="str">
        <f t="shared" ref="I445:I508" si="44">IF(B445="","",I444-H445)</f>
        <v/>
      </c>
    </row>
    <row r="446" spans="2:9">
      <c r="B446" s="555" t="str">
        <f t="shared" si="39"/>
        <v/>
      </c>
      <c r="C446" s="556" t="str">
        <f t="shared" si="40"/>
        <v/>
      </c>
      <c r="D446" s="557" t="str">
        <f t="shared" si="41"/>
        <v/>
      </c>
      <c r="E446" s="560"/>
      <c r="F446" s="559"/>
      <c r="G446" s="559" t="str">
        <f t="shared" si="42"/>
        <v/>
      </c>
      <c r="H446" s="559" t="str">
        <f t="shared" si="43"/>
        <v/>
      </c>
      <c r="I446" s="559" t="str">
        <f t="shared" si="44"/>
        <v/>
      </c>
    </row>
    <row r="447" spans="2:9">
      <c r="B447" s="555" t="str">
        <f t="shared" si="39"/>
        <v/>
      </c>
      <c r="C447" s="556" t="str">
        <f t="shared" si="40"/>
        <v/>
      </c>
      <c r="D447" s="557" t="str">
        <f t="shared" si="41"/>
        <v/>
      </c>
      <c r="E447" s="560"/>
      <c r="F447" s="559"/>
      <c r="G447" s="559" t="str">
        <f t="shared" si="42"/>
        <v/>
      </c>
      <c r="H447" s="559" t="str">
        <f t="shared" si="43"/>
        <v/>
      </c>
      <c r="I447" s="559" t="str">
        <f t="shared" si="44"/>
        <v/>
      </c>
    </row>
    <row r="448" spans="2:9">
      <c r="B448" s="555" t="str">
        <f t="shared" si="39"/>
        <v/>
      </c>
      <c r="C448" s="556" t="str">
        <f t="shared" si="40"/>
        <v/>
      </c>
      <c r="D448" s="557" t="str">
        <f t="shared" si="41"/>
        <v/>
      </c>
      <c r="E448" s="560"/>
      <c r="F448" s="559"/>
      <c r="G448" s="559" t="str">
        <f t="shared" si="42"/>
        <v/>
      </c>
      <c r="H448" s="559" t="str">
        <f t="shared" si="43"/>
        <v/>
      </c>
      <c r="I448" s="559" t="str">
        <f t="shared" si="44"/>
        <v/>
      </c>
    </row>
    <row r="449" spans="2:9">
      <c r="B449" s="555" t="str">
        <f t="shared" si="39"/>
        <v/>
      </c>
      <c r="C449" s="556" t="str">
        <f t="shared" si="40"/>
        <v/>
      </c>
      <c r="D449" s="557" t="str">
        <f t="shared" si="41"/>
        <v/>
      </c>
      <c r="E449" s="560"/>
      <c r="F449" s="559"/>
      <c r="G449" s="559" t="str">
        <f t="shared" si="42"/>
        <v/>
      </c>
      <c r="H449" s="559" t="str">
        <f t="shared" si="43"/>
        <v/>
      </c>
      <c r="I449" s="559" t="str">
        <f t="shared" si="44"/>
        <v/>
      </c>
    </row>
    <row r="450" spans="2:9">
      <c r="B450" s="555" t="str">
        <f t="shared" si="39"/>
        <v/>
      </c>
      <c r="C450" s="556" t="str">
        <f t="shared" si="40"/>
        <v/>
      </c>
      <c r="D450" s="557" t="str">
        <f t="shared" si="41"/>
        <v/>
      </c>
      <c r="E450" s="560"/>
      <c r="F450" s="559"/>
      <c r="G450" s="559" t="str">
        <f t="shared" si="42"/>
        <v/>
      </c>
      <c r="H450" s="559" t="str">
        <f t="shared" si="43"/>
        <v/>
      </c>
      <c r="I450" s="559" t="str">
        <f t="shared" si="44"/>
        <v/>
      </c>
    </row>
    <row r="451" spans="2:9">
      <c r="B451" s="555" t="str">
        <f t="shared" si="39"/>
        <v/>
      </c>
      <c r="C451" s="556" t="str">
        <f t="shared" si="40"/>
        <v/>
      </c>
      <c r="D451" s="557" t="str">
        <f t="shared" si="41"/>
        <v/>
      </c>
      <c r="E451" s="560"/>
      <c r="F451" s="559"/>
      <c r="G451" s="559" t="str">
        <f t="shared" si="42"/>
        <v/>
      </c>
      <c r="H451" s="559" t="str">
        <f t="shared" si="43"/>
        <v/>
      </c>
      <c r="I451" s="559" t="str">
        <f t="shared" si="44"/>
        <v/>
      </c>
    </row>
    <row r="452" spans="2:9">
      <c r="B452" s="555" t="str">
        <f t="shared" si="39"/>
        <v/>
      </c>
      <c r="C452" s="556" t="str">
        <f t="shared" si="40"/>
        <v/>
      </c>
      <c r="D452" s="557" t="str">
        <f t="shared" si="41"/>
        <v/>
      </c>
      <c r="E452" s="560"/>
      <c r="F452" s="559"/>
      <c r="G452" s="559" t="str">
        <f t="shared" si="42"/>
        <v/>
      </c>
      <c r="H452" s="559" t="str">
        <f t="shared" si="43"/>
        <v/>
      </c>
      <c r="I452" s="559" t="str">
        <f t="shared" si="44"/>
        <v/>
      </c>
    </row>
    <row r="453" spans="2:9">
      <c r="B453" s="555" t="str">
        <f t="shared" si="39"/>
        <v/>
      </c>
      <c r="C453" s="556" t="str">
        <f t="shared" si="40"/>
        <v/>
      </c>
      <c r="D453" s="557" t="str">
        <f t="shared" si="41"/>
        <v/>
      </c>
      <c r="E453" s="560"/>
      <c r="F453" s="559"/>
      <c r="G453" s="559" t="str">
        <f t="shared" si="42"/>
        <v/>
      </c>
      <c r="H453" s="559" t="str">
        <f t="shared" si="43"/>
        <v/>
      </c>
      <c r="I453" s="559" t="str">
        <f t="shared" si="44"/>
        <v/>
      </c>
    </row>
    <row r="454" spans="2:9">
      <c r="B454" s="555" t="str">
        <f t="shared" si="39"/>
        <v/>
      </c>
      <c r="C454" s="556" t="str">
        <f t="shared" si="40"/>
        <v/>
      </c>
      <c r="D454" s="557" t="str">
        <f t="shared" si="41"/>
        <v/>
      </c>
      <c r="E454" s="560"/>
      <c r="F454" s="559"/>
      <c r="G454" s="559" t="str">
        <f t="shared" si="42"/>
        <v/>
      </c>
      <c r="H454" s="559" t="str">
        <f t="shared" si="43"/>
        <v/>
      </c>
      <c r="I454" s="559" t="str">
        <f t="shared" si="44"/>
        <v/>
      </c>
    </row>
    <row r="455" spans="2:9">
      <c r="B455" s="555" t="str">
        <f t="shared" si="39"/>
        <v/>
      </c>
      <c r="C455" s="556" t="str">
        <f t="shared" si="40"/>
        <v/>
      </c>
      <c r="D455" s="557" t="str">
        <f t="shared" si="41"/>
        <v/>
      </c>
      <c r="E455" s="560"/>
      <c r="F455" s="559"/>
      <c r="G455" s="559" t="str">
        <f t="shared" si="42"/>
        <v/>
      </c>
      <c r="H455" s="559" t="str">
        <f t="shared" si="43"/>
        <v/>
      </c>
      <c r="I455" s="559" t="str">
        <f t="shared" si="44"/>
        <v/>
      </c>
    </row>
    <row r="456" spans="2:9">
      <c r="B456" s="555" t="str">
        <f t="shared" si="39"/>
        <v/>
      </c>
      <c r="C456" s="556" t="str">
        <f t="shared" si="40"/>
        <v/>
      </c>
      <c r="D456" s="557" t="str">
        <f t="shared" si="41"/>
        <v/>
      </c>
      <c r="E456" s="560"/>
      <c r="F456" s="559"/>
      <c r="G456" s="559" t="str">
        <f t="shared" si="42"/>
        <v/>
      </c>
      <c r="H456" s="559" t="str">
        <f t="shared" si="43"/>
        <v/>
      </c>
      <c r="I456" s="559" t="str">
        <f t="shared" si="44"/>
        <v/>
      </c>
    </row>
    <row r="457" spans="2:9">
      <c r="B457" s="555" t="str">
        <f t="shared" si="39"/>
        <v/>
      </c>
      <c r="C457" s="556" t="str">
        <f t="shared" si="40"/>
        <v/>
      </c>
      <c r="D457" s="557" t="str">
        <f t="shared" si="41"/>
        <v/>
      </c>
      <c r="E457" s="560"/>
      <c r="F457" s="559"/>
      <c r="G457" s="559" t="str">
        <f t="shared" si="42"/>
        <v/>
      </c>
      <c r="H457" s="559" t="str">
        <f t="shared" si="43"/>
        <v/>
      </c>
      <c r="I457" s="559" t="str">
        <f t="shared" si="44"/>
        <v/>
      </c>
    </row>
    <row r="458" spans="2:9">
      <c r="B458" s="555" t="str">
        <f t="shared" si="39"/>
        <v/>
      </c>
      <c r="C458" s="556" t="str">
        <f t="shared" si="40"/>
        <v/>
      </c>
      <c r="D458" s="557" t="str">
        <f t="shared" si="41"/>
        <v/>
      </c>
      <c r="E458" s="560"/>
      <c r="F458" s="559"/>
      <c r="G458" s="559" t="str">
        <f t="shared" si="42"/>
        <v/>
      </c>
      <c r="H458" s="559" t="str">
        <f t="shared" si="43"/>
        <v/>
      </c>
      <c r="I458" s="559" t="str">
        <f t="shared" si="44"/>
        <v/>
      </c>
    </row>
    <row r="459" spans="2:9">
      <c r="B459" s="555" t="str">
        <f t="shared" si="39"/>
        <v/>
      </c>
      <c r="C459" s="556" t="str">
        <f t="shared" si="40"/>
        <v/>
      </c>
      <c r="D459" s="557" t="str">
        <f t="shared" si="41"/>
        <v/>
      </c>
      <c r="E459" s="560"/>
      <c r="F459" s="559"/>
      <c r="G459" s="559" t="str">
        <f t="shared" si="42"/>
        <v/>
      </c>
      <c r="H459" s="559" t="str">
        <f t="shared" si="43"/>
        <v/>
      </c>
      <c r="I459" s="559" t="str">
        <f t="shared" si="44"/>
        <v/>
      </c>
    </row>
    <row r="460" spans="2:9">
      <c r="B460" s="555" t="str">
        <f t="shared" si="39"/>
        <v/>
      </c>
      <c r="C460" s="556" t="str">
        <f t="shared" si="40"/>
        <v/>
      </c>
      <c r="D460" s="557" t="str">
        <f t="shared" si="41"/>
        <v/>
      </c>
      <c r="E460" s="560"/>
      <c r="F460" s="559"/>
      <c r="G460" s="559" t="str">
        <f t="shared" si="42"/>
        <v/>
      </c>
      <c r="H460" s="559" t="str">
        <f t="shared" si="43"/>
        <v/>
      </c>
      <c r="I460" s="559" t="str">
        <f t="shared" si="44"/>
        <v/>
      </c>
    </row>
    <row r="461" spans="2:9">
      <c r="B461" s="555" t="str">
        <f t="shared" si="39"/>
        <v/>
      </c>
      <c r="C461" s="556" t="str">
        <f t="shared" si="40"/>
        <v/>
      </c>
      <c r="D461" s="557" t="str">
        <f t="shared" si="41"/>
        <v/>
      </c>
      <c r="E461" s="560"/>
      <c r="F461" s="559"/>
      <c r="G461" s="559" t="str">
        <f t="shared" si="42"/>
        <v/>
      </c>
      <c r="H461" s="559" t="str">
        <f t="shared" si="43"/>
        <v/>
      </c>
      <c r="I461" s="559" t="str">
        <f t="shared" si="44"/>
        <v/>
      </c>
    </row>
    <row r="462" spans="2:9">
      <c r="B462" s="555" t="str">
        <f t="shared" si="39"/>
        <v/>
      </c>
      <c r="C462" s="556" t="str">
        <f t="shared" si="40"/>
        <v/>
      </c>
      <c r="D462" s="557" t="str">
        <f t="shared" si="41"/>
        <v/>
      </c>
      <c r="E462" s="560"/>
      <c r="F462" s="559"/>
      <c r="G462" s="559" t="str">
        <f t="shared" si="42"/>
        <v/>
      </c>
      <c r="H462" s="559" t="str">
        <f t="shared" si="43"/>
        <v/>
      </c>
      <c r="I462" s="559" t="str">
        <f t="shared" si="44"/>
        <v/>
      </c>
    </row>
    <row r="463" spans="2:9">
      <c r="B463" s="555" t="str">
        <f t="shared" si="39"/>
        <v/>
      </c>
      <c r="C463" s="556" t="str">
        <f t="shared" si="40"/>
        <v/>
      </c>
      <c r="D463" s="557" t="str">
        <f t="shared" si="41"/>
        <v/>
      </c>
      <c r="E463" s="560"/>
      <c r="F463" s="559"/>
      <c r="G463" s="559" t="str">
        <f t="shared" si="42"/>
        <v/>
      </c>
      <c r="H463" s="559" t="str">
        <f t="shared" si="43"/>
        <v/>
      </c>
      <c r="I463" s="559" t="str">
        <f t="shared" si="44"/>
        <v/>
      </c>
    </row>
    <row r="464" spans="2:9">
      <c r="B464" s="555" t="str">
        <f t="shared" si="39"/>
        <v/>
      </c>
      <c r="C464" s="556" t="str">
        <f t="shared" si="40"/>
        <v/>
      </c>
      <c r="D464" s="557" t="str">
        <f t="shared" si="41"/>
        <v/>
      </c>
      <c r="E464" s="560"/>
      <c r="F464" s="559"/>
      <c r="G464" s="559" t="str">
        <f t="shared" si="42"/>
        <v/>
      </c>
      <c r="H464" s="559" t="str">
        <f t="shared" si="43"/>
        <v/>
      </c>
      <c r="I464" s="559" t="str">
        <f t="shared" si="44"/>
        <v/>
      </c>
    </row>
    <row r="465" spans="2:9">
      <c r="B465" s="555" t="str">
        <f t="shared" si="39"/>
        <v/>
      </c>
      <c r="C465" s="556" t="str">
        <f t="shared" si="40"/>
        <v/>
      </c>
      <c r="D465" s="557" t="str">
        <f t="shared" si="41"/>
        <v/>
      </c>
      <c r="E465" s="560"/>
      <c r="F465" s="559"/>
      <c r="G465" s="559" t="str">
        <f t="shared" si="42"/>
        <v/>
      </c>
      <c r="H465" s="559" t="str">
        <f t="shared" si="43"/>
        <v/>
      </c>
      <c r="I465" s="559" t="str">
        <f t="shared" si="44"/>
        <v/>
      </c>
    </row>
    <row r="466" spans="2:9">
      <c r="B466" s="555" t="str">
        <f t="shared" si="39"/>
        <v/>
      </c>
      <c r="C466" s="556" t="str">
        <f t="shared" si="40"/>
        <v/>
      </c>
      <c r="D466" s="557" t="str">
        <f t="shared" si="41"/>
        <v/>
      </c>
      <c r="E466" s="560"/>
      <c r="F466" s="559"/>
      <c r="G466" s="559" t="str">
        <f t="shared" si="42"/>
        <v/>
      </c>
      <c r="H466" s="559" t="str">
        <f t="shared" si="43"/>
        <v/>
      </c>
      <c r="I466" s="559" t="str">
        <f t="shared" si="44"/>
        <v/>
      </c>
    </row>
    <row r="467" spans="2:9">
      <c r="B467" s="555" t="str">
        <f t="shared" si="39"/>
        <v/>
      </c>
      <c r="C467" s="556" t="str">
        <f t="shared" si="40"/>
        <v/>
      </c>
      <c r="D467" s="557" t="str">
        <f t="shared" si="41"/>
        <v/>
      </c>
      <c r="E467" s="560"/>
      <c r="F467" s="559"/>
      <c r="G467" s="559" t="str">
        <f t="shared" si="42"/>
        <v/>
      </c>
      <c r="H467" s="559" t="str">
        <f t="shared" si="43"/>
        <v/>
      </c>
      <c r="I467" s="559" t="str">
        <f t="shared" si="44"/>
        <v/>
      </c>
    </row>
    <row r="468" spans="2:9">
      <c r="B468" s="555" t="str">
        <f t="shared" si="39"/>
        <v/>
      </c>
      <c r="C468" s="556" t="str">
        <f t="shared" si="40"/>
        <v/>
      </c>
      <c r="D468" s="557" t="str">
        <f t="shared" si="41"/>
        <v/>
      </c>
      <c r="E468" s="560"/>
      <c r="F468" s="559"/>
      <c r="G468" s="559" t="str">
        <f t="shared" si="42"/>
        <v/>
      </c>
      <c r="H468" s="559" t="str">
        <f t="shared" si="43"/>
        <v/>
      </c>
      <c r="I468" s="559" t="str">
        <f t="shared" si="44"/>
        <v/>
      </c>
    </row>
    <row r="469" spans="2:9">
      <c r="B469" s="555" t="str">
        <f t="shared" si="39"/>
        <v/>
      </c>
      <c r="C469" s="556" t="str">
        <f t="shared" si="40"/>
        <v/>
      </c>
      <c r="D469" s="557" t="str">
        <f t="shared" si="41"/>
        <v/>
      </c>
      <c r="E469" s="560"/>
      <c r="F469" s="559"/>
      <c r="G469" s="559" t="str">
        <f t="shared" si="42"/>
        <v/>
      </c>
      <c r="H469" s="559" t="str">
        <f t="shared" si="43"/>
        <v/>
      </c>
      <c r="I469" s="559" t="str">
        <f t="shared" si="44"/>
        <v/>
      </c>
    </row>
    <row r="470" spans="2:9">
      <c r="B470" s="555" t="str">
        <f t="shared" si="39"/>
        <v/>
      </c>
      <c r="C470" s="556" t="str">
        <f t="shared" si="40"/>
        <v/>
      </c>
      <c r="D470" s="557" t="str">
        <f t="shared" si="41"/>
        <v/>
      </c>
      <c r="E470" s="560"/>
      <c r="F470" s="559"/>
      <c r="G470" s="559" t="str">
        <f t="shared" si="42"/>
        <v/>
      </c>
      <c r="H470" s="559" t="str">
        <f t="shared" si="43"/>
        <v/>
      </c>
      <c r="I470" s="559" t="str">
        <f t="shared" si="44"/>
        <v/>
      </c>
    </row>
    <row r="471" spans="2:9">
      <c r="B471" s="555" t="str">
        <f t="shared" si="39"/>
        <v/>
      </c>
      <c r="C471" s="556" t="str">
        <f t="shared" si="40"/>
        <v/>
      </c>
      <c r="D471" s="557" t="str">
        <f t="shared" si="41"/>
        <v/>
      </c>
      <c r="E471" s="560"/>
      <c r="F471" s="559"/>
      <c r="G471" s="559" t="str">
        <f t="shared" si="42"/>
        <v/>
      </c>
      <c r="H471" s="559" t="str">
        <f t="shared" si="43"/>
        <v/>
      </c>
      <c r="I471" s="559" t="str">
        <f t="shared" si="44"/>
        <v/>
      </c>
    </row>
    <row r="472" spans="2:9">
      <c r="B472" s="555" t="str">
        <f t="shared" si="39"/>
        <v/>
      </c>
      <c r="C472" s="556" t="str">
        <f t="shared" si="40"/>
        <v/>
      </c>
      <c r="D472" s="557" t="str">
        <f t="shared" si="41"/>
        <v/>
      </c>
      <c r="E472" s="560"/>
      <c r="F472" s="559"/>
      <c r="G472" s="559" t="str">
        <f t="shared" si="42"/>
        <v/>
      </c>
      <c r="H472" s="559" t="str">
        <f t="shared" si="43"/>
        <v/>
      </c>
      <c r="I472" s="559" t="str">
        <f t="shared" si="44"/>
        <v/>
      </c>
    </row>
    <row r="473" spans="2:9">
      <c r="B473" s="555" t="str">
        <f t="shared" si="39"/>
        <v/>
      </c>
      <c r="C473" s="556" t="str">
        <f t="shared" si="40"/>
        <v/>
      </c>
      <c r="D473" s="557" t="str">
        <f t="shared" si="41"/>
        <v/>
      </c>
      <c r="E473" s="560"/>
      <c r="F473" s="559"/>
      <c r="G473" s="559" t="str">
        <f t="shared" si="42"/>
        <v/>
      </c>
      <c r="H473" s="559" t="str">
        <f t="shared" si="43"/>
        <v/>
      </c>
      <c r="I473" s="559" t="str">
        <f t="shared" si="44"/>
        <v/>
      </c>
    </row>
    <row r="474" spans="2:9">
      <c r="B474" s="555" t="str">
        <f t="shared" si="39"/>
        <v/>
      </c>
      <c r="C474" s="556" t="str">
        <f t="shared" si="40"/>
        <v/>
      </c>
      <c r="D474" s="557" t="str">
        <f t="shared" si="41"/>
        <v/>
      </c>
      <c r="E474" s="560"/>
      <c r="F474" s="559"/>
      <c r="G474" s="559" t="str">
        <f t="shared" si="42"/>
        <v/>
      </c>
      <c r="H474" s="559" t="str">
        <f t="shared" si="43"/>
        <v/>
      </c>
      <c r="I474" s="559" t="str">
        <f t="shared" si="44"/>
        <v/>
      </c>
    </row>
    <row r="475" spans="2:9">
      <c r="B475" s="555" t="str">
        <f t="shared" si="39"/>
        <v/>
      </c>
      <c r="C475" s="556" t="str">
        <f t="shared" si="40"/>
        <v/>
      </c>
      <c r="D475" s="557" t="str">
        <f t="shared" si="41"/>
        <v/>
      </c>
      <c r="E475" s="560"/>
      <c r="F475" s="559"/>
      <c r="G475" s="559" t="str">
        <f t="shared" si="42"/>
        <v/>
      </c>
      <c r="H475" s="559" t="str">
        <f t="shared" si="43"/>
        <v/>
      </c>
      <c r="I475" s="559" t="str">
        <f t="shared" si="44"/>
        <v/>
      </c>
    </row>
    <row r="476" spans="2:9">
      <c r="B476" s="555" t="str">
        <f t="shared" si="39"/>
        <v/>
      </c>
      <c r="C476" s="556" t="str">
        <f t="shared" si="40"/>
        <v/>
      </c>
      <c r="D476" s="557" t="str">
        <f t="shared" si="41"/>
        <v/>
      </c>
      <c r="E476" s="560"/>
      <c r="F476" s="559"/>
      <c r="G476" s="559" t="str">
        <f t="shared" si="42"/>
        <v/>
      </c>
      <c r="H476" s="559" t="str">
        <f t="shared" si="43"/>
        <v/>
      </c>
      <c r="I476" s="559" t="str">
        <f t="shared" si="44"/>
        <v/>
      </c>
    </row>
    <row r="477" spans="2:9">
      <c r="B477" s="555" t="str">
        <f t="shared" si="39"/>
        <v/>
      </c>
      <c r="C477" s="556" t="str">
        <f t="shared" si="40"/>
        <v/>
      </c>
      <c r="D477" s="557" t="str">
        <f t="shared" si="41"/>
        <v/>
      </c>
      <c r="E477" s="560"/>
      <c r="F477" s="559"/>
      <c r="G477" s="559" t="str">
        <f t="shared" si="42"/>
        <v/>
      </c>
      <c r="H477" s="559" t="str">
        <f t="shared" si="43"/>
        <v/>
      </c>
      <c r="I477" s="559" t="str">
        <f t="shared" si="44"/>
        <v/>
      </c>
    </row>
    <row r="478" spans="2:9">
      <c r="B478" s="555" t="str">
        <f t="shared" si="39"/>
        <v/>
      </c>
      <c r="C478" s="556" t="str">
        <f t="shared" si="40"/>
        <v/>
      </c>
      <c r="D478" s="557" t="str">
        <f t="shared" si="41"/>
        <v/>
      </c>
      <c r="E478" s="560"/>
      <c r="F478" s="559"/>
      <c r="G478" s="559" t="str">
        <f t="shared" si="42"/>
        <v/>
      </c>
      <c r="H478" s="559" t="str">
        <f t="shared" si="43"/>
        <v/>
      </c>
      <c r="I478" s="559" t="str">
        <f t="shared" si="44"/>
        <v/>
      </c>
    </row>
    <row r="479" spans="2:9">
      <c r="B479" s="555" t="str">
        <f t="shared" si="39"/>
        <v/>
      </c>
      <c r="C479" s="556" t="str">
        <f t="shared" si="40"/>
        <v/>
      </c>
      <c r="D479" s="557" t="str">
        <f t="shared" si="41"/>
        <v/>
      </c>
      <c r="E479" s="560"/>
      <c r="F479" s="559"/>
      <c r="G479" s="559" t="str">
        <f t="shared" si="42"/>
        <v/>
      </c>
      <c r="H479" s="559" t="str">
        <f t="shared" si="43"/>
        <v/>
      </c>
      <c r="I479" s="559" t="str">
        <f t="shared" si="44"/>
        <v/>
      </c>
    </row>
    <row r="480" spans="2:9">
      <c r="B480" s="555" t="str">
        <f t="shared" si="39"/>
        <v/>
      </c>
      <c r="C480" s="556" t="str">
        <f t="shared" si="40"/>
        <v/>
      </c>
      <c r="D480" s="557" t="str">
        <f t="shared" si="41"/>
        <v/>
      </c>
      <c r="E480" s="560"/>
      <c r="F480" s="559"/>
      <c r="G480" s="559" t="str">
        <f t="shared" si="42"/>
        <v/>
      </c>
      <c r="H480" s="559" t="str">
        <f t="shared" si="43"/>
        <v/>
      </c>
      <c r="I480" s="559" t="str">
        <f t="shared" si="44"/>
        <v/>
      </c>
    </row>
    <row r="481" spans="2:9">
      <c r="B481" s="555" t="str">
        <f t="shared" si="39"/>
        <v/>
      </c>
      <c r="C481" s="556" t="str">
        <f t="shared" si="40"/>
        <v/>
      </c>
      <c r="D481" s="557" t="str">
        <f t="shared" si="41"/>
        <v/>
      </c>
      <c r="E481" s="560"/>
      <c r="F481" s="559"/>
      <c r="G481" s="559" t="str">
        <f t="shared" si="42"/>
        <v/>
      </c>
      <c r="H481" s="559" t="str">
        <f t="shared" si="43"/>
        <v/>
      </c>
      <c r="I481" s="559" t="str">
        <f t="shared" si="44"/>
        <v/>
      </c>
    </row>
    <row r="482" spans="2:9">
      <c r="B482" s="555" t="str">
        <f t="shared" si="39"/>
        <v/>
      </c>
      <c r="C482" s="556" t="str">
        <f t="shared" si="40"/>
        <v/>
      </c>
      <c r="D482" s="557" t="str">
        <f t="shared" si="41"/>
        <v/>
      </c>
      <c r="E482" s="560"/>
      <c r="F482" s="559"/>
      <c r="G482" s="559" t="str">
        <f t="shared" si="42"/>
        <v/>
      </c>
      <c r="H482" s="559" t="str">
        <f t="shared" si="43"/>
        <v/>
      </c>
      <c r="I482" s="559" t="str">
        <f t="shared" si="44"/>
        <v/>
      </c>
    </row>
    <row r="483" spans="2:9">
      <c r="B483" s="555" t="str">
        <f t="shared" si="39"/>
        <v/>
      </c>
      <c r="C483" s="556" t="str">
        <f t="shared" si="40"/>
        <v/>
      </c>
      <c r="D483" s="557" t="str">
        <f t="shared" si="41"/>
        <v/>
      </c>
      <c r="E483" s="560"/>
      <c r="F483" s="559"/>
      <c r="G483" s="559" t="str">
        <f t="shared" si="42"/>
        <v/>
      </c>
      <c r="H483" s="559" t="str">
        <f t="shared" si="43"/>
        <v/>
      </c>
      <c r="I483" s="559" t="str">
        <f t="shared" si="44"/>
        <v/>
      </c>
    </row>
    <row r="484" spans="2:9">
      <c r="B484" s="555" t="str">
        <f t="shared" si="39"/>
        <v/>
      </c>
      <c r="C484" s="556" t="str">
        <f t="shared" si="40"/>
        <v/>
      </c>
      <c r="D484" s="557" t="str">
        <f t="shared" si="41"/>
        <v/>
      </c>
      <c r="E484" s="560"/>
      <c r="F484" s="559"/>
      <c r="G484" s="559" t="str">
        <f t="shared" si="42"/>
        <v/>
      </c>
      <c r="H484" s="559" t="str">
        <f t="shared" si="43"/>
        <v/>
      </c>
      <c r="I484" s="559" t="str">
        <f t="shared" si="44"/>
        <v/>
      </c>
    </row>
    <row r="485" spans="2:9">
      <c r="B485" s="555" t="str">
        <f t="shared" si="39"/>
        <v/>
      </c>
      <c r="C485" s="556" t="str">
        <f t="shared" si="40"/>
        <v/>
      </c>
      <c r="D485" s="557" t="str">
        <f t="shared" si="41"/>
        <v/>
      </c>
      <c r="E485" s="560"/>
      <c r="F485" s="559"/>
      <c r="G485" s="559" t="str">
        <f t="shared" si="42"/>
        <v/>
      </c>
      <c r="H485" s="559" t="str">
        <f t="shared" si="43"/>
        <v/>
      </c>
      <c r="I485" s="559" t="str">
        <f t="shared" si="44"/>
        <v/>
      </c>
    </row>
    <row r="486" spans="2:9">
      <c r="B486" s="555" t="str">
        <f t="shared" si="39"/>
        <v/>
      </c>
      <c r="C486" s="556" t="str">
        <f t="shared" si="40"/>
        <v/>
      </c>
      <c r="D486" s="557" t="str">
        <f t="shared" si="41"/>
        <v/>
      </c>
      <c r="E486" s="560"/>
      <c r="F486" s="559"/>
      <c r="G486" s="559" t="str">
        <f t="shared" si="42"/>
        <v/>
      </c>
      <c r="H486" s="559" t="str">
        <f t="shared" si="43"/>
        <v/>
      </c>
      <c r="I486" s="559" t="str">
        <f t="shared" si="44"/>
        <v/>
      </c>
    </row>
    <row r="487" spans="2:9">
      <c r="B487" s="555" t="str">
        <f t="shared" si="39"/>
        <v/>
      </c>
      <c r="C487" s="556" t="str">
        <f t="shared" si="40"/>
        <v/>
      </c>
      <c r="D487" s="557" t="str">
        <f t="shared" si="41"/>
        <v/>
      </c>
      <c r="E487" s="560"/>
      <c r="F487" s="559"/>
      <c r="G487" s="559" t="str">
        <f t="shared" si="42"/>
        <v/>
      </c>
      <c r="H487" s="559" t="str">
        <f t="shared" si="43"/>
        <v/>
      </c>
      <c r="I487" s="559" t="str">
        <f t="shared" si="44"/>
        <v/>
      </c>
    </row>
    <row r="488" spans="2:9">
      <c r="B488" s="555" t="str">
        <f t="shared" si="39"/>
        <v/>
      </c>
      <c r="C488" s="556" t="str">
        <f t="shared" si="40"/>
        <v/>
      </c>
      <c r="D488" s="557" t="str">
        <f t="shared" si="41"/>
        <v/>
      </c>
      <c r="E488" s="560"/>
      <c r="F488" s="559"/>
      <c r="G488" s="559" t="str">
        <f t="shared" si="42"/>
        <v/>
      </c>
      <c r="H488" s="559" t="str">
        <f t="shared" si="43"/>
        <v/>
      </c>
      <c r="I488" s="559" t="str">
        <f t="shared" si="44"/>
        <v/>
      </c>
    </row>
    <row r="489" spans="2:9">
      <c r="B489" s="555" t="str">
        <f t="shared" si="39"/>
        <v/>
      </c>
      <c r="C489" s="556" t="str">
        <f t="shared" si="40"/>
        <v/>
      </c>
      <c r="D489" s="557" t="str">
        <f t="shared" si="41"/>
        <v/>
      </c>
      <c r="E489" s="560"/>
      <c r="F489" s="559"/>
      <c r="G489" s="559" t="str">
        <f t="shared" si="42"/>
        <v/>
      </c>
      <c r="H489" s="559" t="str">
        <f t="shared" si="43"/>
        <v/>
      </c>
      <c r="I489" s="559" t="str">
        <f t="shared" si="44"/>
        <v/>
      </c>
    </row>
    <row r="490" spans="2:9">
      <c r="B490" s="555" t="str">
        <f t="shared" si="39"/>
        <v/>
      </c>
      <c r="C490" s="556" t="str">
        <f t="shared" si="40"/>
        <v/>
      </c>
      <c r="D490" s="557" t="str">
        <f t="shared" si="41"/>
        <v/>
      </c>
      <c r="E490" s="560"/>
      <c r="F490" s="559"/>
      <c r="G490" s="559" t="str">
        <f t="shared" si="42"/>
        <v/>
      </c>
      <c r="H490" s="559" t="str">
        <f t="shared" si="43"/>
        <v/>
      </c>
      <c r="I490" s="559" t="str">
        <f t="shared" si="44"/>
        <v/>
      </c>
    </row>
    <row r="491" spans="2:9">
      <c r="B491" s="555" t="str">
        <f t="shared" si="39"/>
        <v/>
      </c>
      <c r="C491" s="556" t="str">
        <f t="shared" si="40"/>
        <v/>
      </c>
      <c r="D491" s="557" t="str">
        <f t="shared" si="41"/>
        <v/>
      </c>
      <c r="E491" s="560"/>
      <c r="F491" s="559"/>
      <c r="G491" s="559" t="str">
        <f t="shared" si="42"/>
        <v/>
      </c>
      <c r="H491" s="559" t="str">
        <f t="shared" si="43"/>
        <v/>
      </c>
      <c r="I491" s="559" t="str">
        <f t="shared" si="44"/>
        <v/>
      </c>
    </row>
    <row r="492" spans="2:9">
      <c r="B492" s="555" t="str">
        <f t="shared" si="39"/>
        <v/>
      </c>
      <c r="C492" s="556" t="str">
        <f t="shared" si="40"/>
        <v/>
      </c>
      <c r="D492" s="557" t="str">
        <f t="shared" si="41"/>
        <v/>
      </c>
      <c r="E492" s="560"/>
      <c r="F492" s="559"/>
      <c r="G492" s="559" t="str">
        <f t="shared" si="42"/>
        <v/>
      </c>
      <c r="H492" s="559" t="str">
        <f t="shared" si="43"/>
        <v/>
      </c>
      <c r="I492" s="559" t="str">
        <f t="shared" si="44"/>
        <v/>
      </c>
    </row>
    <row r="493" spans="2:9">
      <c r="B493" s="555" t="str">
        <f t="shared" si="39"/>
        <v/>
      </c>
      <c r="C493" s="556" t="str">
        <f t="shared" si="40"/>
        <v/>
      </c>
      <c r="D493" s="557" t="str">
        <f t="shared" si="41"/>
        <v/>
      </c>
      <c r="E493" s="560"/>
      <c r="F493" s="559"/>
      <c r="G493" s="559" t="str">
        <f t="shared" si="42"/>
        <v/>
      </c>
      <c r="H493" s="559" t="str">
        <f t="shared" si="43"/>
        <v/>
      </c>
      <c r="I493" s="559" t="str">
        <f t="shared" si="44"/>
        <v/>
      </c>
    </row>
    <row r="494" spans="2:9">
      <c r="B494" s="555" t="str">
        <f t="shared" si="39"/>
        <v/>
      </c>
      <c r="C494" s="556" t="str">
        <f t="shared" si="40"/>
        <v/>
      </c>
      <c r="D494" s="557" t="str">
        <f t="shared" si="41"/>
        <v/>
      </c>
      <c r="E494" s="560"/>
      <c r="F494" s="559"/>
      <c r="G494" s="559" t="str">
        <f t="shared" si="42"/>
        <v/>
      </c>
      <c r="H494" s="559" t="str">
        <f t="shared" si="43"/>
        <v/>
      </c>
      <c r="I494" s="559" t="str">
        <f t="shared" si="44"/>
        <v/>
      </c>
    </row>
    <row r="495" spans="2:9">
      <c r="B495" s="555" t="str">
        <f t="shared" si="39"/>
        <v/>
      </c>
      <c r="C495" s="556" t="str">
        <f t="shared" si="40"/>
        <v/>
      </c>
      <c r="D495" s="557" t="str">
        <f t="shared" si="41"/>
        <v/>
      </c>
      <c r="E495" s="560"/>
      <c r="F495" s="559"/>
      <c r="G495" s="559" t="str">
        <f t="shared" si="42"/>
        <v/>
      </c>
      <c r="H495" s="559" t="str">
        <f t="shared" si="43"/>
        <v/>
      </c>
      <c r="I495" s="559" t="str">
        <f t="shared" si="44"/>
        <v/>
      </c>
    </row>
    <row r="496" spans="2:9">
      <c r="B496" s="555" t="str">
        <f t="shared" si="39"/>
        <v/>
      </c>
      <c r="C496" s="556" t="str">
        <f t="shared" si="40"/>
        <v/>
      </c>
      <c r="D496" s="557" t="str">
        <f t="shared" si="41"/>
        <v/>
      </c>
      <c r="E496" s="560"/>
      <c r="F496" s="559"/>
      <c r="G496" s="559" t="str">
        <f t="shared" si="42"/>
        <v/>
      </c>
      <c r="H496" s="559" t="str">
        <f t="shared" si="43"/>
        <v/>
      </c>
      <c r="I496" s="559" t="str">
        <f t="shared" si="44"/>
        <v/>
      </c>
    </row>
    <row r="497" spans="2:9">
      <c r="B497" s="555" t="str">
        <f t="shared" si="39"/>
        <v/>
      </c>
      <c r="C497" s="556" t="str">
        <f t="shared" si="40"/>
        <v/>
      </c>
      <c r="D497" s="557" t="str">
        <f t="shared" si="41"/>
        <v/>
      </c>
      <c r="E497" s="560"/>
      <c r="F497" s="559"/>
      <c r="G497" s="559" t="str">
        <f t="shared" si="42"/>
        <v/>
      </c>
      <c r="H497" s="559" t="str">
        <f t="shared" si="43"/>
        <v/>
      </c>
      <c r="I497" s="559" t="str">
        <f t="shared" si="44"/>
        <v/>
      </c>
    </row>
    <row r="498" spans="2:9">
      <c r="B498" s="555" t="str">
        <f t="shared" si="39"/>
        <v/>
      </c>
      <c r="C498" s="556" t="str">
        <f t="shared" si="40"/>
        <v/>
      </c>
      <c r="D498" s="557" t="str">
        <f t="shared" si="41"/>
        <v/>
      </c>
      <c r="E498" s="560"/>
      <c r="F498" s="559"/>
      <c r="G498" s="559" t="str">
        <f t="shared" si="42"/>
        <v/>
      </c>
      <c r="H498" s="559" t="str">
        <f t="shared" si="43"/>
        <v/>
      </c>
      <c r="I498" s="559" t="str">
        <f t="shared" si="44"/>
        <v/>
      </c>
    </row>
    <row r="499" spans="2:9">
      <c r="B499" s="555" t="str">
        <f t="shared" si="39"/>
        <v/>
      </c>
      <c r="C499" s="556" t="str">
        <f t="shared" si="40"/>
        <v/>
      </c>
      <c r="D499" s="557" t="str">
        <f t="shared" si="41"/>
        <v/>
      </c>
      <c r="E499" s="560"/>
      <c r="F499" s="559"/>
      <c r="G499" s="559" t="str">
        <f t="shared" si="42"/>
        <v/>
      </c>
      <c r="H499" s="559" t="str">
        <f t="shared" si="43"/>
        <v/>
      </c>
      <c r="I499" s="559" t="str">
        <f t="shared" si="44"/>
        <v/>
      </c>
    </row>
    <row r="500" spans="2:9">
      <c r="B500" s="555" t="str">
        <f t="shared" si="39"/>
        <v/>
      </c>
      <c r="C500" s="556" t="str">
        <f t="shared" si="40"/>
        <v/>
      </c>
      <c r="D500" s="557" t="str">
        <f t="shared" si="41"/>
        <v/>
      </c>
      <c r="E500" s="560"/>
      <c r="F500" s="559"/>
      <c r="G500" s="559" t="str">
        <f t="shared" si="42"/>
        <v/>
      </c>
      <c r="H500" s="559" t="str">
        <f t="shared" si="43"/>
        <v/>
      </c>
      <c r="I500" s="559" t="str">
        <f t="shared" si="44"/>
        <v/>
      </c>
    </row>
    <row r="501" spans="2:9">
      <c r="B501" s="555" t="str">
        <f t="shared" si="39"/>
        <v/>
      </c>
      <c r="C501" s="556" t="str">
        <f t="shared" si="40"/>
        <v/>
      </c>
      <c r="D501" s="557" t="str">
        <f t="shared" si="41"/>
        <v/>
      </c>
      <c r="E501" s="560"/>
      <c r="F501" s="559"/>
      <c r="G501" s="559" t="str">
        <f t="shared" si="42"/>
        <v/>
      </c>
      <c r="H501" s="559" t="str">
        <f t="shared" si="43"/>
        <v/>
      </c>
      <c r="I501" s="559" t="str">
        <f t="shared" si="44"/>
        <v/>
      </c>
    </row>
    <row r="502" spans="2:9">
      <c r="B502" s="555" t="str">
        <f t="shared" si="39"/>
        <v/>
      </c>
      <c r="C502" s="556" t="str">
        <f t="shared" si="40"/>
        <v/>
      </c>
      <c r="D502" s="557" t="str">
        <f t="shared" si="41"/>
        <v/>
      </c>
      <c r="E502" s="560"/>
      <c r="F502" s="559"/>
      <c r="G502" s="559" t="str">
        <f t="shared" si="42"/>
        <v/>
      </c>
      <c r="H502" s="559" t="str">
        <f t="shared" si="43"/>
        <v/>
      </c>
      <c r="I502" s="559" t="str">
        <f t="shared" si="44"/>
        <v/>
      </c>
    </row>
    <row r="503" spans="2:9">
      <c r="B503" s="555" t="str">
        <f t="shared" si="39"/>
        <v/>
      </c>
      <c r="C503" s="556" t="str">
        <f t="shared" si="40"/>
        <v/>
      </c>
      <c r="D503" s="557" t="str">
        <f t="shared" si="41"/>
        <v/>
      </c>
      <c r="E503" s="560"/>
      <c r="F503" s="559"/>
      <c r="G503" s="559" t="str">
        <f t="shared" si="42"/>
        <v/>
      </c>
      <c r="H503" s="559" t="str">
        <f t="shared" si="43"/>
        <v/>
      </c>
      <c r="I503" s="559" t="str">
        <f t="shared" si="44"/>
        <v/>
      </c>
    </row>
    <row r="504" spans="2:9">
      <c r="B504" s="555" t="str">
        <f t="shared" si="39"/>
        <v/>
      </c>
      <c r="C504" s="556" t="str">
        <f t="shared" si="40"/>
        <v/>
      </c>
      <c r="D504" s="557" t="str">
        <f t="shared" si="41"/>
        <v/>
      </c>
      <c r="E504" s="560"/>
      <c r="F504" s="559"/>
      <c r="G504" s="559" t="str">
        <f t="shared" si="42"/>
        <v/>
      </c>
      <c r="H504" s="559" t="str">
        <f t="shared" si="43"/>
        <v/>
      </c>
      <c r="I504" s="559" t="str">
        <f t="shared" si="44"/>
        <v/>
      </c>
    </row>
    <row r="505" spans="2:9">
      <c r="B505" s="555" t="str">
        <f t="shared" si="39"/>
        <v/>
      </c>
      <c r="C505" s="556" t="str">
        <f t="shared" si="40"/>
        <v/>
      </c>
      <c r="D505" s="557" t="str">
        <f t="shared" si="41"/>
        <v/>
      </c>
      <c r="E505" s="560"/>
      <c r="F505" s="559"/>
      <c r="G505" s="559" t="str">
        <f t="shared" si="42"/>
        <v/>
      </c>
      <c r="H505" s="559" t="str">
        <f t="shared" si="43"/>
        <v/>
      </c>
      <c r="I505" s="559" t="str">
        <f t="shared" si="44"/>
        <v/>
      </c>
    </row>
    <row r="506" spans="2:9">
      <c r="B506" s="555" t="str">
        <f t="shared" si="39"/>
        <v/>
      </c>
      <c r="C506" s="556" t="str">
        <f t="shared" si="40"/>
        <v/>
      </c>
      <c r="D506" s="557" t="str">
        <f t="shared" si="41"/>
        <v/>
      </c>
      <c r="E506" s="560"/>
      <c r="F506" s="559"/>
      <c r="G506" s="559" t="str">
        <f t="shared" si="42"/>
        <v/>
      </c>
      <c r="H506" s="559" t="str">
        <f t="shared" si="43"/>
        <v/>
      </c>
      <c r="I506" s="559" t="str">
        <f t="shared" si="44"/>
        <v/>
      </c>
    </row>
    <row r="507" spans="2:9">
      <c r="B507" s="555" t="str">
        <f t="shared" si="39"/>
        <v/>
      </c>
      <c r="C507" s="556" t="str">
        <f t="shared" si="40"/>
        <v/>
      </c>
      <c r="D507" s="557" t="str">
        <f t="shared" si="41"/>
        <v/>
      </c>
      <c r="E507" s="560"/>
      <c r="F507" s="559"/>
      <c r="G507" s="559" t="str">
        <f t="shared" si="42"/>
        <v/>
      </c>
      <c r="H507" s="559" t="str">
        <f t="shared" si="43"/>
        <v/>
      </c>
      <c r="I507" s="559" t="str">
        <f t="shared" si="44"/>
        <v/>
      </c>
    </row>
    <row r="508" spans="2:9">
      <c r="B508" s="555" t="str">
        <f t="shared" si="39"/>
        <v/>
      </c>
      <c r="C508" s="556" t="str">
        <f t="shared" si="40"/>
        <v/>
      </c>
      <c r="D508" s="557" t="str">
        <f t="shared" si="41"/>
        <v/>
      </c>
      <c r="E508" s="560"/>
      <c r="F508" s="559"/>
      <c r="G508" s="559" t="str">
        <f t="shared" si="42"/>
        <v/>
      </c>
      <c r="H508" s="559" t="str">
        <f t="shared" si="43"/>
        <v/>
      </c>
      <c r="I508" s="559" t="str">
        <f t="shared" si="44"/>
        <v/>
      </c>
    </row>
    <row r="509" spans="2:9">
      <c r="B509" s="555" t="str">
        <f t="shared" ref="B509:B572" si="45">IF(I508="","",IF(roundOpt,IF(OR(B508&gt;=nper,ROUND(I508,2)&lt;=0),"",B508+1),IF(OR(B508&gt;=nper,I508&lt;=0),"",B508+1)))</f>
        <v/>
      </c>
      <c r="C509" s="556" t="str">
        <f t="shared" ref="C509:C572" si="46">IF(B509="","",IF(OR(periods_per_year=26,periods_per_year=52),IF(periods_per_year=26,IF(B509=1,fpdate,C508+14),IF(periods_per_year=52,IF(B509=1,fpdate,C508+7),"n/a")),IF(periods_per_year=24,DATE(YEAR(fpdate),MONTH(fpdate)+(B509-1)/2+IF(AND(DAY(fpdate)&gt;=15,MOD(B509,2)=0),1,0),IF(MOD(B509,2)=0,IF(DAY(fpdate)&gt;=15,DAY(fpdate)-14,DAY(fpdate)+14),DAY(fpdate))),IF(DAY(DATE(YEAR(fpdate),MONTH(fpdate)+(B509-1)*months_per_period,DAY(fpdate)))&lt;&gt;DAY(fpdate),DATE(YEAR(fpdate),MONTH(fpdate)+(B509-1)*months_per_period+1,0),DATE(YEAR(fpdate),MONTH(fpdate)+(B509-1)*months_per_period,DAY(fpdate))))))</f>
        <v/>
      </c>
      <c r="D509" s="557" t="str">
        <f t="shared" ref="D509:D572" si="47">IF(B509="","",IF(roundOpt,IF(OR(B509=nper,payment&gt;ROUND((1+rate)*I508,2)),ROUND((1+rate)*I508,2),payment),IF(OR(B509=nper,payment&gt;(1+rate)*I508),(1+rate)*I508,payment)))</f>
        <v/>
      </c>
      <c r="E509" s="560"/>
      <c r="F509" s="559"/>
      <c r="G509" s="559" t="str">
        <f t="shared" ref="G509:G572" si="48">IF(B509="","",IF(AND(B509=1,pmtType=1),0,IF(roundOpt,ROUND(rate*I508,2),rate*I508)))</f>
        <v/>
      </c>
      <c r="H509" s="559" t="str">
        <f t="shared" ref="H509:H572" si="49">IF(B509="","",D509-G509+E509)</f>
        <v/>
      </c>
      <c r="I509" s="559" t="str">
        <f t="shared" ref="I509:I572" si="50">IF(B509="","",I508-H509)</f>
        <v/>
      </c>
    </row>
    <row r="510" spans="2:9">
      <c r="B510" s="555" t="str">
        <f t="shared" si="45"/>
        <v/>
      </c>
      <c r="C510" s="556" t="str">
        <f t="shared" si="46"/>
        <v/>
      </c>
      <c r="D510" s="557" t="str">
        <f t="shared" si="47"/>
        <v/>
      </c>
      <c r="E510" s="560"/>
      <c r="F510" s="559"/>
      <c r="G510" s="559" t="str">
        <f t="shared" si="48"/>
        <v/>
      </c>
      <c r="H510" s="559" t="str">
        <f t="shared" si="49"/>
        <v/>
      </c>
      <c r="I510" s="559" t="str">
        <f t="shared" si="50"/>
        <v/>
      </c>
    </row>
    <row r="511" spans="2:9">
      <c r="B511" s="555" t="str">
        <f t="shared" si="45"/>
        <v/>
      </c>
      <c r="C511" s="556" t="str">
        <f t="shared" si="46"/>
        <v/>
      </c>
      <c r="D511" s="557" t="str">
        <f t="shared" si="47"/>
        <v/>
      </c>
      <c r="E511" s="560"/>
      <c r="F511" s="559"/>
      <c r="G511" s="559" t="str">
        <f t="shared" si="48"/>
        <v/>
      </c>
      <c r="H511" s="559" t="str">
        <f t="shared" si="49"/>
        <v/>
      </c>
      <c r="I511" s="559" t="str">
        <f t="shared" si="50"/>
        <v/>
      </c>
    </row>
    <row r="512" spans="2:9">
      <c r="B512" s="555" t="str">
        <f t="shared" si="45"/>
        <v/>
      </c>
      <c r="C512" s="556" t="str">
        <f t="shared" si="46"/>
        <v/>
      </c>
      <c r="D512" s="557" t="str">
        <f t="shared" si="47"/>
        <v/>
      </c>
      <c r="E512" s="560"/>
      <c r="F512" s="559"/>
      <c r="G512" s="559" t="str">
        <f t="shared" si="48"/>
        <v/>
      </c>
      <c r="H512" s="559" t="str">
        <f t="shared" si="49"/>
        <v/>
      </c>
      <c r="I512" s="559" t="str">
        <f t="shared" si="50"/>
        <v/>
      </c>
    </row>
    <row r="513" spans="2:9">
      <c r="B513" s="555" t="str">
        <f t="shared" si="45"/>
        <v/>
      </c>
      <c r="C513" s="556" t="str">
        <f t="shared" si="46"/>
        <v/>
      </c>
      <c r="D513" s="557" t="str">
        <f t="shared" si="47"/>
        <v/>
      </c>
      <c r="E513" s="560"/>
      <c r="F513" s="559"/>
      <c r="G513" s="559" t="str">
        <f t="shared" si="48"/>
        <v/>
      </c>
      <c r="H513" s="559" t="str">
        <f t="shared" si="49"/>
        <v/>
      </c>
      <c r="I513" s="559" t="str">
        <f t="shared" si="50"/>
        <v/>
      </c>
    </row>
    <row r="514" spans="2:9">
      <c r="B514" s="555" t="str">
        <f t="shared" si="45"/>
        <v/>
      </c>
      <c r="C514" s="556" t="str">
        <f t="shared" si="46"/>
        <v/>
      </c>
      <c r="D514" s="557" t="str">
        <f t="shared" si="47"/>
        <v/>
      </c>
      <c r="E514" s="560"/>
      <c r="F514" s="559"/>
      <c r="G514" s="559" t="str">
        <f t="shared" si="48"/>
        <v/>
      </c>
      <c r="H514" s="559" t="str">
        <f t="shared" si="49"/>
        <v/>
      </c>
      <c r="I514" s="559" t="str">
        <f t="shared" si="50"/>
        <v/>
      </c>
    </row>
    <row r="515" spans="2:9">
      <c r="B515" s="555" t="str">
        <f t="shared" si="45"/>
        <v/>
      </c>
      <c r="C515" s="556" t="str">
        <f t="shared" si="46"/>
        <v/>
      </c>
      <c r="D515" s="557" t="str">
        <f t="shared" si="47"/>
        <v/>
      </c>
      <c r="E515" s="560"/>
      <c r="F515" s="559"/>
      <c r="G515" s="559" t="str">
        <f t="shared" si="48"/>
        <v/>
      </c>
      <c r="H515" s="559" t="str">
        <f t="shared" si="49"/>
        <v/>
      </c>
      <c r="I515" s="559" t="str">
        <f t="shared" si="50"/>
        <v/>
      </c>
    </row>
    <row r="516" spans="2:9">
      <c r="B516" s="555" t="str">
        <f t="shared" si="45"/>
        <v/>
      </c>
      <c r="C516" s="556" t="str">
        <f t="shared" si="46"/>
        <v/>
      </c>
      <c r="D516" s="557" t="str">
        <f t="shared" si="47"/>
        <v/>
      </c>
      <c r="E516" s="560"/>
      <c r="F516" s="559"/>
      <c r="G516" s="559" t="str">
        <f t="shared" si="48"/>
        <v/>
      </c>
      <c r="H516" s="559" t="str">
        <f t="shared" si="49"/>
        <v/>
      </c>
      <c r="I516" s="559" t="str">
        <f t="shared" si="50"/>
        <v/>
      </c>
    </row>
    <row r="517" spans="2:9">
      <c r="B517" s="555" t="str">
        <f t="shared" si="45"/>
        <v/>
      </c>
      <c r="C517" s="556" t="str">
        <f t="shared" si="46"/>
        <v/>
      </c>
      <c r="D517" s="557" t="str">
        <f t="shared" si="47"/>
        <v/>
      </c>
      <c r="E517" s="560"/>
      <c r="F517" s="559"/>
      <c r="G517" s="559" t="str">
        <f t="shared" si="48"/>
        <v/>
      </c>
      <c r="H517" s="559" t="str">
        <f t="shared" si="49"/>
        <v/>
      </c>
      <c r="I517" s="559" t="str">
        <f t="shared" si="50"/>
        <v/>
      </c>
    </row>
    <row r="518" spans="2:9">
      <c r="B518" s="555" t="str">
        <f t="shared" si="45"/>
        <v/>
      </c>
      <c r="C518" s="556" t="str">
        <f t="shared" si="46"/>
        <v/>
      </c>
      <c r="D518" s="557" t="str">
        <f t="shared" si="47"/>
        <v/>
      </c>
      <c r="E518" s="560"/>
      <c r="F518" s="559"/>
      <c r="G518" s="559" t="str">
        <f t="shared" si="48"/>
        <v/>
      </c>
      <c r="H518" s="559" t="str">
        <f t="shared" si="49"/>
        <v/>
      </c>
      <c r="I518" s="559" t="str">
        <f t="shared" si="50"/>
        <v/>
      </c>
    </row>
    <row r="519" spans="2:9">
      <c r="B519" s="555" t="str">
        <f t="shared" si="45"/>
        <v/>
      </c>
      <c r="C519" s="556" t="str">
        <f t="shared" si="46"/>
        <v/>
      </c>
      <c r="D519" s="557" t="str">
        <f t="shared" si="47"/>
        <v/>
      </c>
      <c r="E519" s="560"/>
      <c r="F519" s="559"/>
      <c r="G519" s="559" t="str">
        <f t="shared" si="48"/>
        <v/>
      </c>
      <c r="H519" s="559" t="str">
        <f t="shared" si="49"/>
        <v/>
      </c>
      <c r="I519" s="559" t="str">
        <f t="shared" si="50"/>
        <v/>
      </c>
    </row>
    <row r="520" spans="2:9">
      <c r="B520" s="555" t="str">
        <f t="shared" si="45"/>
        <v/>
      </c>
      <c r="C520" s="556" t="str">
        <f t="shared" si="46"/>
        <v/>
      </c>
      <c r="D520" s="557" t="str">
        <f t="shared" si="47"/>
        <v/>
      </c>
      <c r="E520" s="560"/>
      <c r="F520" s="559"/>
      <c r="G520" s="559" t="str">
        <f t="shared" si="48"/>
        <v/>
      </c>
      <c r="H520" s="559" t="str">
        <f t="shared" si="49"/>
        <v/>
      </c>
      <c r="I520" s="559" t="str">
        <f t="shared" si="50"/>
        <v/>
      </c>
    </row>
    <row r="521" spans="2:9">
      <c r="B521" s="555" t="str">
        <f t="shared" si="45"/>
        <v/>
      </c>
      <c r="C521" s="556" t="str">
        <f t="shared" si="46"/>
        <v/>
      </c>
      <c r="D521" s="557" t="str">
        <f t="shared" si="47"/>
        <v/>
      </c>
      <c r="E521" s="560"/>
      <c r="F521" s="559"/>
      <c r="G521" s="559" t="str">
        <f t="shared" si="48"/>
        <v/>
      </c>
      <c r="H521" s="559" t="str">
        <f t="shared" si="49"/>
        <v/>
      </c>
      <c r="I521" s="559" t="str">
        <f t="shared" si="50"/>
        <v/>
      </c>
    </row>
    <row r="522" spans="2:9">
      <c r="B522" s="555" t="str">
        <f t="shared" si="45"/>
        <v/>
      </c>
      <c r="C522" s="556" t="str">
        <f t="shared" si="46"/>
        <v/>
      </c>
      <c r="D522" s="557" t="str">
        <f t="shared" si="47"/>
        <v/>
      </c>
      <c r="E522" s="560"/>
      <c r="F522" s="559"/>
      <c r="G522" s="559" t="str">
        <f t="shared" si="48"/>
        <v/>
      </c>
      <c r="H522" s="559" t="str">
        <f t="shared" si="49"/>
        <v/>
      </c>
      <c r="I522" s="559" t="str">
        <f t="shared" si="50"/>
        <v/>
      </c>
    </row>
    <row r="523" spans="2:9">
      <c r="B523" s="555" t="str">
        <f t="shared" si="45"/>
        <v/>
      </c>
      <c r="C523" s="556" t="str">
        <f t="shared" si="46"/>
        <v/>
      </c>
      <c r="D523" s="557" t="str">
        <f t="shared" si="47"/>
        <v/>
      </c>
      <c r="E523" s="560"/>
      <c r="F523" s="559"/>
      <c r="G523" s="559" t="str">
        <f t="shared" si="48"/>
        <v/>
      </c>
      <c r="H523" s="559" t="str">
        <f t="shared" si="49"/>
        <v/>
      </c>
      <c r="I523" s="559" t="str">
        <f t="shared" si="50"/>
        <v/>
      </c>
    </row>
    <row r="524" spans="2:9">
      <c r="B524" s="555" t="str">
        <f t="shared" si="45"/>
        <v/>
      </c>
      <c r="C524" s="556" t="str">
        <f t="shared" si="46"/>
        <v/>
      </c>
      <c r="D524" s="557" t="str">
        <f t="shared" si="47"/>
        <v/>
      </c>
      <c r="E524" s="560"/>
      <c r="F524" s="559"/>
      <c r="G524" s="559" t="str">
        <f t="shared" si="48"/>
        <v/>
      </c>
      <c r="H524" s="559" t="str">
        <f t="shared" si="49"/>
        <v/>
      </c>
      <c r="I524" s="559" t="str">
        <f t="shared" si="50"/>
        <v/>
      </c>
    </row>
    <row r="525" spans="2:9">
      <c r="B525" s="555" t="str">
        <f t="shared" si="45"/>
        <v/>
      </c>
      <c r="C525" s="556" t="str">
        <f t="shared" si="46"/>
        <v/>
      </c>
      <c r="D525" s="557" t="str">
        <f t="shared" si="47"/>
        <v/>
      </c>
      <c r="E525" s="560"/>
      <c r="F525" s="559"/>
      <c r="G525" s="559" t="str">
        <f t="shared" si="48"/>
        <v/>
      </c>
      <c r="H525" s="559" t="str">
        <f t="shared" si="49"/>
        <v/>
      </c>
      <c r="I525" s="559" t="str">
        <f t="shared" si="50"/>
        <v/>
      </c>
    </row>
    <row r="526" spans="2:9">
      <c r="B526" s="555" t="str">
        <f t="shared" si="45"/>
        <v/>
      </c>
      <c r="C526" s="556" t="str">
        <f t="shared" si="46"/>
        <v/>
      </c>
      <c r="D526" s="557" t="str">
        <f t="shared" si="47"/>
        <v/>
      </c>
      <c r="E526" s="560"/>
      <c r="F526" s="559"/>
      <c r="G526" s="559" t="str">
        <f t="shared" si="48"/>
        <v/>
      </c>
      <c r="H526" s="559" t="str">
        <f t="shared" si="49"/>
        <v/>
      </c>
      <c r="I526" s="559" t="str">
        <f t="shared" si="50"/>
        <v/>
      </c>
    </row>
    <row r="527" spans="2:9">
      <c r="B527" s="555" t="str">
        <f t="shared" si="45"/>
        <v/>
      </c>
      <c r="C527" s="556" t="str">
        <f t="shared" si="46"/>
        <v/>
      </c>
      <c r="D527" s="557" t="str">
        <f t="shared" si="47"/>
        <v/>
      </c>
      <c r="E527" s="560"/>
      <c r="F527" s="559"/>
      <c r="G527" s="559" t="str">
        <f t="shared" si="48"/>
        <v/>
      </c>
      <c r="H527" s="559" t="str">
        <f t="shared" si="49"/>
        <v/>
      </c>
      <c r="I527" s="559" t="str">
        <f t="shared" si="50"/>
        <v/>
      </c>
    </row>
    <row r="528" spans="2:9">
      <c r="B528" s="555" t="str">
        <f t="shared" si="45"/>
        <v/>
      </c>
      <c r="C528" s="556" t="str">
        <f t="shared" si="46"/>
        <v/>
      </c>
      <c r="D528" s="557" t="str">
        <f t="shared" si="47"/>
        <v/>
      </c>
      <c r="E528" s="560"/>
      <c r="F528" s="559"/>
      <c r="G528" s="559" t="str">
        <f t="shared" si="48"/>
        <v/>
      </c>
      <c r="H528" s="559" t="str">
        <f t="shared" si="49"/>
        <v/>
      </c>
      <c r="I528" s="559" t="str">
        <f t="shared" si="50"/>
        <v/>
      </c>
    </row>
    <row r="529" spans="2:9">
      <c r="B529" s="555" t="str">
        <f t="shared" si="45"/>
        <v/>
      </c>
      <c r="C529" s="556" t="str">
        <f t="shared" si="46"/>
        <v/>
      </c>
      <c r="D529" s="557" t="str">
        <f t="shared" si="47"/>
        <v/>
      </c>
      <c r="E529" s="560"/>
      <c r="F529" s="559"/>
      <c r="G529" s="559" t="str">
        <f t="shared" si="48"/>
        <v/>
      </c>
      <c r="H529" s="559" t="str">
        <f t="shared" si="49"/>
        <v/>
      </c>
      <c r="I529" s="559" t="str">
        <f t="shared" si="50"/>
        <v/>
      </c>
    </row>
    <row r="530" spans="2:9">
      <c r="B530" s="555" t="str">
        <f t="shared" si="45"/>
        <v/>
      </c>
      <c r="C530" s="556" t="str">
        <f t="shared" si="46"/>
        <v/>
      </c>
      <c r="D530" s="557" t="str">
        <f t="shared" si="47"/>
        <v/>
      </c>
      <c r="E530" s="560"/>
      <c r="F530" s="559"/>
      <c r="G530" s="559" t="str">
        <f t="shared" si="48"/>
        <v/>
      </c>
      <c r="H530" s="559" t="str">
        <f t="shared" si="49"/>
        <v/>
      </c>
      <c r="I530" s="559" t="str">
        <f t="shared" si="50"/>
        <v/>
      </c>
    </row>
    <row r="531" spans="2:9">
      <c r="B531" s="555" t="str">
        <f t="shared" si="45"/>
        <v/>
      </c>
      <c r="C531" s="556" t="str">
        <f t="shared" si="46"/>
        <v/>
      </c>
      <c r="D531" s="557" t="str">
        <f t="shared" si="47"/>
        <v/>
      </c>
      <c r="E531" s="560"/>
      <c r="F531" s="559"/>
      <c r="G531" s="559" t="str">
        <f t="shared" si="48"/>
        <v/>
      </c>
      <c r="H531" s="559" t="str">
        <f t="shared" si="49"/>
        <v/>
      </c>
      <c r="I531" s="559" t="str">
        <f t="shared" si="50"/>
        <v/>
      </c>
    </row>
    <row r="532" spans="2:9">
      <c r="B532" s="555" t="str">
        <f t="shared" si="45"/>
        <v/>
      </c>
      <c r="C532" s="556" t="str">
        <f t="shared" si="46"/>
        <v/>
      </c>
      <c r="D532" s="557" t="str">
        <f t="shared" si="47"/>
        <v/>
      </c>
      <c r="E532" s="560"/>
      <c r="F532" s="559"/>
      <c r="G532" s="559" t="str">
        <f t="shared" si="48"/>
        <v/>
      </c>
      <c r="H532" s="559" t="str">
        <f t="shared" si="49"/>
        <v/>
      </c>
      <c r="I532" s="559" t="str">
        <f t="shared" si="50"/>
        <v/>
      </c>
    </row>
    <row r="533" spans="2:9">
      <c r="B533" s="555" t="str">
        <f t="shared" si="45"/>
        <v/>
      </c>
      <c r="C533" s="556" t="str">
        <f t="shared" si="46"/>
        <v/>
      </c>
      <c r="D533" s="557" t="str">
        <f t="shared" si="47"/>
        <v/>
      </c>
      <c r="E533" s="560"/>
      <c r="F533" s="559"/>
      <c r="G533" s="559" t="str">
        <f t="shared" si="48"/>
        <v/>
      </c>
      <c r="H533" s="559" t="str">
        <f t="shared" si="49"/>
        <v/>
      </c>
      <c r="I533" s="559" t="str">
        <f t="shared" si="50"/>
        <v/>
      </c>
    </row>
    <row r="534" spans="2:9">
      <c r="B534" s="555" t="str">
        <f t="shared" si="45"/>
        <v/>
      </c>
      <c r="C534" s="556" t="str">
        <f t="shared" si="46"/>
        <v/>
      </c>
      <c r="D534" s="557" t="str">
        <f t="shared" si="47"/>
        <v/>
      </c>
      <c r="E534" s="560"/>
      <c r="F534" s="559"/>
      <c r="G534" s="559" t="str">
        <f t="shared" si="48"/>
        <v/>
      </c>
      <c r="H534" s="559" t="str">
        <f t="shared" si="49"/>
        <v/>
      </c>
      <c r="I534" s="559" t="str">
        <f t="shared" si="50"/>
        <v/>
      </c>
    </row>
    <row r="535" spans="2:9">
      <c r="B535" s="555" t="str">
        <f t="shared" si="45"/>
        <v/>
      </c>
      <c r="C535" s="556" t="str">
        <f t="shared" si="46"/>
        <v/>
      </c>
      <c r="D535" s="557" t="str">
        <f t="shared" si="47"/>
        <v/>
      </c>
      <c r="E535" s="560"/>
      <c r="F535" s="559"/>
      <c r="G535" s="559" t="str">
        <f t="shared" si="48"/>
        <v/>
      </c>
      <c r="H535" s="559" t="str">
        <f t="shared" si="49"/>
        <v/>
      </c>
      <c r="I535" s="559" t="str">
        <f t="shared" si="50"/>
        <v/>
      </c>
    </row>
    <row r="536" spans="2:9">
      <c r="B536" s="555" t="str">
        <f t="shared" si="45"/>
        <v/>
      </c>
      <c r="C536" s="556" t="str">
        <f t="shared" si="46"/>
        <v/>
      </c>
      <c r="D536" s="557" t="str">
        <f t="shared" si="47"/>
        <v/>
      </c>
      <c r="E536" s="560"/>
      <c r="F536" s="559"/>
      <c r="G536" s="559" t="str">
        <f t="shared" si="48"/>
        <v/>
      </c>
      <c r="H536" s="559" t="str">
        <f t="shared" si="49"/>
        <v/>
      </c>
      <c r="I536" s="559" t="str">
        <f t="shared" si="50"/>
        <v/>
      </c>
    </row>
    <row r="537" spans="2:9">
      <c r="B537" s="555" t="str">
        <f t="shared" si="45"/>
        <v/>
      </c>
      <c r="C537" s="556" t="str">
        <f t="shared" si="46"/>
        <v/>
      </c>
      <c r="D537" s="557" t="str">
        <f t="shared" si="47"/>
        <v/>
      </c>
      <c r="E537" s="560"/>
      <c r="F537" s="559"/>
      <c r="G537" s="559" t="str">
        <f t="shared" si="48"/>
        <v/>
      </c>
      <c r="H537" s="559" t="str">
        <f t="shared" si="49"/>
        <v/>
      </c>
      <c r="I537" s="559" t="str">
        <f t="shared" si="50"/>
        <v/>
      </c>
    </row>
    <row r="538" spans="2:9">
      <c r="B538" s="555" t="str">
        <f t="shared" si="45"/>
        <v/>
      </c>
      <c r="C538" s="556" t="str">
        <f t="shared" si="46"/>
        <v/>
      </c>
      <c r="D538" s="557" t="str">
        <f t="shared" si="47"/>
        <v/>
      </c>
      <c r="E538" s="560"/>
      <c r="F538" s="559"/>
      <c r="G538" s="559" t="str">
        <f t="shared" si="48"/>
        <v/>
      </c>
      <c r="H538" s="559" t="str">
        <f t="shared" si="49"/>
        <v/>
      </c>
      <c r="I538" s="559" t="str">
        <f t="shared" si="50"/>
        <v/>
      </c>
    </row>
    <row r="539" spans="2:9">
      <c r="B539" s="555" t="str">
        <f t="shared" si="45"/>
        <v/>
      </c>
      <c r="C539" s="556" t="str">
        <f t="shared" si="46"/>
        <v/>
      </c>
      <c r="D539" s="557" t="str">
        <f t="shared" si="47"/>
        <v/>
      </c>
      <c r="E539" s="560"/>
      <c r="F539" s="559"/>
      <c r="G539" s="559" t="str">
        <f t="shared" si="48"/>
        <v/>
      </c>
      <c r="H539" s="559" t="str">
        <f t="shared" si="49"/>
        <v/>
      </c>
      <c r="I539" s="559" t="str">
        <f t="shared" si="50"/>
        <v/>
      </c>
    </row>
    <row r="540" spans="2:9">
      <c r="B540" s="555" t="str">
        <f t="shared" si="45"/>
        <v/>
      </c>
      <c r="C540" s="556" t="str">
        <f t="shared" si="46"/>
        <v/>
      </c>
      <c r="D540" s="557" t="str">
        <f t="shared" si="47"/>
        <v/>
      </c>
      <c r="E540" s="560"/>
      <c r="F540" s="559"/>
      <c r="G540" s="559" t="str">
        <f t="shared" si="48"/>
        <v/>
      </c>
      <c r="H540" s="559" t="str">
        <f t="shared" si="49"/>
        <v/>
      </c>
      <c r="I540" s="559" t="str">
        <f t="shared" si="50"/>
        <v/>
      </c>
    </row>
    <row r="541" spans="2:9">
      <c r="B541" s="555" t="str">
        <f t="shared" si="45"/>
        <v/>
      </c>
      <c r="C541" s="556" t="str">
        <f t="shared" si="46"/>
        <v/>
      </c>
      <c r="D541" s="557" t="str">
        <f t="shared" si="47"/>
        <v/>
      </c>
      <c r="E541" s="560"/>
      <c r="F541" s="559"/>
      <c r="G541" s="559" t="str">
        <f t="shared" si="48"/>
        <v/>
      </c>
      <c r="H541" s="559" t="str">
        <f t="shared" si="49"/>
        <v/>
      </c>
      <c r="I541" s="559" t="str">
        <f t="shared" si="50"/>
        <v/>
      </c>
    </row>
    <row r="542" spans="2:9">
      <c r="B542" s="555" t="str">
        <f t="shared" si="45"/>
        <v/>
      </c>
      <c r="C542" s="556" t="str">
        <f t="shared" si="46"/>
        <v/>
      </c>
      <c r="D542" s="557" t="str">
        <f t="shared" si="47"/>
        <v/>
      </c>
      <c r="E542" s="560"/>
      <c r="F542" s="559"/>
      <c r="G542" s="559" t="str">
        <f t="shared" si="48"/>
        <v/>
      </c>
      <c r="H542" s="559" t="str">
        <f t="shared" si="49"/>
        <v/>
      </c>
      <c r="I542" s="559" t="str">
        <f t="shared" si="50"/>
        <v/>
      </c>
    </row>
    <row r="543" spans="2:9">
      <c r="B543" s="555" t="str">
        <f t="shared" si="45"/>
        <v/>
      </c>
      <c r="C543" s="556" t="str">
        <f t="shared" si="46"/>
        <v/>
      </c>
      <c r="D543" s="557" t="str">
        <f t="shared" si="47"/>
        <v/>
      </c>
      <c r="E543" s="560"/>
      <c r="F543" s="559"/>
      <c r="G543" s="559" t="str">
        <f t="shared" si="48"/>
        <v/>
      </c>
      <c r="H543" s="559" t="str">
        <f t="shared" si="49"/>
        <v/>
      </c>
      <c r="I543" s="559" t="str">
        <f t="shared" si="50"/>
        <v/>
      </c>
    </row>
    <row r="544" spans="2:9">
      <c r="B544" s="555" t="str">
        <f t="shared" si="45"/>
        <v/>
      </c>
      <c r="C544" s="556" t="str">
        <f t="shared" si="46"/>
        <v/>
      </c>
      <c r="D544" s="557" t="str">
        <f t="shared" si="47"/>
        <v/>
      </c>
      <c r="E544" s="560"/>
      <c r="F544" s="559"/>
      <c r="G544" s="559" t="str">
        <f t="shared" si="48"/>
        <v/>
      </c>
      <c r="H544" s="559" t="str">
        <f t="shared" si="49"/>
        <v/>
      </c>
      <c r="I544" s="559" t="str">
        <f t="shared" si="50"/>
        <v/>
      </c>
    </row>
    <row r="545" spans="2:9">
      <c r="B545" s="555" t="str">
        <f t="shared" si="45"/>
        <v/>
      </c>
      <c r="C545" s="556" t="str">
        <f t="shared" si="46"/>
        <v/>
      </c>
      <c r="D545" s="557" t="str">
        <f t="shared" si="47"/>
        <v/>
      </c>
      <c r="E545" s="560"/>
      <c r="F545" s="559"/>
      <c r="G545" s="559" t="str">
        <f t="shared" si="48"/>
        <v/>
      </c>
      <c r="H545" s="559" t="str">
        <f t="shared" si="49"/>
        <v/>
      </c>
      <c r="I545" s="559" t="str">
        <f t="shared" si="50"/>
        <v/>
      </c>
    </row>
    <row r="546" spans="2:9">
      <c r="B546" s="555" t="str">
        <f t="shared" si="45"/>
        <v/>
      </c>
      <c r="C546" s="556" t="str">
        <f t="shared" si="46"/>
        <v/>
      </c>
      <c r="D546" s="557" t="str">
        <f t="shared" si="47"/>
        <v/>
      </c>
      <c r="E546" s="560"/>
      <c r="F546" s="559"/>
      <c r="G546" s="559" t="str">
        <f t="shared" si="48"/>
        <v/>
      </c>
      <c r="H546" s="559" t="str">
        <f t="shared" si="49"/>
        <v/>
      </c>
      <c r="I546" s="559" t="str">
        <f t="shared" si="50"/>
        <v/>
      </c>
    </row>
    <row r="547" spans="2:9">
      <c r="B547" s="555" t="str">
        <f t="shared" si="45"/>
        <v/>
      </c>
      <c r="C547" s="556" t="str">
        <f t="shared" si="46"/>
        <v/>
      </c>
      <c r="D547" s="557" t="str">
        <f t="shared" si="47"/>
        <v/>
      </c>
      <c r="E547" s="560"/>
      <c r="F547" s="559"/>
      <c r="G547" s="559" t="str">
        <f t="shared" si="48"/>
        <v/>
      </c>
      <c r="H547" s="559" t="str">
        <f t="shared" si="49"/>
        <v/>
      </c>
      <c r="I547" s="559" t="str">
        <f t="shared" si="50"/>
        <v/>
      </c>
    </row>
    <row r="548" spans="2:9">
      <c r="B548" s="555" t="str">
        <f t="shared" si="45"/>
        <v/>
      </c>
      <c r="C548" s="556" t="str">
        <f t="shared" si="46"/>
        <v/>
      </c>
      <c r="D548" s="557" t="str">
        <f t="shared" si="47"/>
        <v/>
      </c>
      <c r="E548" s="560"/>
      <c r="F548" s="559"/>
      <c r="G548" s="559" t="str">
        <f t="shared" si="48"/>
        <v/>
      </c>
      <c r="H548" s="559" t="str">
        <f t="shared" si="49"/>
        <v/>
      </c>
      <c r="I548" s="559" t="str">
        <f t="shared" si="50"/>
        <v/>
      </c>
    </row>
    <row r="549" spans="2:9">
      <c r="B549" s="555" t="str">
        <f t="shared" si="45"/>
        <v/>
      </c>
      <c r="C549" s="556" t="str">
        <f t="shared" si="46"/>
        <v/>
      </c>
      <c r="D549" s="557" t="str">
        <f t="shared" si="47"/>
        <v/>
      </c>
      <c r="E549" s="560"/>
      <c r="F549" s="559"/>
      <c r="G549" s="559" t="str">
        <f t="shared" si="48"/>
        <v/>
      </c>
      <c r="H549" s="559" t="str">
        <f t="shared" si="49"/>
        <v/>
      </c>
      <c r="I549" s="559" t="str">
        <f t="shared" si="50"/>
        <v/>
      </c>
    </row>
    <row r="550" spans="2:9">
      <c r="B550" s="555" t="str">
        <f t="shared" si="45"/>
        <v/>
      </c>
      <c r="C550" s="556" t="str">
        <f t="shared" si="46"/>
        <v/>
      </c>
      <c r="D550" s="557" t="str">
        <f t="shared" si="47"/>
        <v/>
      </c>
      <c r="E550" s="560"/>
      <c r="F550" s="559"/>
      <c r="G550" s="559" t="str">
        <f t="shared" si="48"/>
        <v/>
      </c>
      <c r="H550" s="559" t="str">
        <f t="shared" si="49"/>
        <v/>
      </c>
      <c r="I550" s="559" t="str">
        <f t="shared" si="50"/>
        <v/>
      </c>
    </row>
    <row r="551" spans="2:9">
      <c r="B551" s="555" t="str">
        <f t="shared" si="45"/>
        <v/>
      </c>
      <c r="C551" s="556" t="str">
        <f t="shared" si="46"/>
        <v/>
      </c>
      <c r="D551" s="557" t="str">
        <f t="shared" si="47"/>
        <v/>
      </c>
      <c r="E551" s="560"/>
      <c r="F551" s="559"/>
      <c r="G551" s="559" t="str">
        <f t="shared" si="48"/>
        <v/>
      </c>
      <c r="H551" s="559" t="str">
        <f t="shared" si="49"/>
        <v/>
      </c>
      <c r="I551" s="559" t="str">
        <f t="shared" si="50"/>
        <v/>
      </c>
    </row>
    <row r="552" spans="2:9">
      <c r="B552" s="555" t="str">
        <f t="shared" si="45"/>
        <v/>
      </c>
      <c r="C552" s="556" t="str">
        <f t="shared" si="46"/>
        <v/>
      </c>
      <c r="D552" s="557" t="str">
        <f t="shared" si="47"/>
        <v/>
      </c>
      <c r="E552" s="560"/>
      <c r="F552" s="559"/>
      <c r="G552" s="559" t="str">
        <f t="shared" si="48"/>
        <v/>
      </c>
      <c r="H552" s="559" t="str">
        <f t="shared" si="49"/>
        <v/>
      </c>
      <c r="I552" s="559" t="str">
        <f t="shared" si="50"/>
        <v/>
      </c>
    </row>
    <row r="553" spans="2:9">
      <c r="B553" s="555" t="str">
        <f t="shared" si="45"/>
        <v/>
      </c>
      <c r="C553" s="556" t="str">
        <f t="shared" si="46"/>
        <v/>
      </c>
      <c r="D553" s="557" t="str">
        <f t="shared" si="47"/>
        <v/>
      </c>
      <c r="E553" s="560"/>
      <c r="F553" s="559"/>
      <c r="G553" s="559" t="str">
        <f t="shared" si="48"/>
        <v/>
      </c>
      <c r="H553" s="559" t="str">
        <f t="shared" si="49"/>
        <v/>
      </c>
      <c r="I553" s="559" t="str">
        <f t="shared" si="50"/>
        <v/>
      </c>
    </row>
    <row r="554" spans="2:9">
      <c r="B554" s="555" t="str">
        <f t="shared" si="45"/>
        <v/>
      </c>
      <c r="C554" s="556" t="str">
        <f t="shared" si="46"/>
        <v/>
      </c>
      <c r="D554" s="557" t="str">
        <f t="shared" si="47"/>
        <v/>
      </c>
      <c r="E554" s="560"/>
      <c r="F554" s="559"/>
      <c r="G554" s="559" t="str">
        <f t="shared" si="48"/>
        <v/>
      </c>
      <c r="H554" s="559" t="str">
        <f t="shared" si="49"/>
        <v/>
      </c>
      <c r="I554" s="559" t="str">
        <f t="shared" si="50"/>
        <v/>
      </c>
    </row>
    <row r="555" spans="2:9">
      <c r="B555" s="555" t="str">
        <f t="shared" si="45"/>
        <v/>
      </c>
      <c r="C555" s="556" t="str">
        <f t="shared" si="46"/>
        <v/>
      </c>
      <c r="D555" s="557" t="str">
        <f t="shared" si="47"/>
        <v/>
      </c>
      <c r="E555" s="560"/>
      <c r="F555" s="559"/>
      <c r="G555" s="559" t="str">
        <f t="shared" si="48"/>
        <v/>
      </c>
      <c r="H555" s="559" t="str">
        <f t="shared" si="49"/>
        <v/>
      </c>
      <c r="I555" s="559" t="str">
        <f t="shared" si="50"/>
        <v/>
      </c>
    </row>
    <row r="556" spans="2:9">
      <c r="B556" s="555" t="str">
        <f t="shared" si="45"/>
        <v/>
      </c>
      <c r="C556" s="556" t="str">
        <f t="shared" si="46"/>
        <v/>
      </c>
      <c r="D556" s="557" t="str">
        <f t="shared" si="47"/>
        <v/>
      </c>
      <c r="E556" s="560"/>
      <c r="F556" s="559"/>
      <c r="G556" s="559" t="str">
        <f t="shared" si="48"/>
        <v/>
      </c>
      <c r="H556" s="559" t="str">
        <f t="shared" si="49"/>
        <v/>
      </c>
      <c r="I556" s="559" t="str">
        <f t="shared" si="50"/>
        <v/>
      </c>
    </row>
    <row r="557" spans="2:9">
      <c r="B557" s="555" t="str">
        <f t="shared" si="45"/>
        <v/>
      </c>
      <c r="C557" s="556" t="str">
        <f t="shared" si="46"/>
        <v/>
      </c>
      <c r="D557" s="557" t="str">
        <f t="shared" si="47"/>
        <v/>
      </c>
      <c r="E557" s="560"/>
      <c r="F557" s="559"/>
      <c r="G557" s="559" t="str">
        <f t="shared" si="48"/>
        <v/>
      </c>
      <c r="H557" s="559" t="str">
        <f t="shared" si="49"/>
        <v/>
      </c>
      <c r="I557" s="559" t="str">
        <f t="shared" si="50"/>
        <v/>
      </c>
    </row>
    <row r="558" spans="2:9">
      <c r="B558" s="555" t="str">
        <f t="shared" si="45"/>
        <v/>
      </c>
      <c r="C558" s="556" t="str">
        <f t="shared" si="46"/>
        <v/>
      </c>
      <c r="D558" s="557" t="str">
        <f t="shared" si="47"/>
        <v/>
      </c>
      <c r="E558" s="560"/>
      <c r="F558" s="559"/>
      <c r="G558" s="559" t="str">
        <f t="shared" si="48"/>
        <v/>
      </c>
      <c r="H558" s="559" t="str">
        <f t="shared" si="49"/>
        <v/>
      </c>
      <c r="I558" s="559" t="str">
        <f t="shared" si="50"/>
        <v/>
      </c>
    </row>
    <row r="559" spans="2:9">
      <c r="B559" s="555" t="str">
        <f t="shared" si="45"/>
        <v/>
      </c>
      <c r="C559" s="556" t="str">
        <f t="shared" si="46"/>
        <v/>
      </c>
      <c r="D559" s="557" t="str">
        <f t="shared" si="47"/>
        <v/>
      </c>
      <c r="E559" s="560"/>
      <c r="F559" s="559"/>
      <c r="G559" s="559" t="str">
        <f t="shared" si="48"/>
        <v/>
      </c>
      <c r="H559" s="559" t="str">
        <f t="shared" si="49"/>
        <v/>
      </c>
      <c r="I559" s="559" t="str">
        <f t="shared" si="50"/>
        <v/>
      </c>
    </row>
    <row r="560" spans="2:9">
      <c r="B560" s="555" t="str">
        <f t="shared" si="45"/>
        <v/>
      </c>
      <c r="C560" s="556" t="str">
        <f t="shared" si="46"/>
        <v/>
      </c>
      <c r="D560" s="557" t="str">
        <f t="shared" si="47"/>
        <v/>
      </c>
      <c r="E560" s="560"/>
      <c r="F560" s="559"/>
      <c r="G560" s="559" t="str">
        <f t="shared" si="48"/>
        <v/>
      </c>
      <c r="H560" s="559" t="str">
        <f t="shared" si="49"/>
        <v/>
      </c>
      <c r="I560" s="559" t="str">
        <f t="shared" si="50"/>
        <v/>
      </c>
    </row>
    <row r="561" spans="2:9">
      <c r="B561" s="555" t="str">
        <f t="shared" si="45"/>
        <v/>
      </c>
      <c r="C561" s="556" t="str">
        <f t="shared" si="46"/>
        <v/>
      </c>
      <c r="D561" s="557" t="str">
        <f t="shared" si="47"/>
        <v/>
      </c>
      <c r="E561" s="560"/>
      <c r="F561" s="559"/>
      <c r="G561" s="559" t="str">
        <f t="shared" si="48"/>
        <v/>
      </c>
      <c r="H561" s="559" t="str">
        <f t="shared" si="49"/>
        <v/>
      </c>
      <c r="I561" s="559" t="str">
        <f t="shared" si="50"/>
        <v/>
      </c>
    </row>
    <row r="562" spans="2:9">
      <c r="B562" s="555" t="str">
        <f t="shared" si="45"/>
        <v/>
      </c>
      <c r="C562" s="556" t="str">
        <f t="shared" si="46"/>
        <v/>
      </c>
      <c r="D562" s="557" t="str">
        <f t="shared" si="47"/>
        <v/>
      </c>
      <c r="E562" s="560"/>
      <c r="F562" s="559"/>
      <c r="G562" s="559" t="str">
        <f t="shared" si="48"/>
        <v/>
      </c>
      <c r="H562" s="559" t="str">
        <f t="shared" si="49"/>
        <v/>
      </c>
      <c r="I562" s="559" t="str">
        <f t="shared" si="50"/>
        <v/>
      </c>
    </row>
    <row r="563" spans="2:9">
      <c r="B563" s="555" t="str">
        <f t="shared" si="45"/>
        <v/>
      </c>
      <c r="C563" s="556" t="str">
        <f t="shared" si="46"/>
        <v/>
      </c>
      <c r="D563" s="557" t="str">
        <f t="shared" si="47"/>
        <v/>
      </c>
      <c r="E563" s="560"/>
      <c r="F563" s="559"/>
      <c r="G563" s="559" t="str">
        <f t="shared" si="48"/>
        <v/>
      </c>
      <c r="H563" s="559" t="str">
        <f t="shared" si="49"/>
        <v/>
      </c>
      <c r="I563" s="559" t="str">
        <f t="shared" si="50"/>
        <v/>
      </c>
    </row>
    <row r="564" spans="2:9">
      <c r="B564" s="555" t="str">
        <f t="shared" si="45"/>
        <v/>
      </c>
      <c r="C564" s="556" t="str">
        <f t="shared" si="46"/>
        <v/>
      </c>
      <c r="D564" s="557" t="str">
        <f t="shared" si="47"/>
        <v/>
      </c>
      <c r="E564" s="560"/>
      <c r="F564" s="559"/>
      <c r="G564" s="559" t="str">
        <f t="shared" si="48"/>
        <v/>
      </c>
      <c r="H564" s="559" t="str">
        <f t="shared" si="49"/>
        <v/>
      </c>
      <c r="I564" s="559" t="str">
        <f t="shared" si="50"/>
        <v/>
      </c>
    </row>
    <row r="565" spans="2:9">
      <c r="B565" s="555" t="str">
        <f t="shared" si="45"/>
        <v/>
      </c>
      <c r="C565" s="556" t="str">
        <f t="shared" si="46"/>
        <v/>
      </c>
      <c r="D565" s="557" t="str">
        <f t="shared" si="47"/>
        <v/>
      </c>
      <c r="E565" s="560"/>
      <c r="F565" s="559"/>
      <c r="G565" s="559" t="str">
        <f t="shared" si="48"/>
        <v/>
      </c>
      <c r="H565" s="559" t="str">
        <f t="shared" si="49"/>
        <v/>
      </c>
      <c r="I565" s="559" t="str">
        <f t="shared" si="50"/>
        <v/>
      </c>
    </row>
    <row r="566" spans="2:9">
      <c r="B566" s="555" t="str">
        <f t="shared" si="45"/>
        <v/>
      </c>
      <c r="C566" s="556" t="str">
        <f t="shared" si="46"/>
        <v/>
      </c>
      <c r="D566" s="557" t="str">
        <f t="shared" si="47"/>
        <v/>
      </c>
      <c r="E566" s="560"/>
      <c r="F566" s="559"/>
      <c r="G566" s="559" t="str">
        <f t="shared" si="48"/>
        <v/>
      </c>
      <c r="H566" s="559" t="str">
        <f t="shared" si="49"/>
        <v/>
      </c>
      <c r="I566" s="559" t="str">
        <f t="shared" si="50"/>
        <v/>
      </c>
    </row>
    <row r="567" spans="2:9">
      <c r="B567" s="555" t="str">
        <f t="shared" si="45"/>
        <v/>
      </c>
      <c r="C567" s="556" t="str">
        <f t="shared" si="46"/>
        <v/>
      </c>
      <c r="D567" s="557" t="str">
        <f t="shared" si="47"/>
        <v/>
      </c>
      <c r="E567" s="560"/>
      <c r="F567" s="559"/>
      <c r="G567" s="559" t="str">
        <f t="shared" si="48"/>
        <v/>
      </c>
      <c r="H567" s="559" t="str">
        <f t="shared" si="49"/>
        <v/>
      </c>
      <c r="I567" s="559" t="str">
        <f t="shared" si="50"/>
        <v/>
      </c>
    </row>
    <row r="568" spans="2:9">
      <c r="B568" s="555" t="str">
        <f t="shared" si="45"/>
        <v/>
      </c>
      <c r="C568" s="556" t="str">
        <f t="shared" si="46"/>
        <v/>
      </c>
      <c r="D568" s="557" t="str">
        <f t="shared" si="47"/>
        <v/>
      </c>
      <c r="E568" s="560"/>
      <c r="F568" s="559"/>
      <c r="G568" s="559" t="str">
        <f t="shared" si="48"/>
        <v/>
      </c>
      <c r="H568" s="559" t="str">
        <f t="shared" si="49"/>
        <v/>
      </c>
      <c r="I568" s="559" t="str">
        <f t="shared" si="50"/>
        <v/>
      </c>
    </row>
    <row r="569" spans="2:9">
      <c r="B569" s="555" t="str">
        <f t="shared" si="45"/>
        <v/>
      </c>
      <c r="C569" s="556" t="str">
        <f t="shared" si="46"/>
        <v/>
      </c>
      <c r="D569" s="557" t="str">
        <f t="shared" si="47"/>
        <v/>
      </c>
      <c r="E569" s="560"/>
      <c r="F569" s="559"/>
      <c r="G569" s="559" t="str">
        <f t="shared" si="48"/>
        <v/>
      </c>
      <c r="H569" s="559" t="str">
        <f t="shared" si="49"/>
        <v/>
      </c>
      <c r="I569" s="559" t="str">
        <f t="shared" si="50"/>
        <v/>
      </c>
    </row>
    <row r="570" spans="2:9">
      <c r="B570" s="555" t="str">
        <f t="shared" si="45"/>
        <v/>
      </c>
      <c r="C570" s="556" t="str">
        <f t="shared" si="46"/>
        <v/>
      </c>
      <c r="D570" s="557" t="str">
        <f t="shared" si="47"/>
        <v/>
      </c>
      <c r="E570" s="560"/>
      <c r="F570" s="559"/>
      <c r="G570" s="559" t="str">
        <f t="shared" si="48"/>
        <v/>
      </c>
      <c r="H570" s="559" t="str">
        <f t="shared" si="49"/>
        <v/>
      </c>
      <c r="I570" s="559" t="str">
        <f t="shared" si="50"/>
        <v/>
      </c>
    </row>
    <row r="571" spans="2:9">
      <c r="B571" s="555" t="str">
        <f t="shared" si="45"/>
        <v/>
      </c>
      <c r="C571" s="556" t="str">
        <f t="shared" si="46"/>
        <v/>
      </c>
      <c r="D571" s="557" t="str">
        <f t="shared" si="47"/>
        <v/>
      </c>
      <c r="E571" s="560"/>
      <c r="F571" s="559"/>
      <c r="G571" s="559" t="str">
        <f t="shared" si="48"/>
        <v/>
      </c>
      <c r="H571" s="559" t="str">
        <f t="shared" si="49"/>
        <v/>
      </c>
      <c r="I571" s="559" t="str">
        <f t="shared" si="50"/>
        <v/>
      </c>
    </row>
    <row r="572" spans="2:9">
      <c r="B572" s="555" t="str">
        <f t="shared" si="45"/>
        <v/>
      </c>
      <c r="C572" s="556" t="str">
        <f t="shared" si="46"/>
        <v/>
      </c>
      <c r="D572" s="557" t="str">
        <f t="shared" si="47"/>
        <v/>
      </c>
      <c r="E572" s="560"/>
      <c r="F572" s="559"/>
      <c r="G572" s="559" t="str">
        <f t="shared" si="48"/>
        <v/>
      </c>
      <c r="H572" s="559" t="str">
        <f t="shared" si="49"/>
        <v/>
      </c>
      <c r="I572" s="559" t="str">
        <f t="shared" si="50"/>
        <v/>
      </c>
    </row>
    <row r="573" spans="2:9">
      <c r="B573" s="555" t="str">
        <f t="shared" ref="B573:B636" si="51">IF(I572="","",IF(roundOpt,IF(OR(B572&gt;=nper,ROUND(I572,2)&lt;=0),"",B572+1),IF(OR(B572&gt;=nper,I572&lt;=0),"",B572+1)))</f>
        <v/>
      </c>
      <c r="C573" s="556" t="str">
        <f t="shared" ref="C573:C636" si="52">IF(B573="","",IF(OR(periods_per_year=26,periods_per_year=52),IF(periods_per_year=26,IF(B573=1,fpdate,C572+14),IF(periods_per_year=52,IF(B573=1,fpdate,C572+7),"n/a")),IF(periods_per_year=24,DATE(YEAR(fpdate),MONTH(fpdate)+(B573-1)/2+IF(AND(DAY(fpdate)&gt;=15,MOD(B573,2)=0),1,0),IF(MOD(B573,2)=0,IF(DAY(fpdate)&gt;=15,DAY(fpdate)-14,DAY(fpdate)+14),DAY(fpdate))),IF(DAY(DATE(YEAR(fpdate),MONTH(fpdate)+(B573-1)*months_per_period,DAY(fpdate)))&lt;&gt;DAY(fpdate),DATE(YEAR(fpdate),MONTH(fpdate)+(B573-1)*months_per_period+1,0),DATE(YEAR(fpdate),MONTH(fpdate)+(B573-1)*months_per_period,DAY(fpdate))))))</f>
        <v/>
      </c>
      <c r="D573" s="557" t="str">
        <f t="shared" ref="D573:D636" si="53">IF(B573="","",IF(roundOpt,IF(OR(B573=nper,payment&gt;ROUND((1+rate)*I572,2)),ROUND((1+rate)*I572,2),payment),IF(OR(B573=nper,payment&gt;(1+rate)*I572),(1+rate)*I572,payment)))</f>
        <v/>
      </c>
      <c r="E573" s="560"/>
      <c r="F573" s="559"/>
      <c r="G573" s="559" t="str">
        <f t="shared" ref="G573:G636" si="54">IF(B573="","",IF(AND(B573=1,pmtType=1),0,IF(roundOpt,ROUND(rate*I572,2),rate*I572)))</f>
        <v/>
      </c>
      <c r="H573" s="559" t="str">
        <f t="shared" ref="H573:H636" si="55">IF(B573="","",D573-G573+E573)</f>
        <v/>
      </c>
      <c r="I573" s="559" t="str">
        <f t="shared" ref="I573:I636" si="56">IF(B573="","",I572-H573)</f>
        <v/>
      </c>
    </row>
    <row r="574" spans="2:9">
      <c r="B574" s="555" t="str">
        <f t="shared" si="51"/>
        <v/>
      </c>
      <c r="C574" s="556" t="str">
        <f t="shared" si="52"/>
        <v/>
      </c>
      <c r="D574" s="557" t="str">
        <f t="shared" si="53"/>
        <v/>
      </c>
      <c r="E574" s="560"/>
      <c r="F574" s="559"/>
      <c r="G574" s="559" t="str">
        <f t="shared" si="54"/>
        <v/>
      </c>
      <c r="H574" s="559" t="str">
        <f t="shared" si="55"/>
        <v/>
      </c>
      <c r="I574" s="559" t="str">
        <f t="shared" si="56"/>
        <v/>
      </c>
    </row>
    <row r="575" spans="2:9">
      <c r="B575" s="555" t="str">
        <f t="shared" si="51"/>
        <v/>
      </c>
      <c r="C575" s="556" t="str">
        <f t="shared" si="52"/>
        <v/>
      </c>
      <c r="D575" s="557" t="str">
        <f t="shared" si="53"/>
        <v/>
      </c>
      <c r="E575" s="560"/>
      <c r="F575" s="559"/>
      <c r="G575" s="559" t="str">
        <f t="shared" si="54"/>
        <v/>
      </c>
      <c r="H575" s="559" t="str">
        <f t="shared" si="55"/>
        <v/>
      </c>
      <c r="I575" s="559" t="str">
        <f t="shared" si="56"/>
        <v/>
      </c>
    </row>
    <row r="576" spans="2:9">
      <c r="B576" s="555" t="str">
        <f t="shared" si="51"/>
        <v/>
      </c>
      <c r="C576" s="556" t="str">
        <f t="shared" si="52"/>
        <v/>
      </c>
      <c r="D576" s="557" t="str">
        <f t="shared" si="53"/>
        <v/>
      </c>
      <c r="E576" s="560"/>
      <c r="F576" s="559"/>
      <c r="G576" s="559" t="str">
        <f t="shared" si="54"/>
        <v/>
      </c>
      <c r="H576" s="559" t="str">
        <f t="shared" si="55"/>
        <v/>
      </c>
      <c r="I576" s="559" t="str">
        <f t="shared" si="56"/>
        <v/>
      </c>
    </row>
    <row r="577" spans="2:9">
      <c r="B577" s="555" t="str">
        <f t="shared" si="51"/>
        <v/>
      </c>
      <c r="C577" s="556" t="str">
        <f t="shared" si="52"/>
        <v/>
      </c>
      <c r="D577" s="557" t="str">
        <f t="shared" si="53"/>
        <v/>
      </c>
      <c r="E577" s="560"/>
      <c r="F577" s="559"/>
      <c r="G577" s="559" t="str">
        <f t="shared" si="54"/>
        <v/>
      </c>
      <c r="H577" s="559" t="str">
        <f t="shared" si="55"/>
        <v/>
      </c>
      <c r="I577" s="559" t="str">
        <f t="shared" si="56"/>
        <v/>
      </c>
    </row>
    <row r="578" spans="2:9">
      <c r="B578" s="555" t="str">
        <f t="shared" si="51"/>
        <v/>
      </c>
      <c r="C578" s="556" t="str">
        <f t="shared" si="52"/>
        <v/>
      </c>
      <c r="D578" s="557" t="str">
        <f t="shared" si="53"/>
        <v/>
      </c>
      <c r="E578" s="560"/>
      <c r="F578" s="559"/>
      <c r="G578" s="559" t="str">
        <f t="shared" si="54"/>
        <v/>
      </c>
      <c r="H578" s="559" t="str">
        <f t="shared" si="55"/>
        <v/>
      </c>
      <c r="I578" s="559" t="str">
        <f t="shared" si="56"/>
        <v/>
      </c>
    </row>
    <row r="579" spans="2:9">
      <c r="B579" s="555" t="str">
        <f t="shared" si="51"/>
        <v/>
      </c>
      <c r="C579" s="556" t="str">
        <f t="shared" si="52"/>
        <v/>
      </c>
      <c r="D579" s="557" t="str">
        <f t="shared" si="53"/>
        <v/>
      </c>
      <c r="E579" s="560"/>
      <c r="F579" s="559"/>
      <c r="G579" s="559" t="str">
        <f t="shared" si="54"/>
        <v/>
      </c>
      <c r="H579" s="559" t="str">
        <f t="shared" si="55"/>
        <v/>
      </c>
      <c r="I579" s="559" t="str">
        <f t="shared" si="56"/>
        <v/>
      </c>
    </row>
    <row r="580" spans="2:9">
      <c r="B580" s="555" t="str">
        <f t="shared" si="51"/>
        <v/>
      </c>
      <c r="C580" s="556" t="str">
        <f t="shared" si="52"/>
        <v/>
      </c>
      <c r="D580" s="557" t="str">
        <f t="shared" si="53"/>
        <v/>
      </c>
      <c r="E580" s="560"/>
      <c r="F580" s="559"/>
      <c r="G580" s="559" t="str">
        <f t="shared" si="54"/>
        <v/>
      </c>
      <c r="H580" s="559" t="str">
        <f t="shared" si="55"/>
        <v/>
      </c>
      <c r="I580" s="559" t="str">
        <f t="shared" si="56"/>
        <v/>
      </c>
    </row>
    <row r="581" spans="2:9">
      <c r="B581" s="555" t="str">
        <f t="shared" si="51"/>
        <v/>
      </c>
      <c r="C581" s="556" t="str">
        <f t="shared" si="52"/>
        <v/>
      </c>
      <c r="D581" s="557" t="str">
        <f t="shared" si="53"/>
        <v/>
      </c>
      <c r="E581" s="560"/>
      <c r="F581" s="559"/>
      <c r="G581" s="559" t="str">
        <f t="shared" si="54"/>
        <v/>
      </c>
      <c r="H581" s="559" t="str">
        <f t="shared" si="55"/>
        <v/>
      </c>
      <c r="I581" s="559" t="str">
        <f t="shared" si="56"/>
        <v/>
      </c>
    </row>
    <row r="582" spans="2:9">
      <c r="B582" s="555" t="str">
        <f t="shared" si="51"/>
        <v/>
      </c>
      <c r="C582" s="556" t="str">
        <f t="shared" si="52"/>
        <v/>
      </c>
      <c r="D582" s="557" t="str">
        <f t="shared" si="53"/>
        <v/>
      </c>
      <c r="E582" s="560"/>
      <c r="F582" s="559"/>
      <c r="G582" s="559" t="str">
        <f t="shared" si="54"/>
        <v/>
      </c>
      <c r="H582" s="559" t="str">
        <f t="shared" si="55"/>
        <v/>
      </c>
      <c r="I582" s="559" t="str">
        <f t="shared" si="56"/>
        <v/>
      </c>
    </row>
    <row r="583" spans="2:9">
      <c r="B583" s="555" t="str">
        <f t="shared" si="51"/>
        <v/>
      </c>
      <c r="C583" s="556" t="str">
        <f t="shared" si="52"/>
        <v/>
      </c>
      <c r="D583" s="557" t="str">
        <f t="shared" si="53"/>
        <v/>
      </c>
      <c r="E583" s="560"/>
      <c r="F583" s="559"/>
      <c r="G583" s="559" t="str">
        <f t="shared" si="54"/>
        <v/>
      </c>
      <c r="H583" s="559" t="str">
        <f t="shared" si="55"/>
        <v/>
      </c>
      <c r="I583" s="559" t="str">
        <f t="shared" si="56"/>
        <v/>
      </c>
    </row>
    <row r="584" spans="2:9">
      <c r="B584" s="555" t="str">
        <f t="shared" si="51"/>
        <v/>
      </c>
      <c r="C584" s="556" t="str">
        <f t="shared" si="52"/>
        <v/>
      </c>
      <c r="D584" s="557" t="str">
        <f t="shared" si="53"/>
        <v/>
      </c>
      <c r="E584" s="560"/>
      <c r="F584" s="559"/>
      <c r="G584" s="559" t="str">
        <f t="shared" si="54"/>
        <v/>
      </c>
      <c r="H584" s="559" t="str">
        <f t="shared" si="55"/>
        <v/>
      </c>
      <c r="I584" s="559" t="str">
        <f t="shared" si="56"/>
        <v/>
      </c>
    </row>
    <row r="585" spans="2:9">
      <c r="B585" s="555" t="str">
        <f t="shared" si="51"/>
        <v/>
      </c>
      <c r="C585" s="556" t="str">
        <f t="shared" si="52"/>
        <v/>
      </c>
      <c r="D585" s="557" t="str">
        <f t="shared" si="53"/>
        <v/>
      </c>
      <c r="E585" s="560"/>
      <c r="F585" s="559"/>
      <c r="G585" s="559" t="str">
        <f t="shared" si="54"/>
        <v/>
      </c>
      <c r="H585" s="559" t="str">
        <f t="shared" si="55"/>
        <v/>
      </c>
      <c r="I585" s="559" t="str">
        <f t="shared" si="56"/>
        <v/>
      </c>
    </row>
    <row r="586" spans="2:9">
      <c r="B586" s="555" t="str">
        <f t="shared" si="51"/>
        <v/>
      </c>
      <c r="C586" s="556" t="str">
        <f t="shared" si="52"/>
        <v/>
      </c>
      <c r="D586" s="557" t="str">
        <f t="shared" si="53"/>
        <v/>
      </c>
      <c r="E586" s="560"/>
      <c r="F586" s="559"/>
      <c r="G586" s="559" t="str">
        <f t="shared" si="54"/>
        <v/>
      </c>
      <c r="H586" s="559" t="str">
        <f t="shared" si="55"/>
        <v/>
      </c>
      <c r="I586" s="559" t="str">
        <f t="shared" si="56"/>
        <v/>
      </c>
    </row>
    <row r="587" spans="2:9">
      <c r="B587" s="555" t="str">
        <f t="shared" si="51"/>
        <v/>
      </c>
      <c r="C587" s="556" t="str">
        <f t="shared" si="52"/>
        <v/>
      </c>
      <c r="D587" s="557" t="str">
        <f t="shared" si="53"/>
        <v/>
      </c>
      <c r="E587" s="560"/>
      <c r="F587" s="559"/>
      <c r="G587" s="559" t="str">
        <f t="shared" si="54"/>
        <v/>
      </c>
      <c r="H587" s="559" t="str">
        <f t="shared" si="55"/>
        <v/>
      </c>
      <c r="I587" s="559" t="str">
        <f t="shared" si="56"/>
        <v/>
      </c>
    </row>
    <row r="588" spans="2:9">
      <c r="B588" s="555" t="str">
        <f t="shared" si="51"/>
        <v/>
      </c>
      <c r="C588" s="556" t="str">
        <f t="shared" si="52"/>
        <v/>
      </c>
      <c r="D588" s="557" t="str">
        <f t="shared" si="53"/>
        <v/>
      </c>
      <c r="E588" s="560"/>
      <c r="F588" s="559"/>
      <c r="G588" s="559" t="str">
        <f t="shared" si="54"/>
        <v/>
      </c>
      <c r="H588" s="559" t="str">
        <f t="shared" si="55"/>
        <v/>
      </c>
      <c r="I588" s="559" t="str">
        <f t="shared" si="56"/>
        <v/>
      </c>
    </row>
    <row r="589" spans="2:9">
      <c r="B589" s="555" t="str">
        <f t="shared" si="51"/>
        <v/>
      </c>
      <c r="C589" s="556" t="str">
        <f t="shared" si="52"/>
        <v/>
      </c>
      <c r="D589" s="557" t="str">
        <f t="shared" si="53"/>
        <v/>
      </c>
      <c r="E589" s="560"/>
      <c r="F589" s="559"/>
      <c r="G589" s="559" t="str">
        <f t="shared" si="54"/>
        <v/>
      </c>
      <c r="H589" s="559" t="str">
        <f t="shared" si="55"/>
        <v/>
      </c>
      <c r="I589" s="559" t="str">
        <f t="shared" si="56"/>
        <v/>
      </c>
    </row>
    <row r="590" spans="2:9">
      <c r="B590" s="555" t="str">
        <f t="shared" si="51"/>
        <v/>
      </c>
      <c r="C590" s="556" t="str">
        <f t="shared" si="52"/>
        <v/>
      </c>
      <c r="D590" s="557" t="str">
        <f t="shared" si="53"/>
        <v/>
      </c>
      <c r="E590" s="560"/>
      <c r="F590" s="559"/>
      <c r="G590" s="559" t="str">
        <f t="shared" si="54"/>
        <v/>
      </c>
      <c r="H590" s="559" t="str">
        <f t="shared" si="55"/>
        <v/>
      </c>
      <c r="I590" s="559" t="str">
        <f t="shared" si="56"/>
        <v/>
      </c>
    </row>
    <row r="591" spans="2:9">
      <c r="B591" s="555" t="str">
        <f t="shared" si="51"/>
        <v/>
      </c>
      <c r="C591" s="556" t="str">
        <f t="shared" si="52"/>
        <v/>
      </c>
      <c r="D591" s="557" t="str">
        <f t="shared" si="53"/>
        <v/>
      </c>
      <c r="E591" s="560"/>
      <c r="F591" s="559"/>
      <c r="G591" s="559" t="str">
        <f t="shared" si="54"/>
        <v/>
      </c>
      <c r="H591" s="559" t="str">
        <f t="shared" si="55"/>
        <v/>
      </c>
      <c r="I591" s="559" t="str">
        <f t="shared" si="56"/>
        <v/>
      </c>
    </row>
    <row r="592" spans="2:9">
      <c r="B592" s="555" t="str">
        <f t="shared" si="51"/>
        <v/>
      </c>
      <c r="C592" s="556" t="str">
        <f t="shared" si="52"/>
        <v/>
      </c>
      <c r="D592" s="557" t="str">
        <f t="shared" si="53"/>
        <v/>
      </c>
      <c r="E592" s="560"/>
      <c r="F592" s="559"/>
      <c r="G592" s="559" t="str">
        <f t="shared" si="54"/>
        <v/>
      </c>
      <c r="H592" s="559" t="str">
        <f t="shared" si="55"/>
        <v/>
      </c>
      <c r="I592" s="559" t="str">
        <f t="shared" si="56"/>
        <v/>
      </c>
    </row>
    <row r="593" spans="2:9">
      <c r="B593" s="555" t="str">
        <f t="shared" si="51"/>
        <v/>
      </c>
      <c r="C593" s="556" t="str">
        <f t="shared" si="52"/>
        <v/>
      </c>
      <c r="D593" s="557" t="str">
        <f t="shared" si="53"/>
        <v/>
      </c>
      <c r="E593" s="560"/>
      <c r="F593" s="559"/>
      <c r="G593" s="559" t="str">
        <f t="shared" si="54"/>
        <v/>
      </c>
      <c r="H593" s="559" t="str">
        <f t="shared" si="55"/>
        <v/>
      </c>
      <c r="I593" s="559" t="str">
        <f t="shared" si="56"/>
        <v/>
      </c>
    </row>
    <row r="594" spans="2:9">
      <c r="B594" s="555" t="str">
        <f t="shared" si="51"/>
        <v/>
      </c>
      <c r="C594" s="556" t="str">
        <f t="shared" si="52"/>
        <v/>
      </c>
      <c r="D594" s="557" t="str">
        <f t="shared" si="53"/>
        <v/>
      </c>
      <c r="E594" s="560"/>
      <c r="F594" s="559"/>
      <c r="G594" s="559" t="str">
        <f t="shared" si="54"/>
        <v/>
      </c>
      <c r="H594" s="559" t="str">
        <f t="shared" si="55"/>
        <v/>
      </c>
      <c r="I594" s="559" t="str">
        <f t="shared" si="56"/>
        <v/>
      </c>
    </row>
    <row r="595" spans="2:9">
      <c r="B595" s="555" t="str">
        <f t="shared" si="51"/>
        <v/>
      </c>
      <c r="C595" s="556" t="str">
        <f t="shared" si="52"/>
        <v/>
      </c>
      <c r="D595" s="557" t="str">
        <f t="shared" si="53"/>
        <v/>
      </c>
      <c r="E595" s="560"/>
      <c r="F595" s="559"/>
      <c r="G595" s="559" t="str">
        <f t="shared" si="54"/>
        <v/>
      </c>
      <c r="H595" s="559" t="str">
        <f t="shared" si="55"/>
        <v/>
      </c>
      <c r="I595" s="559" t="str">
        <f t="shared" si="56"/>
        <v/>
      </c>
    </row>
    <row r="596" spans="2:9">
      <c r="B596" s="555" t="str">
        <f t="shared" si="51"/>
        <v/>
      </c>
      <c r="C596" s="556" t="str">
        <f t="shared" si="52"/>
        <v/>
      </c>
      <c r="D596" s="557" t="str">
        <f t="shared" si="53"/>
        <v/>
      </c>
      <c r="E596" s="560"/>
      <c r="F596" s="559"/>
      <c r="G596" s="559" t="str">
        <f t="shared" si="54"/>
        <v/>
      </c>
      <c r="H596" s="559" t="str">
        <f t="shared" si="55"/>
        <v/>
      </c>
      <c r="I596" s="559" t="str">
        <f t="shared" si="56"/>
        <v/>
      </c>
    </row>
    <row r="597" spans="2:9">
      <c r="B597" s="555" t="str">
        <f t="shared" si="51"/>
        <v/>
      </c>
      <c r="C597" s="556" t="str">
        <f t="shared" si="52"/>
        <v/>
      </c>
      <c r="D597" s="557" t="str">
        <f t="shared" si="53"/>
        <v/>
      </c>
      <c r="E597" s="560"/>
      <c r="F597" s="559"/>
      <c r="G597" s="559" t="str">
        <f t="shared" si="54"/>
        <v/>
      </c>
      <c r="H597" s="559" t="str">
        <f t="shared" si="55"/>
        <v/>
      </c>
      <c r="I597" s="559" t="str">
        <f t="shared" si="56"/>
        <v/>
      </c>
    </row>
    <row r="598" spans="2:9">
      <c r="B598" s="555" t="str">
        <f t="shared" si="51"/>
        <v/>
      </c>
      <c r="C598" s="556" t="str">
        <f t="shared" si="52"/>
        <v/>
      </c>
      <c r="D598" s="557" t="str">
        <f t="shared" si="53"/>
        <v/>
      </c>
      <c r="E598" s="560"/>
      <c r="F598" s="559"/>
      <c r="G598" s="559" t="str">
        <f t="shared" si="54"/>
        <v/>
      </c>
      <c r="H598" s="559" t="str">
        <f t="shared" si="55"/>
        <v/>
      </c>
      <c r="I598" s="559" t="str">
        <f t="shared" si="56"/>
        <v/>
      </c>
    </row>
    <row r="599" spans="2:9">
      <c r="B599" s="555" t="str">
        <f t="shared" si="51"/>
        <v/>
      </c>
      <c r="C599" s="556" t="str">
        <f t="shared" si="52"/>
        <v/>
      </c>
      <c r="D599" s="557" t="str">
        <f t="shared" si="53"/>
        <v/>
      </c>
      <c r="E599" s="560"/>
      <c r="F599" s="559"/>
      <c r="G599" s="559" t="str">
        <f t="shared" si="54"/>
        <v/>
      </c>
      <c r="H599" s="559" t="str">
        <f t="shared" si="55"/>
        <v/>
      </c>
      <c r="I599" s="559" t="str">
        <f t="shared" si="56"/>
        <v/>
      </c>
    </row>
    <row r="600" spans="2:9">
      <c r="B600" s="555" t="str">
        <f t="shared" si="51"/>
        <v/>
      </c>
      <c r="C600" s="556" t="str">
        <f t="shared" si="52"/>
        <v/>
      </c>
      <c r="D600" s="557" t="str">
        <f t="shared" si="53"/>
        <v/>
      </c>
      <c r="E600" s="560"/>
      <c r="F600" s="559"/>
      <c r="G600" s="559" t="str">
        <f t="shared" si="54"/>
        <v/>
      </c>
      <c r="H600" s="559" t="str">
        <f t="shared" si="55"/>
        <v/>
      </c>
      <c r="I600" s="559" t="str">
        <f t="shared" si="56"/>
        <v/>
      </c>
    </row>
    <row r="601" spans="2:9">
      <c r="B601" s="555" t="str">
        <f t="shared" si="51"/>
        <v/>
      </c>
      <c r="C601" s="556" t="str">
        <f t="shared" si="52"/>
        <v/>
      </c>
      <c r="D601" s="557" t="str">
        <f t="shared" si="53"/>
        <v/>
      </c>
      <c r="E601" s="560"/>
      <c r="F601" s="559"/>
      <c r="G601" s="559" t="str">
        <f t="shared" si="54"/>
        <v/>
      </c>
      <c r="H601" s="559" t="str">
        <f t="shared" si="55"/>
        <v/>
      </c>
      <c r="I601" s="559" t="str">
        <f t="shared" si="56"/>
        <v/>
      </c>
    </row>
    <row r="602" spans="2:9">
      <c r="B602" s="555" t="str">
        <f t="shared" si="51"/>
        <v/>
      </c>
      <c r="C602" s="556" t="str">
        <f t="shared" si="52"/>
        <v/>
      </c>
      <c r="D602" s="557" t="str">
        <f t="shared" si="53"/>
        <v/>
      </c>
      <c r="E602" s="560"/>
      <c r="F602" s="559"/>
      <c r="G602" s="559" t="str">
        <f t="shared" si="54"/>
        <v/>
      </c>
      <c r="H602" s="559" t="str">
        <f t="shared" si="55"/>
        <v/>
      </c>
      <c r="I602" s="559" t="str">
        <f t="shared" si="56"/>
        <v/>
      </c>
    </row>
    <row r="603" spans="2:9">
      <c r="B603" s="555" t="str">
        <f t="shared" si="51"/>
        <v/>
      </c>
      <c r="C603" s="556" t="str">
        <f t="shared" si="52"/>
        <v/>
      </c>
      <c r="D603" s="557" t="str">
        <f t="shared" si="53"/>
        <v/>
      </c>
      <c r="E603" s="560"/>
      <c r="F603" s="559"/>
      <c r="G603" s="559" t="str">
        <f t="shared" si="54"/>
        <v/>
      </c>
      <c r="H603" s="559" t="str">
        <f t="shared" si="55"/>
        <v/>
      </c>
      <c r="I603" s="559" t="str">
        <f t="shared" si="56"/>
        <v/>
      </c>
    </row>
    <row r="604" spans="2:9">
      <c r="B604" s="555" t="str">
        <f t="shared" si="51"/>
        <v/>
      </c>
      <c r="C604" s="556" t="str">
        <f t="shared" si="52"/>
        <v/>
      </c>
      <c r="D604" s="557" t="str">
        <f t="shared" si="53"/>
        <v/>
      </c>
      <c r="E604" s="560"/>
      <c r="F604" s="559"/>
      <c r="G604" s="559" t="str">
        <f t="shared" si="54"/>
        <v/>
      </c>
      <c r="H604" s="559" t="str">
        <f t="shared" si="55"/>
        <v/>
      </c>
      <c r="I604" s="559" t="str">
        <f t="shared" si="56"/>
        <v/>
      </c>
    </row>
    <row r="605" spans="2:9">
      <c r="B605" s="555" t="str">
        <f t="shared" si="51"/>
        <v/>
      </c>
      <c r="C605" s="556" t="str">
        <f t="shared" si="52"/>
        <v/>
      </c>
      <c r="D605" s="557" t="str">
        <f t="shared" si="53"/>
        <v/>
      </c>
      <c r="E605" s="560"/>
      <c r="F605" s="559"/>
      <c r="G605" s="559" t="str">
        <f t="shared" si="54"/>
        <v/>
      </c>
      <c r="H605" s="559" t="str">
        <f t="shared" si="55"/>
        <v/>
      </c>
      <c r="I605" s="559" t="str">
        <f t="shared" si="56"/>
        <v/>
      </c>
    </row>
    <row r="606" spans="2:9">
      <c r="B606" s="555" t="str">
        <f t="shared" si="51"/>
        <v/>
      </c>
      <c r="C606" s="556" t="str">
        <f t="shared" si="52"/>
        <v/>
      </c>
      <c r="D606" s="557" t="str">
        <f t="shared" si="53"/>
        <v/>
      </c>
      <c r="E606" s="560"/>
      <c r="F606" s="559"/>
      <c r="G606" s="559" t="str">
        <f t="shared" si="54"/>
        <v/>
      </c>
      <c r="H606" s="559" t="str">
        <f t="shared" si="55"/>
        <v/>
      </c>
      <c r="I606" s="559" t="str">
        <f t="shared" si="56"/>
        <v/>
      </c>
    </row>
    <row r="607" spans="2:9">
      <c r="B607" s="555" t="str">
        <f t="shared" si="51"/>
        <v/>
      </c>
      <c r="C607" s="556" t="str">
        <f t="shared" si="52"/>
        <v/>
      </c>
      <c r="D607" s="557" t="str">
        <f t="shared" si="53"/>
        <v/>
      </c>
      <c r="E607" s="560"/>
      <c r="F607" s="559"/>
      <c r="G607" s="559" t="str">
        <f t="shared" si="54"/>
        <v/>
      </c>
      <c r="H607" s="559" t="str">
        <f t="shared" si="55"/>
        <v/>
      </c>
      <c r="I607" s="559" t="str">
        <f t="shared" si="56"/>
        <v/>
      </c>
    </row>
    <row r="608" spans="2:9">
      <c r="B608" s="555" t="str">
        <f t="shared" si="51"/>
        <v/>
      </c>
      <c r="C608" s="556" t="str">
        <f t="shared" si="52"/>
        <v/>
      </c>
      <c r="D608" s="557" t="str">
        <f t="shared" si="53"/>
        <v/>
      </c>
      <c r="E608" s="560"/>
      <c r="F608" s="559"/>
      <c r="G608" s="559" t="str">
        <f t="shared" si="54"/>
        <v/>
      </c>
      <c r="H608" s="559" t="str">
        <f t="shared" si="55"/>
        <v/>
      </c>
      <c r="I608" s="559" t="str">
        <f t="shared" si="56"/>
        <v/>
      </c>
    </row>
    <row r="609" spans="2:9">
      <c r="B609" s="555" t="str">
        <f t="shared" si="51"/>
        <v/>
      </c>
      <c r="C609" s="556" t="str">
        <f t="shared" si="52"/>
        <v/>
      </c>
      <c r="D609" s="557" t="str">
        <f t="shared" si="53"/>
        <v/>
      </c>
      <c r="E609" s="560"/>
      <c r="F609" s="559"/>
      <c r="G609" s="559" t="str">
        <f t="shared" si="54"/>
        <v/>
      </c>
      <c r="H609" s="559" t="str">
        <f t="shared" si="55"/>
        <v/>
      </c>
      <c r="I609" s="559" t="str">
        <f t="shared" si="56"/>
        <v/>
      </c>
    </row>
    <row r="610" spans="2:9">
      <c r="B610" s="555" t="str">
        <f t="shared" si="51"/>
        <v/>
      </c>
      <c r="C610" s="556" t="str">
        <f t="shared" si="52"/>
        <v/>
      </c>
      <c r="D610" s="557" t="str">
        <f t="shared" si="53"/>
        <v/>
      </c>
      <c r="E610" s="560"/>
      <c r="F610" s="559"/>
      <c r="G610" s="559" t="str">
        <f t="shared" si="54"/>
        <v/>
      </c>
      <c r="H610" s="559" t="str">
        <f t="shared" si="55"/>
        <v/>
      </c>
      <c r="I610" s="559" t="str">
        <f t="shared" si="56"/>
        <v/>
      </c>
    </row>
    <row r="611" spans="2:9">
      <c r="B611" s="555" t="str">
        <f t="shared" si="51"/>
        <v/>
      </c>
      <c r="C611" s="556" t="str">
        <f t="shared" si="52"/>
        <v/>
      </c>
      <c r="D611" s="557" t="str">
        <f t="shared" si="53"/>
        <v/>
      </c>
      <c r="E611" s="560"/>
      <c r="F611" s="559"/>
      <c r="G611" s="559" t="str">
        <f t="shared" si="54"/>
        <v/>
      </c>
      <c r="H611" s="559" t="str">
        <f t="shared" si="55"/>
        <v/>
      </c>
      <c r="I611" s="559" t="str">
        <f t="shared" si="56"/>
        <v/>
      </c>
    </row>
    <row r="612" spans="2:9">
      <c r="B612" s="555" t="str">
        <f t="shared" si="51"/>
        <v/>
      </c>
      <c r="C612" s="556" t="str">
        <f t="shared" si="52"/>
        <v/>
      </c>
      <c r="D612" s="557" t="str">
        <f t="shared" si="53"/>
        <v/>
      </c>
      <c r="E612" s="560"/>
      <c r="F612" s="559"/>
      <c r="G612" s="559" t="str">
        <f t="shared" si="54"/>
        <v/>
      </c>
      <c r="H612" s="559" t="str">
        <f t="shared" si="55"/>
        <v/>
      </c>
      <c r="I612" s="559" t="str">
        <f t="shared" si="56"/>
        <v/>
      </c>
    </row>
    <row r="613" spans="2:9">
      <c r="B613" s="555" t="str">
        <f t="shared" si="51"/>
        <v/>
      </c>
      <c r="C613" s="556" t="str">
        <f t="shared" si="52"/>
        <v/>
      </c>
      <c r="D613" s="557" t="str">
        <f t="shared" si="53"/>
        <v/>
      </c>
      <c r="E613" s="560"/>
      <c r="F613" s="559"/>
      <c r="G613" s="559" t="str">
        <f t="shared" si="54"/>
        <v/>
      </c>
      <c r="H613" s="559" t="str">
        <f t="shared" si="55"/>
        <v/>
      </c>
      <c r="I613" s="559" t="str">
        <f t="shared" si="56"/>
        <v/>
      </c>
    </row>
    <row r="614" spans="2:9">
      <c r="B614" s="555" t="str">
        <f t="shared" si="51"/>
        <v/>
      </c>
      <c r="C614" s="556" t="str">
        <f t="shared" si="52"/>
        <v/>
      </c>
      <c r="D614" s="557" t="str">
        <f t="shared" si="53"/>
        <v/>
      </c>
      <c r="E614" s="560"/>
      <c r="F614" s="559"/>
      <c r="G614" s="559" t="str">
        <f t="shared" si="54"/>
        <v/>
      </c>
      <c r="H614" s="559" t="str">
        <f t="shared" si="55"/>
        <v/>
      </c>
      <c r="I614" s="559" t="str">
        <f t="shared" si="56"/>
        <v/>
      </c>
    </row>
    <row r="615" spans="2:9">
      <c r="B615" s="555" t="str">
        <f t="shared" si="51"/>
        <v/>
      </c>
      <c r="C615" s="556" t="str">
        <f t="shared" si="52"/>
        <v/>
      </c>
      <c r="D615" s="557" t="str">
        <f t="shared" si="53"/>
        <v/>
      </c>
      <c r="E615" s="560"/>
      <c r="F615" s="559"/>
      <c r="G615" s="559" t="str">
        <f t="shared" si="54"/>
        <v/>
      </c>
      <c r="H615" s="559" t="str">
        <f t="shared" si="55"/>
        <v/>
      </c>
      <c r="I615" s="559" t="str">
        <f t="shared" si="56"/>
        <v/>
      </c>
    </row>
    <row r="616" spans="2:9">
      <c r="B616" s="555" t="str">
        <f t="shared" si="51"/>
        <v/>
      </c>
      <c r="C616" s="556" t="str">
        <f t="shared" si="52"/>
        <v/>
      </c>
      <c r="D616" s="557" t="str">
        <f t="shared" si="53"/>
        <v/>
      </c>
      <c r="E616" s="560"/>
      <c r="F616" s="559"/>
      <c r="G616" s="559" t="str">
        <f t="shared" si="54"/>
        <v/>
      </c>
      <c r="H616" s="559" t="str">
        <f t="shared" si="55"/>
        <v/>
      </c>
      <c r="I616" s="559" t="str">
        <f t="shared" si="56"/>
        <v/>
      </c>
    </row>
    <row r="617" spans="2:9">
      <c r="B617" s="555" t="str">
        <f t="shared" si="51"/>
        <v/>
      </c>
      <c r="C617" s="556" t="str">
        <f t="shared" si="52"/>
        <v/>
      </c>
      <c r="D617" s="557" t="str">
        <f t="shared" si="53"/>
        <v/>
      </c>
      <c r="E617" s="560"/>
      <c r="F617" s="559"/>
      <c r="G617" s="559" t="str">
        <f t="shared" si="54"/>
        <v/>
      </c>
      <c r="H617" s="559" t="str">
        <f t="shared" si="55"/>
        <v/>
      </c>
      <c r="I617" s="559" t="str">
        <f t="shared" si="56"/>
        <v/>
      </c>
    </row>
    <row r="618" spans="2:9">
      <c r="B618" s="555" t="str">
        <f t="shared" si="51"/>
        <v/>
      </c>
      <c r="C618" s="556" t="str">
        <f t="shared" si="52"/>
        <v/>
      </c>
      <c r="D618" s="557" t="str">
        <f t="shared" si="53"/>
        <v/>
      </c>
      <c r="E618" s="560"/>
      <c r="F618" s="559"/>
      <c r="G618" s="559" t="str">
        <f t="shared" si="54"/>
        <v/>
      </c>
      <c r="H618" s="559" t="str">
        <f t="shared" si="55"/>
        <v/>
      </c>
      <c r="I618" s="559" t="str">
        <f t="shared" si="56"/>
        <v/>
      </c>
    </row>
    <row r="619" spans="2:9">
      <c r="B619" s="555" t="str">
        <f t="shared" si="51"/>
        <v/>
      </c>
      <c r="C619" s="556" t="str">
        <f t="shared" si="52"/>
        <v/>
      </c>
      <c r="D619" s="557" t="str">
        <f t="shared" si="53"/>
        <v/>
      </c>
      <c r="E619" s="560"/>
      <c r="F619" s="559"/>
      <c r="G619" s="559" t="str">
        <f t="shared" si="54"/>
        <v/>
      </c>
      <c r="H619" s="559" t="str">
        <f t="shared" si="55"/>
        <v/>
      </c>
      <c r="I619" s="559" t="str">
        <f t="shared" si="56"/>
        <v/>
      </c>
    </row>
    <row r="620" spans="2:9">
      <c r="B620" s="555" t="str">
        <f t="shared" si="51"/>
        <v/>
      </c>
      <c r="C620" s="556" t="str">
        <f t="shared" si="52"/>
        <v/>
      </c>
      <c r="D620" s="557" t="str">
        <f t="shared" si="53"/>
        <v/>
      </c>
      <c r="E620" s="560"/>
      <c r="F620" s="559"/>
      <c r="G620" s="559" t="str">
        <f t="shared" si="54"/>
        <v/>
      </c>
      <c r="H620" s="559" t="str">
        <f t="shared" si="55"/>
        <v/>
      </c>
      <c r="I620" s="559" t="str">
        <f t="shared" si="56"/>
        <v/>
      </c>
    </row>
    <row r="621" spans="2:9">
      <c r="B621" s="555" t="str">
        <f t="shared" si="51"/>
        <v/>
      </c>
      <c r="C621" s="556" t="str">
        <f t="shared" si="52"/>
        <v/>
      </c>
      <c r="D621" s="557" t="str">
        <f t="shared" si="53"/>
        <v/>
      </c>
      <c r="E621" s="560"/>
      <c r="F621" s="559"/>
      <c r="G621" s="559" t="str">
        <f t="shared" si="54"/>
        <v/>
      </c>
      <c r="H621" s="559" t="str">
        <f t="shared" si="55"/>
        <v/>
      </c>
      <c r="I621" s="559" t="str">
        <f t="shared" si="56"/>
        <v/>
      </c>
    </row>
    <row r="622" spans="2:9">
      <c r="B622" s="555" t="str">
        <f t="shared" si="51"/>
        <v/>
      </c>
      <c r="C622" s="556" t="str">
        <f t="shared" si="52"/>
        <v/>
      </c>
      <c r="D622" s="557" t="str">
        <f t="shared" si="53"/>
        <v/>
      </c>
      <c r="E622" s="560"/>
      <c r="F622" s="559"/>
      <c r="G622" s="559" t="str">
        <f t="shared" si="54"/>
        <v/>
      </c>
      <c r="H622" s="559" t="str">
        <f t="shared" si="55"/>
        <v/>
      </c>
      <c r="I622" s="559" t="str">
        <f t="shared" si="56"/>
        <v/>
      </c>
    </row>
    <row r="623" spans="2:9">
      <c r="B623" s="555" t="str">
        <f t="shared" si="51"/>
        <v/>
      </c>
      <c r="C623" s="556" t="str">
        <f t="shared" si="52"/>
        <v/>
      </c>
      <c r="D623" s="557" t="str">
        <f t="shared" si="53"/>
        <v/>
      </c>
      <c r="E623" s="560"/>
      <c r="F623" s="559"/>
      <c r="G623" s="559" t="str">
        <f t="shared" si="54"/>
        <v/>
      </c>
      <c r="H623" s="559" t="str">
        <f t="shared" si="55"/>
        <v/>
      </c>
      <c r="I623" s="559" t="str">
        <f t="shared" si="56"/>
        <v/>
      </c>
    </row>
    <row r="624" spans="2:9">
      <c r="B624" s="555" t="str">
        <f t="shared" si="51"/>
        <v/>
      </c>
      <c r="C624" s="556" t="str">
        <f t="shared" si="52"/>
        <v/>
      </c>
      <c r="D624" s="557" t="str">
        <f t="shared" si="53"/>
        <v/>
      </c>
      <c r="E624" s="560"/>
      <c r="F624" s="559"/>
      <c r="G624" s="559" t="str">
        <f t="shared" si="54"/>
        <v/>
      </c>
      <c r="H624" s="559" t="str">
        <f t="shared" si="55"/>
        <v/>
      </c>
      <c r="I624" s="559" t="str">
        <f t="shared" si="56"/>
        <v/>
      </c>
    </row>
    <row r="625" spans="2:9">
      <c r="B625" s="555" t="str">
        <f t="shared" si="51"/>
        <v/>
      </c>
      <c r="C625" s="556" t="str">
        <f t="shared" si="52"/>
        <v/>
      </c>
      <c r="D625" s="557" t="str">
        <f t="shared" si="53"/>
        <v/>
      </c>
      <c r="E625" s="560"/>
      <c r="F625" s="559"/>
      <c r="G625" s="559" t="str">
        <f t="shared" si="54"/>
        <v/>
      </c>
      <c r="H625" s="559" t="str">
        <f t="shared" si="55"/>
        <v/>
      </c>
      <c r="I625" s="559" t="str">
        <f t="shared" si="56"/>
        <v/>
      </c>
    </row>
    <row r="626" spans="2:9">
      <c r="B626" s="555" t="str">
        <f t="shared" si="51"/>
        <v/>
      </c>
      <c r="C626" s="556" t="str">
        <f t="shared" si="52"/>
        <v/>
      </c>
      <c r="D626" s="557" t="str">
        <f t="shared" si="53"/>
        <v/>
      </c>
      <c r="E626" s="560"/>
      <c r="F626" s="559"/>
      <c r="G626" s="559" t="str">
        <f t="shared" si="54"/>
        <v/>
      </c>
      <c r="H626" s="559" t="str">
        <f t="shared" si="55"/>
        <v/>
      </c>
      <c r="I626" s="559" t="str">
        <f t="shared" si="56"/>
        <v/>
      </c>
    </row>
    <row r="627" spans="2:9">
      <c r="B627" s="555" t="str">
        <f t="shared" si="51"/>
        <v/>
      </c>
      <c r="C627" s="556" t="str">
        <f t="shared" si="52"/>
        <v/>
      </c>
      <c r="D627" s="557" t="str">
        <f t="shared" si="53"/>
        <v/>
      </c>
      <c r="E627" s="560"/>
      <c r="F627" s="559"/>
      <c r="G627" s="559" t="str">
        <f t="shared" si="54"/>
        <v/>
      </c>
      <c r="H627" s="559" t="str">
        <f t="shared" si="55"/>
        <v/>
      </c>
      <c r="I627" s="559" t="str">
        <f t="shared" si="56"/>
        <v/>
      </c>
    </row>
    <row r="628" spans="2:9">
      <c r="B628" s="555" t="str">
        <f t="shared" si="51"/>
        <v/>
      </c>
      <c r="C628" s="556" t="str">
        <f t="shared" si="52"/>
        <v/>
      </c>
      <c r="D628" s="557" t="str">
        <f t="shared" si="53"/>
        <v/>
      </c>
      <c r="E628" s="560"/>
      <c r="F628" s="559"/>
      <c r="G628" s="559" t="str">
        <f t="shared" si="54"/>
        <v/>
      </c>
      <c r="H628" s="559" t="str">
        <f t="shared" si="55"/>
        <v/>
      </c>
      <c r="I628" s="559" t="str">
        <f t="shared" si="56"/>
        <v/>
      </c>
    </row>
    <row r="629" spans="2:9">
      <c r="B629" s="555" t="str">
        <f t="shared" si="51"/>
        <v/>
      </c>
      <c r="C629" s="556" t="str">
        <f t="shared" si="52"/>
        <v/>
      </c>
      <c r="D629" s="557" t="str">
        <f t="shared" si="53"/>
        <v/>
      </c>
      <c r="E629" s="560"/>
      <c r="F629" s="559"/>
      <c r="G629" s="559" t="str">
        <f t="shared" si="54"/>
        <v/>
      </c>
      <c r="H629" s="559" t="str">
        <f t="shared" si="55"/>
        <v/>
      </c>
      <c r="I629" s="559" t="str">
        <f t="shared" si="56"/>
        <v/>
      </c>
    </row>
    <row r="630" spans="2:9">
      <c r="B630" s="555" t="str">
        <f t="shared" si="51"/>
        <v/>
      </c>
      <c r="C630" s="556" t="str">
        <f t="shared" si="52"/>
        <v/>
      </c>
      <c r="D630" s="557" t="str">
        <f t="shared" si="53"/>
        <v/>
      </c>
      <c r="E630" s="560"/>
      <c r="F630" s="559"/>
      <c r="G630" s="559" t="str">
        <f t="shared" si="54"/>
        <v/>
      </c>
      <c r="H630" s="559" t="str">
        <f t="shared" si="55"/>
        <v/>
      </c>
      <c r="I630" s="559" t="str">
        <f t="shared" si="56"/>
        <v/>
      </c>
    </row>
    <row r="631" spans="2:9">
      <c r="B631" s="555" t="str">
        <f t="shared" si="51"/>
        <v/>
      </c>
      <c r="C631" s="556" t="str">
        <f t="shared" si="52"/>
        <v/>
      </c>
      <c r="D631" s="557" t="str">
        <f t="shared" si="53"/>
        <v/>
      </c>
      <c r="E631" s="560"/>
      <c r="F631" s="559"/>
      <c r="G631" s="559" t="str">
        <f t="shared" si="54"/>
        <v/>
      </c>
      <c r="H631" s="559" t="str">
        <f t="shared" si="55"/>
        <v/>
      </c>
      <c r="I631" s="559" t="str">
        <f t="shared" si="56"/>
        <v/>
      </c>
    </row>
    <row r="632" spans="2:9">
      <c r="B632" s="555" t="str">
        <f t="shared" si="51"/>
        <v/>
      </c>
      <c r="C632" s="556" t="str">
        <f t="shared" si="52"/>
        <v/>
      </c>
      <c r="D632" s="557" t="str">
        <f t="shared" si="53"/>
        <v/>
      </c>
      <c r="E632" s="560"/>
      <c r="F632" s="559"/>
      <c r="G632" s="559" t="str">
        <f t="shared" si="54"/>
        <v/>
      </c>
      <c r="H632" s="559" t="str">
        <f t="shared" si="55"/>
        <v/>
      </c>
      <c r="I632" s="559" t="str">
        <f t="shared" si="56"/>
        <v/>
      </c>
    </row>
    <row r="633" spans="2:9">
      <c r="B633" s="555" t="str">
        <f t="shared" si="51"/>
        <v/>
      </c>
      <c r="C633" s="556" t="str">
        <f t="shared" si="52"/>
        <v/>
      </c>
      <c r="D633" s="557" t="str">
        <f t="shared" si="53"/>
        <v/>
      </c>
      <c r="E633" s="560"/>
      <c r="F633" s="559"/>
      <c r="G633" s="559" t="str">
        <f t="shared" si="54"/>
        <v/>
      </c>
      <c r="H633" s="559" t="str">
        <f t="shared" si="55"/>
        <v/>
      </c>
      <c r="I633" s="559" t="str">
        <f t="shared" si="56"/>
        <v/>
      </c>
    </row>
    <row r="634" spans="2:9">
      <c r="B634" s="555" t="str">
        <f t="shared" si="51"/>
        <v/>
      </c>
      <c r="C634" s="556" t="str">
        <f t="shared" si="52"/>
        <v/>
      </c>
      <c r="D634" s="557" t="str">
        <f t="shared" si="53"/>
        <v/>
      </c>
      <c r="E634" s="560"/>
      <c r="F634" s="559"/>
      <c r="G634" s="559" t="str">
        <f t="shared" si="54"/>
        <v/>
      </c>
      <c r="H634" s="559" t="str">
        <f t="shared" si="55"/>
        <v/>
      </c>
      <c r="I634" s="559" t="str">
        <f t="shared" si="56"/>
        <v/>
      </c>
    </row>
    <row r="635" spans="2:9">
      <c r="B635" s="555" t="str">
        <f t="shared" si="51"/>
        <v/>
      </c>
      <c r="C635" s="556" t="str">
        <f t="shared" si="52"/>
        <v/>
      </c>
      <c r="D635" s="557" t="str">
        <f t="shared" si="53"/>
        <v/>
      </c>
      <c r="E635" s="560"/>
      <c r="F635" s="559"/>
      <c r="G635" s="559" t="str">
        <f t="shared" si="54"/>
        <v/>
      </c>
      <c r="H635" s="559" t="str">
        <f t="shared" si="55"/>
        <v/>
      </c>
      <c r="I635" s="559" t="str">
        <f t="shared" si="56"/>
        <v/>
      </c>
    </row>
    <row r="636" spans="2:9">
      <c r="B636" s="555" t="str">
        <f t="shared" si="51"/>
        <v/>
      </c>
      <c r="C636" s="556" t="str">
        <f t="shared" si="52"/>
        <v/>
      </c>
      <c r="D636" s="557" t="str">
        <f t="shared" si="53"/>
        <v/>
      </c>
      <c r="E636" s="560"/>
      <c r="F636" s="559"/>
      <c r="G636" s="559" t="str">
        <f t="shared" si="54"/>
        <v/>
      </c>
      <c r="H636" s="559" t="str">
        <f t="shared" si="55"/>
        <v/>
      </c>
      <c r="I636" s="559" t="str">
        <f t="shared" si="56"/>
        <v/>
      </c>
    </row>
    <row r="637" spans="2:9">
      <c r="B637" s="555" t="str">
        <f t="shared" ref="B637:B700" si="57">IF(I636="","",IF(roundOpt,IF(OR(B636&gt;=nper,ROUND(I636,2)&lt;=0),"",B636+1),IF(OR(B636&gt;=nper,I636&lt;=0),"",B636+1)))</f>
        <v/>
      </c>
      <c r="C637" s="556" t="str">
        <f t="shared" ref="C637:C700" si="58">IF(B637="","",IF(OR(periods_per_year=26,periods_per_year=52),IF(periods_per_year=26,IF(B637=1,fpdate,C636+14),IF(periods_per_year=52,IF(B637=1,fpdate,C636+7),"n/a")),IF(periods_per_year=24,DATE(YEAR(fpdate),MONTH(fpdate)+(B637-1)/2+IF(AND(DAY(fpdate)&gt;=15,MOD(B637,2)=0),1,0),IF(MOD(B637,2)=0,IF(DAY(fpdate)&gt;=15,DAY(fpdate)-14,DAY(fpdate)+14),DAY(fpdate))),IF(DAY(DATE(YEAR(fpdate),MONTH(fpdate)+(B637-1)*months_per_period,DAY(fpdate)))&lt;&gt;DAY(fpdate),DATE(YEAR(fpdate),MONTH(fpdate)+(B637-1)*months_per_period+1,0),DATE(YEAR(fpdate),MONTH(fpdate)+(B637-1)*months_per_period,DAY(fpdate))))))</f>
        <v/>
      </c>
      <c r="D637" s="557" t="str">
        <f t="shared" ref="D637:D700" si="59">IF(B637="","",IF(roundOpt,IF(OR(B637=nper,payment&gt;ROUND((1+rate)*I636,2)),ROUND((1+rate)*I636,2),payment),IF(OR(B637=nper,payment&gt;(1+rate)*I636),(1+rate)*I636,payment)))</f>
        <v/>
      </c>
      <c r="E637" s="560"/>
      <c r="F637" s="559"/>
      <c r="G637" s="559" t="str">
        <f t="shared" ref="G637:G700" si="60">IF(B637="","",IF(AND(B637=1,pmtType=1),0,IF(roundOpt,ROUND(rate*I636,2),rate*I636)))</f>
        <v/>
      </c>
      <c r="H637" s="559" t="str">
        <f t="shared" ref="H637:H700" si="61">IF(B637="","",D637-G637+E637)</f>
        <v/>
      </c>
      <c r="I637" s="559" t="str">
        <f t="shared" ref="I637:I700" si="62">IF(B637="","",I636-H637)</f>
        <v/>
      </c>
    </row>
    <row r="638" spans="2:9">
      <c r="B638" s="555" t="str">
        <f t="shared" si="57"/>
        <v/>
      </c>
      <c r="C638" s="556" t="str">
        <f t="shared" si="58"/>
        <v/>
      </c>
      <c r="D638" s="557" t="str">
        <f t="shared" si="59"/>
        <v/>
      </c>
      <c r="E638" s="560"/>
      <c r="F638" s="559"/>
      <c r="G638" s="559" t="str">
        <f t="shared" si="60"/>
        <v/>
      </c>
      <c r="H638" s="559" t="str">
        <f t="shared" si="61"/>
        <v/>
      </c>
      <c r="I638" s="559" t="str">
        <f t="shared" si="62"/>
        <v/>
      </c>
    </row>
    <row r="639" spans="2:9">
      <c r="B639" s="555" t="str">
        <f t="shared" si="57"/>
        <v/>
      </c>
      <c r="C639" s="556" t="str">
        <f t="shared" si="58"/>
        <v/>
      </c>
      <c r="D639" s="557" t="str">
        <f t="shared" si="59"/>
        <v/>
      </c>
      <c r="E639" s="560"/>
      <c r="F639" s="559"/>
      <c r="G639" s="559" t="str">
        <f t="shared" si="60"/>
        <v/>
      </c>
      <c r="H639" s="559" t="str">
        <f t="shared" si="61"/>
        <v/>
      </c>
      <c r="I639" s="559" t="str">
        <f t="shared" si="62"/>
        <v/>
      </c>
    </row>
    <row r="640" spans="2:9">
      <c r="B640" s="555" t="str">
        <f t="shared" si="57"/>
        <v/>
      </c>
      <c r="C640" s="556" t="str">
        <f t="shared" si="58"/>
        <v/>
      </c>
      <c r="D640" s="557" t="str">
        <f t="shared" si="59"/>
        <v/>
      </c>
      <c r="E640" s="560"/>
      <c r="F640" s="559"/>
      <c r="G640" s="559" t="str">
        <f t="shared" si="60"/>
        <v/>
      </c>
      <c r="H640" s="559" t="str">
        <f t="shared" si="61"/>
        <v/>
      </c>
      <c r="I640" s="559" t="str">
        <f t="shared" si="62"/>
        <v/>
      </c>
    </row>
    <row r="641" spans="2:9">
      <c r="B641" s="555" t="str">
        <f t="shared" si="57"/>
        <v/>
      </c>
      <c r="C641" s="556" t="str">
        <f t="shared" si="58"/>
        <v/>
      </c>
      <c r="D641" s="557" t="str">
        <f t="shared" si="59"/>
        <v/>
      </c>
      <c r="E641" s="560"/>
      <c r="F641" s="559"/>
      <c r="G641" s="559" t="str">
        <f t="shared" si="60"/>
        <v/>
      </c>
      <c r="H641" s="559" t="str">
        <f t="shared" si="61"/>
        <v/>
      </c>
      <c r="I641" s="559" t="str">
        <f t="shared" si="62"/>
        <v/>
      </c>
    </row>
    <row r="642" spans="2:9">
      <c r="B642" s="555" t="str">
        <f t="shared" si="57"/>
        <v/>
      </c>
      <c r="C642" s="556" t="str">
        <f t="shared" si="58"/>
        <v/>
      </c>
      <c r="D642" s="557" t="str">
        <f t="shared" si="59"/>
        <v/>
      </c>
      <c r="E642" s="560"/>
      <c r="F642" s="559"/>
      <c r="G642" s="559" t="str">
        <f t="shared" si="60"/>
        <v/>
      </c>
      <c r="H642" s="559" t="str">
        <f t="shared" si="61"/>
        <v/>
      </c>
      <c r="I642" s="559" t="str">
        <f t="shared" si="62"/>
        <v/>
      </c>
    </row>
    <row r="643" spans="2:9">
      <c r="B643" s="555" t="str">
        <f t="shared" si="57"/>
        <v/>
      </c>
      <c r="C643" s="556" t="str">
        <f t="shared" si="58"/>
        <v/>
      </c>
      <c r="D643" s="557" t="str">
        <f t="shared" si="59"/>
        <v/>
      </c>
      <c r="E643" s="560"/>
      <c r="F643" s="559"/>
      <c r="G643" s="559" t="str">
        <f t="shared" si="60"/>
        <v/>
      </c>
      <c r="H643" s="559" t="str">
        <f t="shared" si="61"/>
        <v/>
      </c>
      <c r="I643" s="559" t="str">
        <f t="shared" si="62"/>
        <v/>
      </c>
    </row>
    <row r="644" spans="2:9">
      <c r="B644" s="555" t="str">
        <f t="shared" si="57"/>
        <v/>
      </c>
      <c r="C644" s="556" t="str">
        <f t="shared" si="58"/>
        <v/>
      </c>
      <c r="D644" s="557" t="str">
        <f t="shared" si="59"/>
        <v/>
      </c>
      <c r="E644" s="560"/>
      <c r="F644" s="559"/>
      <c r="G644" s="559" t="str">
        <f t="shared" si="60"/>
        <v/>
      </c>
      <c r="H644" s="559" t="str">
        <f t="shared" si="61"/>
        <v/>
      </c>
      <c r="I644" s="559" t="str">
        <f t="shared" si="62"/>
        <v/>
      </c>
    </row>
    <row r="645" spans="2:9">
      <c r="B645" s="555" t="str">
        <f t="shared" si="57"/>
        <v/>
      </c>
      <c r="C645" s="556" t="str">
        <f t="shared" si="58"/>
        <v/>
      </c>
      <c r="D645" s="557" t="str">
        <f t="shared" si="59"/>
        <v/>
      </c>
      <c r="E645" s="560"/>
      <c r="F645" s="559"/>
      <c r="G645" s="559" t="str">
        <f t="shared" si="60"/>
        <v/>
      </c>
      <c r="H645" s="559" t="str">
        <f t="shared" si="61"/>
        <v/>
      </c>
      <c r="I645" s="559" t="str">
        <f t="shared" si="62"/>
        <v/>
      </c>
    </row>
    <row r="646" spans="2:9">
      <c r="B646" s="555" t="str">
        <f t="shared" si="57"/>
        <v/>
      </c>
      <c r="C646" s="556" t="str">
        <f t="shared" si="58"/>
        <v/>
      </c>
      <c r="D646" s="557" t="str">
        <f t="shared" si="59"/>
        <v/>
      </c>
      <c r="E646" s="560"/>
      <c r="F646" s="559"/>
      <c r="G646" s="559" t="str">
        <f t="shared" si="60"/>
        <v/>
      </c>
      <c r="H646" s="559" t="str">
        <f t="shared" si="61"/>
        <v/>
      </c>
      <c r="I646" s="559" t="str">
        <f t="shared" si="62"/>
        <v/>
      </c>
    </row>
    <row r="647" spans="2:9">
      <c r="B647" s="555" t="str">
        <f t="shared" si="57"/>
        <v/>
      </c>
      <c r="C647" s="556" t="str">
        <f t="shared" si="58"/>
        <v/>
      </c>
      <c r="D647" s="557" t="str">
        <f t="shared" si="59"/>
        <v/>
      </c>
      <c r="E647" s="560"/>
      <c r="F647" s="559"/>
      <c r="G647" s="559" t="str">
        <f t="shared" si="60"/>
        <v/>
      </c>
      <c r="H647" s="559" t="str">
        <f t="shared" si="61"/>
        <v/>
      </c>
      <c r="I647" s="559" t="str">
        <f t="shared" si="62"/>
        <v/>
      </c>
    </row>
    <row r="648" spans="2:9">
      <c r="B648" s="555" t="str">
        <f t="shared" si="57"/>
        <v/>
      </c>
      <c r="C648" s="556" t="str">
        <f t="shared" si="58"/>
        <v/>
      </c>
      <c r="D648" s="557" t="str">
        <f t="shared" si="59"/>
        <v/>
      </c>
      <c r="E648" s="560"/>
      <c r="F648" s="559"/>
      <c r="G648" s="559" t="str">
        <f t="shared" si="60"/>
        <v/>
      </c>
      <c r="H648" s="559" t="str">
        <f t="shared" si="61"/>
        <v/>
      </c>
      <c r="I648" s="559" t="str">
        <f t="shared" si="62"/>
        <v/>
      </c>
    </row>
    <row r="649" spans="2:9">
      <c r="B649" s="555" t="str">
        <f t="shared" si="57"/>
        <v/>
      </c>
      <c r="C649" s="556" t="str">
        <f t="shared" si="58"/>
        <v/>
      </c>
      <c r="D649" s="557" t="str">
        <f t="shared" si="59"/>
        <v/>
      </c>
      <c r="E649" s="560"/>
      <c r="F649" s="559"/>
      <c r="G649" s="559" t="str">
        <f t="shared" si="60"/>
        <v/>
      </c>
      <c r="H649" s="559" t="str">
        <f t="shared" si="61"/>
        <v/>
      </c>
      <c r="I649" s="559" t="str">
        <f t="shared" si="62"/>
        <v/>
      </c>
    </row>
    <row r="650" spans="2:9">
      <c r="B650" s="555" t="str">
        <f t="shared" si="57"/>
        <v/>
      </c>
      <c r="C650" s="556" t="str">
        <f t="shared" si="58"/>
        <v/>
      </c>
      <c r="D650" s="557" t="str">
        <f t="shared" si="59"/>
        <v/>
      </c>
      <c r="E650" s="560"/>
      <c r="F650" s="559"/>
      <c r="G650" s="559" t="str">
        <f t="shared" si="60"/>
        <v/>
      </c>
      <c r="H650" s="559" t="str">
        <f t="shared" si="61"/>
        <v/>
      </c>
      <c r="I650" s="559" t="str">
        <f t="shared" si="62"/>
        <v/>
      </c>
    </row>
    <row r="651" spans="2:9">
      <c r="B651" s="555" t="str">
        <f t="shared" si="57"/>
        <v/>
      </c>
      <c r="C651" s="556" t="str">
        <f t="shared" si="58"/>
        <v/>
      </c>
      <c r="D651" s="557" t="str">
        <f t="shared" si="59"/>
        <v/>
      </c>
      <c r="E651" s="560"/>
      <c r="F651" s="559"/>
      <c r="G651" s="559" t="str">
        <f t="shared" si="60"/>
        <v/>
      </c>
      <c r="H651" s="559" t="str">
        <f t="shared" si="61"/>
        <v/>
      </c>
      <c r="I651" s="559" t="str">
        <f t="shared" si="62"/>
        <v/>
      </c>
    </row>
    <row r="652" spans="2:9">
      <c r="B652" s="555" t="str">
        <f t="shared" si="57"/>
        <v/>
      </c>
      <c r="C652" s="556" t="str">
        <f t="shared" si="58"/>
        <v/>
      </c>
      <c r="D652" s="557" t="str">
        <f t="shared" si="59"/>
        <v/>
      </c>
      <c r="E652" s="560"/>
      <c r="F652" s="559"/>
      <c r="G652" s="559" t="str">
        <f t="shared" si="60"/>
        <v/>
      </c>
      <c r="H652" s="559" t="str">
        <f t="shared" si="61"/>
        <v/>
      </c>
      <c r="I652" s="559" t="str">
        <f t="shared" si="62"/>
        <v/>
      </c>
    </row>
    <row r="653" spans="2:9">
      <c r="B653" s="555" t="str">
        <f t="shared" si="57"/>
        <v/>
      </c>
      <c r="C653" s="556" t="str">
        <f t="shared" si="58"/>
        <v/>
      </c>
      <c r="D653" s="557" t="str">
        <f t="shared" si="59"/>
        <v/>
      </c>
      <c r="E653" s="560"/>
      <c r="F653" s="559"/>
      <c r="G653" s="559" t="str">
        <f t="shared" si="60"/>
        <v/>
      </c>
      <c r="H653" s="559" t="str">
        <f t="shared" si="61"/>
        <v/>
      </c>
      <c r="I653" s="559" t="str">
        <f t="shared" si="62"/>
        <v/>
      </c>
    </row>
    <row r="654" spans="2:9">
      <c r="B654" s="555" t="str">
        <f t="shared" si="57"/>
        <v/>
      </c>
      <c r="C654" s="556" t="str">
        <f t="shared" si="58"/>
        <v/>
      </c>
      <c r="D654" s="557" t="str">
        <f t="shared" si="59"/>
        <v/>
      </c>
      <c r="E654" s="560"/>
      <c r="F654" s="559"/>
      <c r="G654" s="559" t="str">
        <f t="shared" si="60"/>
        <v/>
      </c>
      <c r="H654" s="559" t="str">
        <f t="shared" si="61"/>
        <v/>
      </c>
      <c r="I654" s="559" t="str">
        <f t="shared" si="62"/>
        <v/>
      </c>
    </row>
    <row r="655" spans="2:9">
      <c r="B655" s="555" t="str">
        <f t="shared" si="57"/>
        <v/>
      </c>
      <c r="C655" s="556" t="str">
        <f t="shared" si="58"/>
        <v/>
      </c>
      <c r="D655" s="557" t="str">
        <f t="shared" si="59"/>
        <v/>
      </c>
      <c r="E655" s="560"/>
      <c r="F655" s="559"/>
      <c r="G655" s="559" t="str">
        <f t="shared" si="60"/>
        <v/>
      </c>
      <c r="H655" s="559" t="str">
        <f t="shared" si="61"/>
        <v/>
      </c>
      <c r="I655" s="559" t="str">
        <f t="shared" si="62"/>
        <v/>
      </c>
    </row>
    <row r="656" spans="2:9">
      <c r="B656" s="555" t="str">
        <f t="shared" si="57"/>
        <v/>
      </c>
      <c r="C656" s="556" t="str">
        <f t="shared" si="58"/>
        <v/>
      </c>
      <c r="D656" s="557" t="str">
        <f t="shared" si="59"/>
        <v/>
      </c>
      <c r="E656" s="560"/>
      <c r="F656" s="559"/>
      <c r="G656" s="559" t="str">
        <f t="shared" si="60"/>
        <v/>
      </c>
      <c r="H656" s="559" t="str">
        <f t="shared" si="61"/>
        <v/>
      </c>
      <c r="I656" s="559" t="str">
        <f t="shared" si="62"/>
        <v/>
      </c>
    </row>
    <row r="657" spans="2:9">
      <c r="B657" s="555" t="str">
        <f t="shared" si="57"/>
        <v/>
      </c>
      <c r="C657" s="556" t="str">
        <f t="shared" si="58"/>
        <v/>
      </c>
      <c r="D657" s="557" t="str">
        <f t="shared" si="59"/>
        <v/>
      </c>
      <c r="E657" s="560"/>
      <c r="F657" s="559"/>
      <c r="G657" s="559" t="str">
        <f t="shared" si="60"/>
        <v/>
      </c>
      <c r="H657" s="559" t="str">
        <f t="shared" si="61"/>
        <v/>
      </c>
      <c r="I657" s="559" t="str">
        <f t="shared" si="62"/>
        <v/>
      </c>
    </row>
    <row r="658" spans="2:9">
      <c r="B658" s="555" t="str">
        <f t="shared" si="57"/>
        <v/>
      </c>
      <c r="C658" s="556" t="str">
        <f t="shared" si="58"/>
        <v/>
      </c>
      <c r="D658" s="557" t="str">
        <f t="shared" si="59"/>
        <v/>
      </c>
      <c r="E658" s="560"/>
      <c r="F658" s="559"/>
      <c r="G658" s="559" t="str">
        <f t="shared" si="60"/>
        <v/>
      </c>
      <c r="H658" s="559" t="str">
        <f t="shared" si="61"/>
        <v/>
      </c>
      <c r="I658" s="559" t="str">
        <f t="shared" si="62"/>
        <v/>
      </c>
    </row>
    <row r="659" spans="2:9">
      <c r="B659" s="555" t="str">
        <f t="shared" si="57"/>
        <v/>
      </c>
      <c r="C659" s="556" t="str">
        <f t="shared" si="58"/>
        <v/>
      </c>
      <c r="D659" s="557" t="str">
        <f t="shared" si="59"/>
        <v/>
      </c>
      <c r="E659" s="560"/>
      <c r="F659" s="559"/>
      <c r="G659" s="559" t="str">
        <f t="shared" si="60"/>
        <v/>
      </c>
      <c r="H659" s="559" t="str">
        <f t="shared" si="61"/>
        <v/>
      </c>
      <c r="I659" s="559" t="str">
        <f t="shared" si="62"/>
        <v/>
      </c>
    </row>
    <row r="660" spans="2:9">
      <c r="B660" s="555" t="str">
        <f t="shared" si="57"/>
        <v/>
      </c>
      <c r="C660" s="556" t="str">
        <f t="shared" si="58"/>
        <v/>
      </c>
      <c r="D660" s="557" t="str">
        <f t="shared" si="59"/>
        <v/>
      </c>
      <c r="E660" s="560"/>
      <c r="F660" s="559"/>
      <c r="G660" s="559" t="str">
        <f t="shared" si="60"/>
        <v/>
      </c>
      <c r="H660" s="559" t="str">
        <f t="shared" si="61"/>
        <v/>
      </c>
      <c r="I660" s="559" t="str">
        <f t="shared" si="62"/>
        <v/>
      </c>
    </row>
    <row r="661" spans="2:9">
      <c r="B661" s="555" t="str">
        <f t="shared" si="57"/>
        <v/>
      </c>
      <c r="C661" s="556" t="str">
        <f t="shared" si="58"/>
        <v/>
      </c>
      <c r="D661" s="557" t="str">
        <f t="shared" si="59"/>
        <v/>
      </c>
      <c r="E661" s="560"/>
      <c r="F661" s="559"/>
      <c r="G661" s="559" t="str">
        <f t="shared" si="60"/>
        <v/>
      </c>
      <c r="H661" s="559" t="str">
        <f t="shared" si="61"/>
        <v/>
      </c>
      <c r="I661" s="559" t="str">
        <f t="shared" si="62"/>
        <v/>
      </c>
    </row>
    <row r="662" spans="2:9">
      <c r="B662" s="555" t="str">
        <f t="shared" si="57"/>
        <v/>
      </c>
      <c r="C662" s="556" t="str">
        <f t="shared" si="58"/>
        <v/>
      </c>
      <c r="D662" s="557" t="str">
        <f t="shared" si="59"/>
        <v/>
      </c>
      <c r="E662" s="560"/>
      <c r="F662" s="559"/>
      <c r="G662" s="559" t="str">
        <f t="shared" si="60"/>
        <v/>
      </c>
      <c r="H662" s="559" t="str">
        <f t="shared" si="61"/>
        <v/>
      </c>
      <c r="I662" s="559" t="str">
        <f t="shared" si="62"/>
        <v/>
      </c>
    </row>
    <row r="663" spans="2:9">
      <c r="B663" s="555" t="str">
        <f t="shared" si="57"/>
        <v/>
      </c>
      <c r="C663" s="556" t="str">
        <f t="shared" si="58"/>
        <v/>
      </c>
      <c r="D663" s="557" t="str">
        <f t="shared" si="59"/>
        <v/>
      </c>
      <c r="E663" s="560"/>
      <c r="F663" s="559"/>
      <c r="G663" s="559" t="str">
        <f t="shared" si="60"/>
        <v/>
      </c>
      <c r="H663" s="559" t="str">
        <f t="shared" si="61"/>
        <v/>
      </c>
      <c r="I663" s="559" t="str">
        <f t="shared" si="62"/>
        <v/>
      </c>
    </row>
    <row r="664" spans="2:9">
      <c r="B664" s="555" t="str">
        <f t="shared" si="57"/>
        <v/>
      </c>
      <c r="C664" s="556" t="str">
        <f t="shared" si="58"/>
        <v/>
      </c>
      <c r="D664" s="557" t="str">
        <f t="shared" si="59"/>
        <v/>
      </c>
      <c r="E664" s="560"/>
      <c r="F664" s="559"/>
      <c r="G664" s="559" t="str">
        <f t="shared" si="60"/>
        <v/>
      </c>
      <c r="H664" s="559" t="str">
        <f t="shared" si="61"/>
        <v/>
      </c>
      <c r="I664" s="559" t="str">
        <f t="shared" si="62"/>
        <v/>
      </c>
    </row>
    <row r="665" spans="2:9">
      <c r="B665" s="555" t="str">
        <f t="shared" si="57"/>
        <v/>
      </c>
      <c r="C665" s="556" t="str">
        <f t="shared" si="58"/>
        <v/>
      </c>
      <c r="D665" s="557" t="str">
        <f t="shared" si="59"/>
        <v/>
      </c>
      <c r="E665" s="560"/>
      <c r="F665" s="559"/>
      <c r="G665" s="559" t="str">
        <f t="shared" si="60"/>
        <v/>
      </c>
      <c r="H665" s="559" t="str">
        <f t="shared" si="61"/>
        <v/>
      </c>
      <c r="I665" s="559" t="str">
        <f t="shared" si="62"/>
        <v/>
      </c>
    </row>
    <row r="666" spans="2:9">
      <c r="B666" s="555" t="str">
        <f t="shared" si="57"/>
        <v/>
      </c>
      <c r="C666" s="556" t="str">
        <f t="shared" si="58"/>
        <v/>
      </c>
      <c r="D666" s="557" t="str">
        <f t="shared" si="59"/>
        <v/>
      </c>
      <c r="E666" s="560"/>
      <c r="F666" s="559"/>
      <c r="G666" s="559" t="str">
        <f t="shared" si="60"/>
        <v/>
      </c>
      <c r="H666" s="559" t="str">
        <f t="shared" si="61"/>
        <v/>
      </c>
      <c r="I666" s="559" t="str">
        <f t="shared" si="62"/>
        <v/>
      </c>
    </row>
    <row r="667" spans="2:9">
      <c r="B667" s="555" t="str">
        <f t="shared" si="57"/>
        <v/>
      </c>
      <c r="C667" s="556" t="str">
        <f t="shared" si="58"/>
        <v/>
      </c>
      <c r="D667" s="557" t="str">
        <f t="shared" si="59"/>
        <v/>
      </c>
      <c r="E667" s="560"/>
      <c r="F667" s="559"/>
      <c r="G667" s="559" t="str">
        <f t="shared" si="60"/>
        <v/>
      </c>
      <c r="H667" s="559" t="str">
        <f t="shared" si="61"/>
        <v/>
      </c>
      <c r="I667" s="559" t="str">
        <f t="shared" si="62"/>
        <v/>
      </c>
    </row>
    <row r="668" spans="2:9">
      <c r="B668" s="555" t="str">
        <f t="shared" si="57"/>
        <v/>
      </c>
      <c r="C668" s="556" t="str">
        <f t="shared" si="58"/>
        <v/>
      </c>
      <c r="D668" s="557" t="str">
        <f t="shared" si="59"/>
        <v/>
      </c>
      <c r="E668" s="560"/>
      <c r="F668" s="559"/>
      <c r="G668" s="559" t="str">
        <f t="shared" si="60"/>
        <v/>
      </c>
      <c r="H668" s="559" t="str">
        <f t="shared" si="61"/>
        <v/>
      </c>
      <c r="I668" s="559" t="str">
        <f t="shared" si="62"/>
        <v/>
      </c>
    </row>
    <row r="669" spans="2:9">
      <c r="B669" s="555" t="str">
        <f t="shared" si="57"/>
        <v/>
      </c>
      <c r="C669" s="556" t="str">
        <f t="shared" si="58"/>
        <v/>
      </c>
      <c r="D669" s="557" t="str">
        <f t="shared" si="59"/>
        <v/>
      </c>
      <c r="E669" s="560"/>
      <c r="F669" s="559"/>
      <c r="G669" s="559" t="str">
        <f t="shared" si="60"/>
        <v/>
      </c>
      <c r="H669" s="559" t="str">
        <f t="shared" si="61"/>
        <v/>
      </c>
      <c r="I669" s="559" t="str">
        <f t="shared" si="62"/>
        <v/>
      </c>
    </row>
    <row r="670" spans="2:9">
      <c r="B670" s="555" t="str">
        <f t="shared" si="57"/>
        <v/>
      </c>
      <c r="C670" s="556" t="str">
        <f t="shared" si="58"/>
        <v/>
      </c>
      <c r="D670" s="557" t="str">
        <f t="shared" si="59"/>
        <v/>
      </c>
      <c r="E670" s="560"/>
      <c r="F670" s="559"/>
      <c r="G670" s="559" t="str">
        <f t="shared" si="60"/>
        <v/>
      </c>
      <c r="H670" s="559" t="str">
        <f t="shared" si="61"/>
        <v/>
      </c>
      <c r="I670" s="559" t="str">
        <f t="shared" si="62"/>
        <v/>
      </c>
    </row>
    <row r="671" spans="2:9">
      <c r="B671" s="555" t="str">
        <f t="shared" si="57"/>
        <v/>
      </c>
      <c r="C671" s="556" t="str">
        <f t="shared" si="58"/>
        <v/>
      </c>
      <c r="D671" s="557" t="str">
        <f t="shared" si="59"/>
        <v/>
      </c>
      <c r="E671" s="560"/>
      <c r="F671" s="559"/>
      <c r="G671" s="559" t="str">
        <f t="shared" si="60"/>
        <v/>
      </c>
      <c r="H671" s="559" t="str">
        <f t="shared" si="61"/>
        <v/>
      </c>
      <c r="I671" s="559" t="str">
        <f t="shared" si="62"/>
        <v/>
      </c>
    </row>
    <row r="672" spans="2:9">
      <c r="B672" s="555" t="str">
        <f t="shared" si="57"/>
        <v/>
      </c>
      <c r="C672" s="556" t="str">
        <f t="shared" si="58"/>
        <v/>
      </c>
      <c r="D672" s="557" t="str">
        <f t="shared" si="59"/>
        <v/>
      </c>
      <c r="E672" s="560"/>
      <c r="F672" s="559"/>
      <c r="G672" s="559" t="str">
        <f t="shared" si="60"/>
        <v/>
      </c>
      <c r="H672" s="559" t="str">
        <f t="shared" si="61"/>
        <v/>
      </c>
      <c r="I672" s="559" t="str">
        <f t="shared" si="62"/>
        <v/>
      </c>
    </row>
    <row r="673" spans="2:9">
      <c r="B673" s="555" t="str">
        <f t="shared" si="57"/>
        <v/>
      </c>
      <c r="C673" s="556" t="str">
        <f t="shared" si="58"/>
        <v/>
      </c>
      <c r="D673" s="557" t="str">
        <f t="shared" si="59"/>
        <v/>
      </c>
      <c r="E673" s="560"/>
      <c r="F673" s="559"/>
      <c r="G673" s="559" t="str">
        <f t="shared" si="60"/>
        <v/>
      </c>
      <c r="H673" s="559" t="str">
        <f t="shared" si="61"/>
        <v/>
      </c>
      <c r="I673" s="559" t="str">
        <f t="shared" si="62"/>
        <v/>
      </c>
    </row>
    <row r="674" spans="2:9">
      <c r="B674" s="555" t="str">
        <f t="shared" si="57"/>
        <v/>
      </c>
      <c r="C674" s="556" t="str">
        <f t="shared" si="58"/>
        <v/>
      </c>
      <c r="D674" s="557" t="str">
        <f t="shared" si="59"/>
        <v/>
      </c>
      <c r="E674" s="560"/>
      <c r="F674" s="559"/>
      <c r="G674" s="559" t="str">
        <f t="shared" si="60"/>
        <v/>
      </c>
      <c r="H674" s="559" t="str">
        <f t="shared" si="61"/>
        <v/>
      </c>
      <c r="I674" s="559" t="str">
        <f t="shared" si="62"/>
        <v/>
      </c>
    </row>
    <row r="675" spans="2:9">
      <c r="B675" s="555" t="str">
        <f t="shared" si="57"/>
        <v/>
      </c>
      <c r="C675" s="556" t="str">
        <f t="shared" si="58"/>
        <v/>
      </c>
      <c r="D675" s="557" t="str">
        <f t="shared" si="59"/>
        <v/>
      </c>
      <c r="E675" s="560"/>
      <c r="F675" s="559"/>
      <c r="G675" s="559" t="str">
        <f t="shared" si="60"/>
        <v/>
      </c>
      <c r="H675" s="559" t="str">
        <f t="shared" si="61"/>
        <v/>
      </c>
      <c r="I675" s="559" t="str">
        <f t="shared" si="62"/>
        <v/>
      </c>
    </row>
    <row r="676" spans="2:9">
      <c r="B676" s="555" t="str">
        <f t="shared" si="57"/>
        <v/>
      </c>
      <c r="C676" s="556" t="str">
        <f t="shared" si="58"/>
        <v/>
      </c>
      <c r="D676" s="557" t="str">
        <f t="shared" si="59"/>
        <v/>
      </c>
      <c r="E676" s="560"/>
      <c r="F676" s="559"/>
      <c r="G676" s="559" t="str">
        <f t="shared" si="60"/>
        <v/>
      </c>
      <c r="H676" s="559" t="str">
        <f t="shared" si="61"/>
        <v/>
      </c>
      <c r="I676" s="559" t="str">
        <f t="shared" si="62"/>
        <v/>
      </c>
    </row>
    <row r="677" spans="2:9">
      <c r="B677" s="555" t="str">
        <f t="shared" si="57"/>
        <v/>
      </c>
      <c r="C677" s="556" t="str">
        <f t="shared" si="58"/>
        <v/>
      </c>
      <c r="D677" s="557" t="str">
        <f t="shared" si="59"/>
        <v/>
      </c>
      <c r="E677" s="560"/>
      <c r="F677" s="559"/>
      <c r="G677" s="559" t="str">
        <f t="shared" si="60"/>
        <v/>
      </c>
      <c r="H677" s="559" t="str">
        <f t="shared" si="61"/>
        <v/>
      </c>
      <c r="I677" s="559" t="str">
        <f t="shared" si="62"/>
        <v/>
      </c>
    </row>
    <row r="678" spans="2:9">
      <c r="B678" s="555" t="str">
        <f t="shared" si="57"/>
        <v/>
      </c>
      <c r="C678" s="556" t="str">
        <f t="shared" si="58"/>
        <v/>
      </c>
      <c r="D678" s="557" t="str">
        <f t="shared" si="59"/>
        <v/>
      </c>
      <c r="E678" s="560"/>
      <c r="F678" s="559"/>
      <c r="G678" s="559" t="str">
        <f t="shared" si="60"/>
        <v/>
      </c>
      <c r="H678" s="559" t="str">
        <f t="shared" si="61"/>
        <v/>
      </c>
      <c r="I678" s="559" t="str">
        <f t="shared" si="62"/>
        <v/>
      </c>
    </row>
    <row r="679" spans="2:9">
      <c r="B679" s="555" t="str">
        <f t="shared" si="57"/>
        <v/>
      </c>
      <c r="C679" s="556" t="str">
        <f t="shared" si="58"/>
        <v/>
      </c>
      <c r="D679" s="557" t="str">
        <f t="shared" si="59"/>
        <v/>
      </c>
      <c r="E679" s="560"/>
      <c r="F679" s="559"/>
      <c r="G679" s="559" t="str">
        <f t="shared" si="60"/>
        <v/>
      </c>
      <c r="H679" s="559" t="str">
        <f t="shared" si="61"/>
        <v/>
      </c>
      <c r="I679" s="559" t="str">
        <f t="shared" si="62"/>
        <v/>
      </c>
    </row>
    <row r="680" spans="2:9">
      <c r="B680" s="555" t="str">
        <f t="shared" si="57"/>
        <v/>
      </c>
      <c r="C680" s="556" t="str">
        <f t="shared" si="58"/>
        <v/>
      </c>
      <c r="D680" s="557" t="str">
        <f t="shared" si="59"/>
        <v/>
      </c>
      <c r="E680" s="560"/>
      <c r="F680" s="559"/>
      <c r="G680" s="559" t="str">
        <f t="shared" si="60"/>
        <v/>
      </c>
      <c r="H680" s="559" t="str">
        <f t="shared" si="61"/>
        <v/>
      </c>
      <c r="I680" s="559" t="str">
        <f t="shared" si="62"/>
        <v/>
      </c>
    </row>
    <row r="681" spans="2:9">
      <c r="B681" s="555" t="str">
        <f t="shared" si="57"/>
        <v/>
      </c>
      <c r="C681" s="556" t="str">
        <f t="shared" si="58"/>
        <v/>
      </c>
      <c r="D681" s="557" t="str">
        <f t="shared" si="59"/>
        <v/>
      </c>
      <c r="E681" s="560"/>
      <c r="F681" s="559"/>
      <c r="G681" s="559" t="str">
        <f t="shared" si="60"/>
        <v/>
      </c>
      <c r="H681" s="559" t="str">
        <f t="shared" si="61"/>
        <v/>
      </c>
      <c r="I681" s="559" t="str">
        <f t="shared" si="62"/>
        <v/>
      </c>
    </row>
    <row r="682" spans="2:9">
      <c r="B682" s="555" t="str">
        <f t="shared" si="57"/>
        <v/>
      </c>
      <c r="C682" s="556" t="str">
        <f t="shared" si="58"/>
        <v/>
      </c>
      <c r="D682" s="557" t="str">
        <f t="shared" si="59"/>
        <v/>
      </c>
      <c r="E682" s="560"/>
      <c r="F682" s="559"/>
      <c r="G682" s="559" t="str">
        <f t="shared" si="60"/>
        <v/>
      </c>
      <c r="H682" s="559" t="str">
        <f t="shared" si="61"/>
        <v/>
      </c>
      <c r="I682" s="559" t="str">
        <f t="shared" si="62"/>
        <v/>
      </c>
    </row>
    <row r="683" spans="2:9">
      <c r="B683" s="555" t="str">
        <f t="shared" si="57"/>
        <v/>
      </c>
      <c r="C683" s="556" t="str">
        <f t="shared" si="58"/>
        <v/>
      </c>
      <c r="D683" s="557" t="str">
        <f t="shared" si="59"/>
        <v/>
      </c>
      <c r="E683" s="560"/>
      <c r="F683" s="559"/>
      <c r="G683" s="559" t="str">
        <f t="shared" si="60"/>
        <v/>
      </c>
      <c r="H683" s="559" t="str">
        <f t="shared" si="61"/>
        <v/>
      </c>
      <c r="I683" s="559" t="str">
        <f t="shared" si="62"/>
        <v/>
      </c>
    </row>
    <row r="684" spans="2:9">
      <c r="B684" s="555" t="str">
        <f t="shared" si="57"/>
        <v/>
      </c>
      <c r="C684" s="556" t="str">
        <f t="shared" si="58"/>
        <v/>
      </c>
      <c r="D684" s="557" t="str">
        <f t="shared" si="59"/>
        <v/>
      </c>
      <c r="E684" s="560"/>
      <c r="F684" s="559"/>
      <c r="G684" s="559" t="str">
        <f t="shared" si="60"/>
        <v/>
      </c>
      <c r="H684" s="559" t="str">
        <f t="shared" si="61"/>
        <v/>
      </c>
      <c r="I684" s="559" t="str">
        <f t="shared" si="62"/>
        <v/>
      </c>
    </row>
    <row r="685" spans="2:9">
      <c r="B685" s="555" t="str">
        <f t="shared" si="57"/>
        <v/>
      </c>
      <c r="C685" s="556" t="str">
        <f t="shared" si="58"/>
        <v/>
      </c>
      <c r="D685" s="557" t="str">
        <f t="shared" si="59"/>
        <v/>
      </c>
      <c r="E685" s="560"/>
      <c r="F685" s="559"/>
      <c r="G685" s="559" t="str">
        <f t="shared" si="60"/>
        <v/>
      </c>
      <c r="H685" s="559" t="str">
        <f t="shared" si="61"/>
        <v/>
      </c>
      <c r="I685" s="559" t="str">
        <f t="shared" si="62"/>
        <v/>
      </c>
    </row>
    <row r="686" spans="2:9">
      <c r="B686" s="555" t="str">
        <f t="shared" si="57"/>
        <v/>
      </c>
      <c r="C686" s="556" t="str">
        <f t="shared" si="58"/>
        <v/>
      </c>
      <c r="D686" s="557" t="str">
        <f t="shared" si="59"/>
        <v/>
      </c>
      <c r="E686" s="560"/>
      <c r="F686" s="559"/>
      <c r="G686" s="559" t="str">
        <f t="shared" si="60"/>
        <v/>
      </c>
      <c r="H686" s="559" t="str">
        <f t="shared" si="61"/>
        <v/>
      </c>
      <c r="I686" s="559" t="str">
        <f t="shared" si="62"/>
        <v/>
      </c>
    </row>
    <row r="687" spans="2:9">
      <c r="B687" s="555" t="str">
        <f t="shared" si="57"/>
        <v/>
      </c>
      <c r="C687" s="556" t="str">
        <f t="shared" si="58"/>
        <v/>
      </c>
      <c r="D687" s="557" t="str">
        <f t="shared" si="59"/>
        <v/>
      </c>
      <c r="E687" s="560"/>
      <c r="F687" s="559"/>
      <c r="G687" s="559" t="str">
        <f t="shared" si="60"/>
        <v/>
      </c>
      <c r="H687" s="559" t="str">
        <f t="shared" si="61"/>
        <v/>
      </c>
      <c r="I687" s="559" t="str">
        <f t="shared" si="62"/>
        <v/>
      </c>
    </row>
    <row r="688" spans="2:9">
      <c r="B688" s="555" t="str">
        <f t="shared" si="57"/>
        <v/>
      </c>
      <c r="C688" s="556" t="str">
        <f t="shared" si="58"/>
        <v/>
      </c>
      <c r="D688" s="557" t="str">
        <f t="shared" si="59"/>
        <v/>
      </c>
      <c r="E688" s="560"/>
      <c r="F688" s="559"/>
      <c r="G688" s="559" t="str">
        <f t="shared" si="60"/>
        <v/>
      </c>
      <c r="H688" s="559" t="str">
        <f t="shared" si="61"/>
        <v/>
      </c>
      <c r="I688" s="559" t="str">
        <f t="shared" si="62"/>
        <v/>
      </c>
    </row>
    <row r="689" spans="2:9">
      <c r="B689" s="555" t="str">
        <f t="shared" si="57"/>
        <v/>
      </c>
      <c r="C689" s="556" t="str">
        <f t="shared" si="58"/>
        <v/>
      </c>
      <c r="D689" s="557" t="str">
        <f t="shared" si="59"/>
        <v/>
      </c>
      <c r="E689" s="560"/>
      <c r="F689" s="559"/>
      <c r="G689" s="559" t="str">
        <f t="shared" si="60"/>
        <v/>
      </c>
      <c r="H689" s="559" t="str">
        <f t="shared" si="61"/>
        <v/>
      </c>
      <c r="I689" s="559" t="str">
        <f t="shared" si="62"/>
        <v/>
      </c>
    </row>
    <row r="690" spans="2:9">
      <c r="B690" s="555" t="str">
        <f t="shared" si="57"/>
        <v/>
      </c>
      <c r="C690" s="556" t="str">
        <f t="shared" si="58"/>
        <v/>
      </c>
      <c r="D690" s="557" t="str">
        <f t="shared" si="59"/>
        <v/>
      </c>
      <c r="E690" s="560"/>
      <c r="F690" s="559"/>
      <c r="G690" s="559" t="str">
        <f t="shared" si="60"/>
        <v/>
      </c>
      <c r="H690" s="559" t="str">
        <f t="shared" si="61"/>
        <v/>
      </c>
      <c r="I690" s="559" t="str">
        <f t="shared" si="62"/>
        <v/>
      </c>
    </row>
    <row r="691" spans="2:9">
      <c r="B691" s="555" t="str">
        <f t="shared" si="57"/>
        <v/>
      </c>
      <c r="C691" s="556" t="str">
        <f t="shared" si="58"/>
        <v/>
      </c>
      <c r="D691" s="557" t="str">
        <f t="shared" si="59"/>
        <v/>
      </c>
      <c r="E691" s="560"/>
      <c r="F691" s="559"/>
      <c r="G691" s="559" t="str">
        <f t="shared" si="60"/>
        <v/>
      </c>
      <c r="H691" s="559" t="str">
        <f t="shared" si="61"/>
        <v/>
      </c>
      <c r="I691" s="559" t="str">
        <f t="shared" si="62"/>
        <v/>
      </c>
    </row>
    <row r="692" spans="2:9">
      <c r="B692" s="555" t="str">
        <f t="shared" si="57"/>
        <v/>
      </c>
      <c r="C692" s="556" t="str">
        <f t="shared" si="58"/>
        <v/>
      </c>
      <c r="D692" s="557" t="str">
        <f t="shared" si="59"/>
        <v/>
      </c>
      <c r="E692" s="560"/>
      <c r="F692" s="559"/>
      <c r="G692" s="559" t="str">
        <f t="shared" si="60"/>
        <v/>
      </c>
      <c r="H692" s="559" t="str">
        <f t="shared" si="61"/>
        <v/>
      </c>
      <c r="I692" s="559" t="str">
        <f t="shared" si="62"/>
        <v/>
      </c>
    </row>
    <row r="693" spans="2:9">
      <c r="B693" s="555" t="str">
        <f t="shared" si="57"/>
        <v/>
      </c>
      <c r="C693" s="556" t="str">
        <f t="shared" si="58"/>
        <v/>
      </c>
      <c r="D693" s="557" t="str">
        <f t="shared" si="59"/>
        <v/>
      </c>
      <c r="E693" s="560"/>
      <c r="F693" s="559"/>
      <c r="G693" s="559" t="str">
        <f t="shared" si="60"/>
        <v/>
      </c>
      <c r="H693" s="559" t="str">
        <f t="shared" si="61"/>
        <v/>
      </c>
      <c r="I693" s="559" t="str">
        <f t="shared" si="62"/>
        <v/>
      </c>
    </row>
    <row r="694" spans="2:9">
      <c r="B694" s="555" t="str">
        <f t="shared" si="57"/>
        <v/>
      </c>
      <c r="C694" s="556" t="str">
        <f t="shared" si="58"/>
        <v/>
      </c>
      <c r="D694" s="557" t="str">
        <f t="shared" si="59"/>
        <v/>
      </c>
      <c r="E694" s="560"/>
      <c r="F694" s="559"/>
      <c r="G694" s="559" t="str">
        <f t="shared" si="60"/>
        <v/>
      </c>
      <c r="H694" s="559" t="str">
        <f t="shared" si="61"/>
        <v/>
      </c>
      <c r="I694" s="559" t="str">
        <f t="shared" si="62"/>
        <v/>
      </c>
    </row>
    <row r="695" spans="2:9">
      <c r="B695" s="555" t="str">
        <f t="shared" si="57"/>
        <v/>
      </c>
      <c r="C695" s="556" t="str">
        <f t="shared" si="58"/>
        <v/>
      </c>
      <c r="D695" s="557" t="str">
        <f t="shared" si="59"/>
        <v/>
      </c>
      <c r="E695" s="560"/>
      <c r="F695" s="559"/>
      <c r="G695" s="559" t="str">
        <f t="shared" si="60"/>
        <v/>
      </c>
      <c r="H695" s="559" t="str">
        <f t="shared" si="61"/>
        <v/>
      </c>
      <c r="I695" s="559" t="str">
        <f t="shared" si="62"/>
        <v/>
      </c>
    </row>
    <row r="696" spans="2:9">
      <c r="B696" s="555" t="str">
        <f t="shared" si="57"/>
        <v/>
      </c>
      <c r="C696" s="556" t="str">
        <f t="shared" si="58"/>
        <v/>
      </c>
      <c r="D696" s="557" t="str">
        <f t="shared" si="59"/>
        <v/>
      </c>
      <c r="E696" s="560"/>
      <c r="F696" s="559"/>
      <c r="G696" s="559" t="str">
        <f t="shared" si="60"/>
        <v/>
      </c>
      <c r="H696" s="559" t="str">
        <f t="shared" si="61"/>
        <v/>
      </c>
      <c r="I696" s="559" t="str">
        <f t="shared" si="62"/>
        <v/>
      </c>
    </row>
    <row r="697" spans="2:9">
      <c r="B697" s="555" t="str">
        <f t="shared" si="57"/>
        <v/>
      </c>
      <c r="C697" s="556" t="str">
        <f t="shared" si="58"/>
        <v/>
      </c>
      <c r="D697" s="557" t="str">
        <f t="shared" si="59"/>
        <v/>
      </c>
      <c r="E697" s="560"/>
      <c r="F697" s="559"/>
      <c r="G697" s="559" t="str">
        <f t="shared" si="60"/>
        <v/>
      </c>
      <c r="H697" s="559" t="str">
        <f t="shared" si="61"/>
        <v/>
      </c>
      <c r="I697" s="559" t="str">
        <f t="shared" si="62"/>
        <v/>
      </c>
    </row>
    <row r="698" spans="2:9">
      <c r="B698" s="555" t="str">
        <f t="shared" si="57"/>
        <v/>
      </c>
      <c r="C698" s="556" t="str">
        <f t="shared" si="58"/>
        <v/>
      </c>
      <c r="D698" s="557" t="str">
        <f t="shared" si="59"/>
        <v/>
      </c>
      <c r="E698" s="560"/>
      <c r="F698" s="559"/>
      <c r="G698" s="559" t="str">
        <f t="shared" si="60"/>
        <v/>
      </c>
      <c r="H698" s="559" t="str">
        <f t="shared" si="61"/>
        <v/>
      </c>
      <c r="I698" s="559" t="str">
        <f t="shared" si="62"/>
        <v/>
      </c>
    </row>
    <row r="699" spans="2:9">
      <c r="B699" s="555" t="str">
        <f t="shared" si="57"/>
        <v/>
      </c>
      <c r="C699" s="556" t="str">
        <f t="shared" si="58"/>
        <v/>
      </c>
      <c r="D699" s="557" t="str">
        <f t="shared" si="59"/>
        <v/>
      </c>
      <c r="E699" s="560"/>
      <c r="F699" s="559"/>
      <c r="G699" s="559" t="str">
        <f t="shared" si="60"/>
        <v/>
      </c>
      <c r="H699" s="559" t="str">
        <f t="shared" si="61"/>
        <v/>
      </c>
      <c r="I699" s="559" t="str">
        <f t="shared" si="62"/>
        <v/>
      </c>
    </row>
    <row r="700" spans="2:9">
      <c r="B700" s="555" t="str">
        <f t="shared" si="57"/>
        <v/>
      </c>
      <c r="C700" s="556" t="str">
        <f t="shared" si="58"/>
        <v/>
      </c>
      <c r="D700" s="557" t="str">
        <f t="shared" si="59"/>
        <v/>
      </c>
      <c r="E700" s="560"/>
      <c r="F700" s="559"/>
      <c r="G700" s="559" t="str">
        <f t="shared" si="60"/>
        <v/>
      </c>
      <c r="H700" s="559" t="str">
        <f t="shared" si="61"/>
        <v/>
      </c>
      <c r="I700" s="559" t="str">
        <f t="shared" si="62"/>
        <v/>
      </c>
    </row>
    <row r="701" spans="2:9">
      <c r="B701" s="555" t="str">
        <f t="shared" ref="B701:B764" si="63">IF(I700="","",IF(roundOpt,IF(OR(B700&gt;=nper,ROUND(I700,2)&lt;=0),"",B700+1),IF(OR(B700&gt;=nper,I700&lt;=0),"",B700+1)))</f>
        <v/>
      </c>
      <c r="C701" s="556" t="str">
        <f t="shared" ref="C701:C764" si="64">IF(B701="","",IF(OR(periods_per_year=26,periods_per_year=52),IF(periods_per_year=26,IF(B701=1,fpdate,C700+14),IF(periods_per_year=52,IF(B701=1,fpdate,C700+7),"n/a")),IF(periods_per_year=24,DATE(YEAR(fpdate),MONTH(fpdate)+(B701-1)/2+IF(AND(DAY(fpdate)&gt;=15,MOD(B701,2)=0),1,0),IF(MOD(B701,2)=0,IF(DAY(fpdate)&gt;=15,DAY(fpdate)-14,DAY(fpdate)+14),DAY(fpdate))),IF(DAY(DATE(YEAR(fpdate),MONTH(fpdate)+(B701-1)*months_per_period,DAY(fpdate)))&lt;&gt;DAY(fpdate),DATE(YEAR(fpdate),MONTH(fpdate)+(B701-1)*months_per_period+1,0),DATE(YEAR(fpdate),MONTH(fpdate)+(B701-1)*months_per_period,DAY(fpdate))))))</f>
        <v/>
      </c>
      <c r="D701" s="557" t="str">
        <f t="shared" ref="D701:D764" si="65">IF(B701="","",IF(roundOpt,IF(OR(B701=nper,payment&gt;ROUND((1+rate)*I700,2)),ROUND((1+rate)*I700,2),payment),IF(OR(B701=nper,payment&gt;(1+rate)*I700),(1+rate)*I700,payment)))</f>
        <v/>
      </c>
      <c r="E701" s="560"/>
      <c r="F701" s="559"/>
      <c r="G701" s="559" t="str">
        <f t="shared" ref="G701:G764" si="66">IF(B701="","",IF(AND(B701=1,pmtType=1),0,IF(roundOpt,ROUND(rate*I700,2),rate*I700)))</f>
        <v/>
      </c>
      <c r="H701" s="559" t="str">
        <f t="shared" ref="H701:H764" si="67">IF(B701="","",D701-G701+E701)</f>
        <v/>
      </c>
      <c r="I701" s="559" t="str">
        <f t="shared" ref="I701:I764" si="68">IF(B701="","",I700-H701)</f>
        <v/>
      </c>
    </row>
    <row r="702" spans="2:9">
      <c r="B702" s="555" t="str">
        <f t="shared" si="63"/>
        <v/>
      </c>
      <c r="C702" s="556" t="str">
        <f t="shared" si="64"/>
        <v/>
      </c>
      <c r="D702" s="557" t="str">
        <f t="shared" si="65"/>
        <v/>
      </c>
      <c r="E702" s="560"/>
      <c r="F702" s="559"/>
      <c r="G702" s="559" t="str">
        <f t="shared" si="66"/>
        <v/>
      </c>
      <c r="H702" s="559" t="str">
        <f t="shared" si="67"/>
        <v/>
      </c>
      <c r="I702" s="559" t="str">
        <f t="shared" si="68"/>
        <v/>
      </c>
    </row>
    <row r="703" spans="2:9">
      <c r="B703" s="555" t="str">
        <f t="shared" si="63"/>
        <v/>
      </c>
      <c r="C703" s="556" t="str">
        <f t="shared" si="64"/>
        <v/>
      </c>
      <c r="D703" s="557" t="str">
        <f t="shared" si="65"/>
        <v/>
      </c>
      <c r="E703" s="560"/>
      <c r="F703" s="559"/>
      <c r="G703" s="559" t="str">
        <f t="shared" si="66"/>
        <v/>
      </c>
      <c r="H703" s="559" t="str">
        <f t="shared" si="67"/>
        <v/>
      </c>
      <c r="I703" s="559" t="str">
        <f t="shared" si="68"/>
        <v/>
      </c>
    </row>
    <row r="704" spans="2:9">
      <c r="B704" s="555" t="str">
        <f t="shared" si="63"/>
        <v/>
      </c>
      <c r="C704" s="556" t="str">
        <f t="shared" si="64"/>
        <v/>
      </c>
      <c r="D704" s="557" t="str">
        <f t="shared" si="65"/>
        <v/>
      </c>
      <c r="E704" s="560"/>
      <c r="F704" s="559"/>
      <c r="G704" s="559" t="str">
        <f t="shared" si="66"/>
        <v/>
      </c>
      <c r="H704" s="559" t="str">
        <f t="shared" si="67"/>
        <v/>
      </c>
      <c r="I704" s="559" t="str">
        <f t="shared" si="68"/>
        <v/>
      </c>
    </row>
    <row r="705" spans="2:9">
      <c r="B705" s="555" t="str">
        <f t="shared" si="63"/>
        <v/>
      </c>
      <c r="C705" s="556" t="str">
        <f t="shared" si="64"/>
        <v/>
      </c>
      <c r="D705" s="557" t="str">
        <f t="shared" si="65"/>
        <v/>
      </c>
      <c r="E705" s="560"/>
      <c r="F705" s="559"/>
      <c r="G705" s="559" t="str">
        <f t="shared" si="66"/>
        <v/>
      </c>
      <c r="H705" s="559" t="str">
        <f t="shared" si="67"/>
        <v/>
      </c>
      <c r="I705" s="559" t="str">
        <f t="shared" si="68"/>
        <v/>
      </c>
    </row>
    <row r="706" spans="2:9">
      <c r="B706" s="555" t="str">
        <f t="shared" si="63"/>
        <v/>
      </c>
      <c r="C706" s="556" t="str">
        <f t="shared" si="64"/>
        <v/>
      </c>
      <c r="D706" s="557" t="str">
        <f t="shared" si="65"/>
        <v/>
      </c>
      <c r="E706" s="560"/>
      <c r="F706" s="559"/>
      <c r="G706" s="559" t="str">
        <f t="shared" si="66"/>
        <v/>
      </c>
      <c r="H706" s="559" t="str">
        <f t="shared" si="67"/>
        <v/>
      </c>
      <c r="I706" s="559" t="str">
        <f t="shared" si="68"/>
        <v/>
      </c>
    </row>
    <row r="707" spans="2:9">
      <c r="B707" s="555" t="str">
        <f t="shared" si="63"/>
        <v/>
      </c>
      <c r="C707" s="556" t="str">
        <f t="shared" si="64"/>
        <v/>
      </c>
      <c r="D707" s="557" t="str">
        <f t="shared" si="65"/>
        <v/>
      </c>
      <c r="E707" s="560"/>
      <c r="F707" s="559"/>
      <c r="G707" s="559" t="str">
        <f t="shared" si="66"/>
        <v/>
      </c>
      <c r="H707" s="559" t="str">
        <f t="shared" si="67"/>
        <v/>
      </c>
      <c r="I707" s="559" t="str">
        <f t="shared" si="68"/>
        <v/>
      </c>
    </row>
    <row r="708" spans="2:9">
      <c r="B708" s="555" t="str">
        <f t="shared" si="63"/>
        <v/>
      </c>
      <c r="C708" s="556" t="str">
        <f t="shared" si="64"/>
        <v/>
      </c>
      <c r="D708" s="557" t="str">
        <f t="shared" si="65"/>
        <v/>
      </c>
      <c r="E708" s="560"/>
      <c r="F708" s="559"/>
      <c r="G708" s="559" t="str">
        <f t="shared" si="66"/>
        <v/>
      </c>
      <c r="H708" s="559" t="str">
        <f t="shared" si="67"/>
        <v/>
      </c>
      <c r="I708" s="559" t="str">
        <f t="shared" si="68"/>
        <v/>
      </c>
    </row>
    <row r="709" spans="2:9">
      <c r="B709" s="555" t="str">
        <f t="shared" si="63"/>
        <v/>
      </c>
      <c r="C709" s="556" t="str">
        <f t="shared" si="64"/>
        <v/>
      </c>
      <c r="D709" s="557" t="str">
        <f t="shared" si="65"/>
        <v/>
      </c>
      <c r="E709" s="560"/>
      <c r="F709" s="559"/>
      <c r="G709" s="559" t="str">
        <f t="shared" si="66"/>
        <v/>
      </c>
      <c r="H709" s="559" t="str">
        <f t="shared" si="67"/>
        <v/>
      </c>
      <c r="I709" s="559" t="str">
        <f t="shared" si="68"/>
        <v/>
      </c>
    </row>
    <row r="710" spans="2:9">
      <c r="B710" s="555" t="str">
        <f t="shared" si="63"/>
        <v/>
      </c>
      <c r="C710" s="556" t="str">
        <f t="shared" si="64"/>
        <v/>
      </c>
      <c r="D710" s="557" t="str">
        <f t="shared" si="65"/>
        <v/>
      </c>
      <c r="E710" s="560"/>
      <c r="F710" s="559"/>
      <c r="G710" s="559" t="str">
        <f t="shared" si="66"/>
        <v/>
      </c>
      <c r="H710" s="559" t="str">
        <f t="shared" si="67"/>
        <v/>
      </c>
      <c r="I710" s="559" t="str">
        <f t="shared" si="68"/>
        <v/>
      </c>
    </row>
    <row r="711" spans="2:9">
      <c r="B711" s="555" t="str">
        <f t="shared" si="63"/>
        <v/>
      </c>
      <c r="C711" s="556" t="str">
        <f t="shared" si="64"/>
        <v/>
      </c>
      <c r="D711" s="557" t="str">
        <f t="shared" si="65"/>
        <v/>
      </c>
      <c r="E711" s="560"/>
      <c r="F711" s="559"/>
      <c r="G711" s="559" t="str">
        <f t="shared" si="66"/>
        <v/>
      </c>
      <c r="H711" s="559" t="str">
        <f t="shared" si="67"/>
        <v/>
      </c>
      <c r="I711" s="559" t="str">
        <f t="shared" si="68"/>
        <v/>
      </c>
    </row>
    <row r="712" spans="2:9">
      <c r="B712" s="555" t="str">
        <f t="shared" si="63"/>
        <v/>
      </c>
      <c r="C712" s="556" t="str">
        <f t="shared" si="64"/>
        <v/>
      </c>
      <c r="D712" s="557" t="str">
        <f t="shared" si="65"/>
        <v/>
      </c>
      <c r="E712" s="560"/>
      <c r="F712" s="559"/>
      <c r="G712" s="559" t="str">
        <f t="shared" si="66"/>
        <v/>
      </c>
      <c r="H712" s="559" t="str">
        <f t="shared" si="67"/>
        <v/>
      </c>
      <c r="I712" s="559" t="str">
        <f t="shared" si="68"/>
        <v/>
      </c>
    </row>
    <row r="713" spans="2:9">
      <c r="B713" s="555" t="str">
        <f t="shared" si="63"/>
        <v/>
      </c>
      <c r="C713" s="556" t="str">
        <f t="shared" si="64"/>
        <v/>
      </c>
      <c r="D713" s="557" t="str">
        <f t="shared" si="65"/>
        <v/>
      </c>
      <c r="E713" s="560"/>
      <c r="F713" s="559"/>
      <c r="G713" s="559" t="str">
        <f t="shared" si="66"/>
        <v/>
      </c>
      <c r="H713" s="559" t="str">
        <f t="shared" si="67"/>
        <v/>
      </c>
      <c r="I713" s="559" t="str">
        <f t="shared" si="68"/>
        <v/>
      </c>
    </row>
    <row r="714" spans="2:9">
      <c r="B714" s="555" t="str">
        <f t="shared" si="63"/>
        <v/>
      </c>
      <c r="C714" s="556" t="str">
        <f t="shared" si="64"/>
        <v/>
      </c>
      <c r="D714" s="557" t="str">
        <f t="shared" si="65"/>
        <v/>
      </c>
      <c r="E714" s="560"/>
      <c r="F714" s="559"/>
      <c r="G714" s="559" t="str">
        <f t="shared" si="66"/>
        <v/>
      </c>
      <c r="H714" s="559" t="str">
        <f t="shared" si="67"/>
        <v/>
      </c>
      <c r="I714" s="559" t="str">
        <f t="shared" si="68"/>
        <v/>
      </c>
    </row>
    <row r="715" spans="2:9">
      <c r="B715" s="555" t="str">
        <f t="shared" si="63"/>
        <v/>
      </c>
      <c r="C715" s="556" t="str">
        <f t="shared" si="64"/>
        <v/>
      </c>
      <c r="D715" s="557" t="str">
        <f t="shared" si="65"/>
        <v/>
      </c>
      <c r="E715" s="560"/>
      <c r="F715" s="559"/>
      <c r="G715" s="559" t="str">
        <f t="shared" si="66"/>
        <v/>
      </c>
      <c r="H715" s="559" t="str">
        <f t="shared" si="67"/>
        <v/>
      </c>
      <c r="I715" s="559" t="str">
        <f t="shared" si="68"/>
        <v/>
      </c>
    </row>
    <row r="716" spans="2:9">
      <c r="B716" s="555" t="str">
        <f t="shared" si="63"/>
        <v/>
      </c>
      <c r="C716" s="556" t="str">
        <f t="shared" si="64"/>
        <v/>
      </c>
      <c r="D716" s="557" t="str">
        <f t="shared" si="65"/>
        <v/>
      </c>
      <c r="E716" s="560"/>
      <c r="F716" s="559"/>
      <c r="G716" s="559" t="str">
        <f t="shared" si="66"/>
        <v/>
      </c>
      <c r="H716" s="559" t="str">
        <f t="shared" si="67"/>
        <v/>
      </c>
      <c r="I716" s="559" t="str">
        <f t="shared" si="68"/>
        <v/>
      </c>
    </row>
    <row r="717" spans="2:9">
      <c r="B717" s="555" t="str">
        <f t="shared" si="63"/>
        <v/>
      </c>
      <c r="C717" s="556" t="str">
        <f t="shared" si="64"/>
        <v/>
      </c>
      <c r="D717" s="557" t="str">
        <f t="shared" si="65"/>
        <v/>
      </c>
      <c r="E717" s="560"/>
      <c r="F717" s="559"/>
      <c r="G717" s="559" t="str">
        <f t="shared" si="66"/>
        <v/>
      </c>
      <c r="H717" s="559" t="str">
        <f t="shared" si="67"/>
        <v/>
      </c>
      <c r="I717" s="559" t="str">
        <f t="shared" si="68"/>
        <v/>
      </c>
    </row>
    <row r="718" spans="2:9">
      <c r="B718" s="555" t="str">
        <f t="shared" si="63"/>
        <v/>
      </c>
      <c r="C718" s="556" t="str">
        <f t="shared" si="64"/>
        <v/>
      </c>
      <c r="D718" s="557" t="str">
        <f t="shared" si="65"/>
        <v/>
      </c>
      <c r="E718" s="560"/>
      <c r="F718" s="559"/>
      <c r="G718" s="559" t="str">
        <f t="shared" si="66"/>
        <v/>
      </c>
      <c r="H718" s="559" t="str">
        <f t="shared" si="67"/>
        <v/>
      </c>
      <c r="I718" s="559" t="str">
        <f t="shared" si="68"/>
        <v/>
      </c>
    </row>
    <row r="719" spans="2:9">
      <c r="B719" s="555" t="str">
        <f t="shared" si="63"/>
        <v/>
      </c>
      <c r="C719" s="556" t="str">
        <f t="shared" si="64"/>
        <v/>
      </c>
      <c r="D719" s="557" t="str">
        <f t="shared" si="65"/>
        <v/>
      </c>
      <c r="E719" s="560"/>
      <c r="F719" s="559"/>
      <c r="G719" s="559" t="str">
        <f t="shared" si="66"/>
        <v/>
      </c>
      <c r="H719" s="559" t="str">
        <f t="shared" si="67"/>
        <v/>
      </c>
      <c r="I719" s="559" t="str">
        <f t="shared" si="68"/>
        <v/>
      </c>
    </row>
    <row r="720" spans="2:9">
      <c r="B720" s="555" t="str">
        <f t="shared" si="63"/>
        <v/>
      </c>
      <c r="C720" s="556" t="str">
        <f t="shared" si="64"/>
        <v/>
      </c>
      <c r="D720" s="557" t="str">
        <f t="shared" si="65"/>
        <v/>
      </c>
      <c r="E720" s="560"/>
      <c r="F720" s="559"/>
      <c r="G720" s="559" t="str">
        <f t="shared" si="66"/>
        <v/>
      </c>
      <c r="H720" s="559" t="str">
        <f t="shared" si="67"/>
        <v/>
      </c>
      <c r="I720" s="559" t="str">
        <f t="shared" si="68"/>
        <v/>
      </c>
    </row>
    <row r="721" spans="2:9">
      <c r="B721" s="555" t="str">
        <f t="shared" si="63"/>
        <v/>
      </c>
      <c r="C721" s="556" t="str">
        <f t="shared" si="64"/>
        <v/>
      </c>
      <c r="D721" s="557" t="str">
        <f t="shared" si="65"/>
        <v/>
      </c>
      <c r="E721" s="560"/>
      <c r="F721" s="559"/>
      <c r="G721" s="559" t="str">
        <f t="shared" si="66"/>
        <v/>
      </c>
      <c r="H721" s="559" t="str">
        <f t="shared" si="67"/>
        <v/>
      </c>
      <c r="I721" s="559" t="str">
        <f t="shared" si="68"/>
        <v/>
      </c>
    </row>
    <row r="722" spans="2:9">
      <c r="B722" s="555" t="str">
        <f t="shared" si="63"/>
        <v/>
      </c>
      <c r="C722" s="556" t="str">
        <f t="shared" si="64"/>
        <v/>
      </c>
      <c r="D722" s="557" t="str">
        <f t="shared" si="65"/>
        <v/>
      </c>
      <c r="E722" s="560"/>
      <c r="F722" s="559"/>
      <c r="G722" s="559" t="str">
        <f t="shared" si="66"/>
        <v/>
      </c>
      <c r="H722" s="559" t="str">
        <f t="shared" si="67"/>
        <v/>
      </c>
      <c r="I722" s="559" t="str">
        <f t="shared" si="68"/>
        <v/>
      </c>
    </row>
    <row r="723" spans="2:9">
      <c r="B723" s="555" t="str">
        <f t="shared" si="63"/>
        <v/>
      </c>
      <c r="C723" s="556" t="str">
        <f t="shared" si="64"/>
        <v/>
      </c>
      <c r="D723" s="557" t="str">
        <f t="shared" si="65"/>
        <v/>
      </c>
      <c r="E723" s="560"/>
      <c r="F723" s="559"/>
      <c r="G723" s="559" t="str">
        <f t="shared" si="66"/>
        <v/>
      </c>
      <c r="H723" s="559" t="str">
        <f t="shared" si="67"/>
        <v/>
      </c>
      <c r="I723" s="559" t="str">
        <f t="shared" si="68"/>
        <v/>
      </c>
    </row>
    <row r="724" spans="2:9">
      <c r="B724" s="555" t="str">
        <f t="shared" si="63"/>
        <v/>
      </c>
      <c r="C724" s="556" t="str">
        <f t="shared" si="64"/>
        <v/>
      </c>
      <c r="D724" s="557" t="str">
        <f t="shared" si="65"/>
        <v/>
      </c>
      <c r="E724" s="560"/>
      <c r="F724" s="559"/>
      <c r="G724" s="559" t="str">
        <f t="shared" si="66"/>
        <v/>
      </c>
      <c r="H724" s="559" t="str">
        <f t="shared" si="67"/>
        <v/>
      </c>
      <c r="I724" s="559" t="str">
        <f t="shared" si="68"/>
        <v/>
      </c>
    </row>
    <row r="725" spans="2:9">
      <c r="B725" s="555" t="str">
        <f t="shared" si="63"/>
        <v/>
      </c>
      <c r="C725" s="556" t="str">
        <f t="shared" si="64"/>
        <v/>
      </c>
      <c r="D725" s="557" t="str">
        <f t="shared" si="65"/>
        <v/>
      </c>
      <c r="E725" s="560"/>
      <c r="F725" s="559"/>
      <c r="G725" s="559" t="str">
        <f t="shared" si="66"/>
        <v/>
      </c>
      <c r="H725" s="559" t="str">
        <f t="shared" si="67"/>
        <v/>
      </c>
      <c r="I725" s="559" t="str">
        <f t="shared" si="68"/>
        <v/>
      </c>
    </row>
    <row r="726" spans="2:9">
      <c r="B726" s="555" t="str">
        <f t="shared" si="63"/>
        <v/>
      </c>
      <c r="C726" s="556" t="str">
        <f t="shared" si="64"/>
        <v/>
      </c>
      <c r="D726" s="557" t="str">
        <f t="shared" si="65"/>
        <v/>
      </c>
      <c r="E726" s="560"/>
      <c r="F726" s="559"/>
      <c r="G726" s="559" t="str">
        <f t="shared" si="66"/>
        <v/>
      </c>
      <c r="H726" s="559" t="str">
        <f t="shared" si="67"/>
        <v/>
      </c>
      <c r="I726" s="559" t="str">
        <f t="shared" si="68"/>
        <v/>
      </c>
    </row>
    <row r="727" spans="2:9">
      <c r="B727" s="555" t="str">
        <f t="shared" si="63"/>
        <v/>
      </c>
      <c r="C727" s="556" t="str">
        <f t="shared" si="64"/>
        <v/>
      </c>
      <c r="D727" s="557" t="str">
        <f t="shared" si="65"/>
        <v/>
      </c>
      <c r="E727" s="560"/>
      <c r="F727" s="559"/>
      <c r="G727" s="559" t="str">
        <f t="shared" si="66"/>
        <v/>
      </c>
      <c r="H727" s="559" t="str">
        <f t="shared" si="67"/>
        <v/>
      </c>
      <c r="I727" s="559" t="str">
        <f t="shared" si="68"/>
        <v/>
      </c>
    </row>
    <row r="728" spans="2:9">
      <c r="B728" s="555" t="str">
        <f t="shared" si="63"/>
        <v/>
      </c>
      <c r="C728" s="556" t="str">
        <f t="shared" si="64"/>
        <v/>
      </c>
      <c r="D728" s="557" t="str">
        <f t="shared" si="65"/>
        <v/>
      </c>
      <c r="E728" s="560"/>
      <c r="F728" s="559"/>
      <c r="G728" s="559" t="str">
        <f t="shared" si="66"/>
        <v/>
      </c>
      <c r="H728" s="559" t="str">
        <f t="shared" si="67"/>
        <v/>
      </c>
      <c r="I728" s="559" t="str">
        <f t="shared" si="68"/>
        <v/>
      </c>
    </row>
    <row r="729" spans="2:9">
      <c r="B729" s="555" t="str">
        <f t="shared" si="63"/>
        <v/>
      </c>
      <c r="C729" s="556" t="str">
        <f t="shared" si="64"/>
        <v/>
      </c>
      <c r="D729" s="557" t="str">
        <f t="shared" si="65"/>
        <v/>
      </c>
      <c r="E729" s="560"/>
      <c r="F729" s="559"/>
      <c r="G729" s="559" t="str">
        <f t="shared" si="66"/>
        <v/>
      </c>
      <c r="H729" s="559" t="str">
        <f t="shared" si="67"/>
        <v/>
      </c>
      <c r="I729" s="559" t="str">
        <f t="shared" si="68"/>
        <v/>
      </c>
    </row>
    <row r="730" spans="2:9">
      <c r="B730" s="555" t="str">
        <f t="shared" si="63"/>
        <v/>
      </c>
      <c r="C730" s="556" t="str">
        <f t="shared" si="64"/>
        <v/>
      </c>
      <c r="D730" s="557" t="str">
        <f t="shared" si="65"/>
        <v/>
      </c>
      <c r="E730" s="560"/>
      <c r="F730" s="559"/>
      <c r="G730" s="559" t="str">
        <f t="shared" si="66"/>
        <v/>
      </c>
      <c r="H730" s="559" t="str">
        <f t="shared" si="67"/>
        <v/>
      </c>
      <c r="I730" s="559" t="str">
        <f t="shared" si="68"/>
        <v/>
      </c>
    </row>
    <row r="731" spans="2:9">
      <c r="B731" s="555" t="str">
        <f t="shared" si="63"/>
        <v/>
      </c>
      <c r="C731" s="556" t="str">
        <f t="shared" si="64"/>
        <v/>
      </c>
      <c r="D731" s="557" t="str">
        <f t="shared" si="65"/>
        <v/>
      </c>
      <c r="E731" s="560"/>
      <c r="F731" s="559"/>
      <c r="G731" s="559" t="str">
        <f t="shared" si="66"/>
        <v/>
      </c>
      <c r="H731" s="559" t="str">
        <f t="shared" si="67"/>
        <v/>
      </c>
      <c r="I731" s="559" t="str">
        <f t="shared" si="68"/>
        <v/>
      </c>
    </row>
    <row r="732" spans="2:9">
      <c r="B732" s="555" t="str">
        <f t="shared" si="63"/>
        <v/>
      </c>
      <c r="C732" s="556" t="str">
        <f t="shared" si="64"/>
        <v/>
      </c>
      <c r="D732" s="557" t="str">
        <f t="shared" si="65"/>
        <v/>
      </c>
      <c r="E732" s="560"/>
      <c r="F732" s="559"/>
      <c r="G732" s="559" t="str">
        <f t="shared" si="66"/>
        <v/>
      </c>
      <c r="H732" s="559" t="str">
        <f t="shared" si="67"/>
        <v/>
      </c>
      <c r="I732" s="559" t="str">
        <f t="shared" si="68"/>
        <v/>
      </c>
    </row>
    <row r="733" spans="2:9">
      <c r="B733" s="555" t="str">
        <f t="shared" si="63"/>
        <v/>
      </c>
      <c r="C733" s="556" t="str">
        <f t="shared" si="64"/>
        <v/>
      </c>
      <c r="D733" s="557" t="str">
        <f t="shared" si="65"/>
        <v/>
      </c>
      <c r="E733" s="560"/>
      <c r="F733" s="559"/>
      <c r="G733" s="559" t="str">
        <f t="shared" si="66"/>
        <v/>
      </c>
      <c r="H733" s="559" t="str">
        <f t="shared" si="67"/>
        <v/>
      </c>
      <c r="I733" s="559" t="str">
        <f t="shared" si="68"/>
        <v/>
      </c>
    </row>
    <row r="734" spans="2:9">
      <c r="B734" s="555" t="str">
        <f t="shared" si="63"/>
        <v/>
      </c>
      <c r="C734" s="556" t="str">
        <f t="shared" si="64"/>
        <v/>
      </c>
      <c r="D734" s="557" t="str">
        <f t="shared" si="65"/>
        <v/>
      </c>
      <c r="E734" s="560"/>
      <c r="F734" s="559"/>
      <c r="G734" s="559" t="str">
        <f t="shared" si="66"/>
        <v/>
      </c>
      <c r="H734" s="559" t="str">
        <f t="shared" si="67"/>
        <v/>
      </c>
      <c r="I734" s="559" t="str">
        <f t="shared" si="68"/>
        <v/>
      </c>
    </row>
    <row r="735" spans="2:9">
      <c r="B735" s="555" t="str">
        <f t="shared" si="63"/>
        <v/>
      </c>
      <c r="C735" s="556" t="str">
        <f t="shared" si="64"/>
        <v/>
      </c>
      <c r="D735" s="557" t="str">
        <f t="shared" si="65"/>
        <v/>
      </c>
      <c r="E735" s="560"/>
      <c r="F735" s="559"/>
      <c r="G735" s="559" t="str">
        <f t="shared" si="66"/>
        <v/>
      </c>
      <c r="H735" s="559" t="str">
        <f t="shared" si="67"/>
        <v/>
      </c>
      <c r="I735" s="559" t="str">
        <f t="shared" si="68"/>
        <v/>
      </c>
    </row>
    <row r="736" spans="2:9">
      <c r="B736" s="555" t="str">
        <f t="shared" si="63"/>
        <v/>
      </c>
      <c r="C736" s="556" t="str">
        <f t="shared" si="64"/>
        <v/>
      </c>
      <c r="D736" s="557" t="str">
        <f t="shared" si="65"/>
        <v/>
      </c>
      <c r="E736" s="560"/>
      <c r="F736" s="559"/>
      <c r="G736" s="559" t="str">
        <f t="shared" si="66"/>
        <v/>
      </c>
      <c r="H736" s="559" t="str">
        <f t="shared" si="67"/>
        <v/>
      </c>
      <c r="I736" s="559" t="str">
        <f t="shared" si="68"/>
        <v/>
      </c>
    </row>
    <row r="737" spans="2:9">
      <c r="B737" s="555" t="str">
        <f t="shared" si="63"/>
        <v/>
      </c>
      <c r="C737" s="556" t="str">
        <f t="shared" si="64"/>
        <v/>
      </c>
      <c r="D737" s="557" t="str">
        <f t="shared" si="65"/>
        <v/>
      </c>
      <c r="E737" s="560"/>
      <c r="F737" s="559"/>
      <c r="G737" s="559" t="str">
        <f t="shared" si="66"/>
        <v/>
      </c>
      <c r="H737" s="559" t="str">
        <f t="shared" si="67"/>
        <v/>
      </c>
      <c r="I737" s="559" t="str">
        <f t="shared" si="68"/>
        <v/>
      </c>
    </row>
    <row r="738" spans="2:9">
      <c r="B738" s="555" t="str">
        <f t="shared" si="63"/>
        <v/>
      </c>
      <c r="C738" s="556" t="str">
        <f t="shared" si="64"/>
        <v/>
      </c>
      <c r="D738" s="557" t="str">
        <f t="shared" si="65"/>
        <v/>
      </c>
      <c r="E738" s="560"/>
      <c r="F738" s="559"/>
      <c r="G738" s="559" t="str">
        <f t="shared" si="66"/>
        <v/>
      </c>
      <c r="H738" s="559" t="str">
        <f t="shared" si="67"/>
        <v/>
      </c>
      <c r="I738" s="559" t="str">
        <f t="shared" si="68"/>
        <v/>
      </c>
    </row>
    <row r="739" spans="2:9">
      <c r="B739" s="555" t="str">
        <f t="shared" si="63"/>
        <v/>
      </c>
      <c r="C739" s="556" t="str">
        <f t="shared" si="64"/>
        <v/>
      </c>
      <c r="D739" s="557" t="str">
        <f t="shared" si="65"/>
        <v/>
      </c>
      <c r="E739" s="560"/>
      <c r="F739" s="559"/>
      <c r="G739" s="559" t="str">
        <f t="shared" si="66"/>
        <v/>
      </c>
      <c r="H739" s="559" t="str">
        <f t="shared" si="67"/>
        <v/>
      </c>
      <c r="I739" s="559" t="str">
        <f t="shared" si="68"/>
        <v/>
      </c>
    </row>
    <row r="740" spans="2:9">
      <c r="B740" s="555" t="str">
        <f t="shared" si="63"/>
        <v/>
      </c>
      <c r="C740" s="556" t="str">
        <f t="shared" si="64"/>
        <v/>
      </c>
      <c r="D740" s="557" t="str">
        <f t="shared" si="65"/>
        <v/>
      </c>
      <c r="E740" s="560"/>
      <c r="F740" s="559"/>
      <c r="G740" s="559" t="str">
        <f t="shared" si="66"/>
        <v/>
      </c>
      <c r="H740" s="559" t="str">
        <f t="shared" si="67"/>
        <v/>
      </c>
      <c r="I740" s="559" t="str">
        <f t="shared" si="68"/>
        <v/>
      </c>
    </row>
    <row r="741" spans="2:9">
      <c r="B741" s="555" t="str">
        <f t="shared" si="63"/>
        <v/>
      </c>
      <c r="C741" s="556" t="str">
        <f t="shared" si="64"/>
        <v/>
      </c>
      <c r="D741" s="557" t="str">
        <f t="shared" si="65"/>
        <v/>
      </c>
      <c r="E741" s="560"/>
      <c r="F741" s="559"/>
      <c r="G741" s="559" t="str">
        <f t="shared" si="66"/>
        <v/>
      </c>
      <c r="H741" s="559" t="str">
        <f t="shared" si="67"/>
        <v/>
      </c>
      <c r="I741" s="559" t="str">
        <f t="shared" si="68"/>
        <v/>
      </c>
    </row>
    <row r="742" spans="2:9">
      <c r="B742" s="555" t="str">
        <f t="shared" si="63"/>
        <v/>
      </c>
      <c r="C742" s="556" t="str">
        <f t="shared" si="64"/>
        <v/>
      </c>
      <c r="D742" s="557" t="str">
        <f t="shared" si="65"/>
        <v/>
      </c>
      <c r="E742" s="560"/>
      <c r="F742" s="559"/>
      <c r="G742" s="559" t="str">
        <f t="shared" si="66"/>
        <v/>
      </c>
      <c r="H742" s="559" t="str">
        <f t="shared" si="67"/>
        <v/>
      </c>
      <c r="I742" s="559" t="str">
        <f t="shared" si="68"/>
        <v/>
      </c>
    </row>
    <row r="743" spans="2:9">
      <c r="B743" s="555" t="str">
        <f t="shared" si="63"/>
        <v/>
      </c>
      <c r="C743" s="556" t="str">
        <f t="shared" si="64"/>
        <v/>
      </c>
      <c r="D743" s="557" t="str">
        <f t="shared" si="65"/>
        <v/>
      </c>
      <c r="E743" s="560"/>
      <c r="F743" s="559"/>
      <c r="G743" s="559" t="str">
        <f t="shared" si="66"/>
        <v/>
      </c>
      <c r="H743" s="559" t="str">
        <f t="shared" si="67"/>
        <v/>
      </c>
      <c r="I743" s="559" t="str">
        <f t="shared" si="68"/>
        <v/>
      </c>
    </row>
    <row r="744" spans="2:9">
      <c r="B744" s="555" t="str">
        <f t="shared" si="63"/>
        <v/>
      </c>
      <c r="C744" s="556" t="str">
        <f t="shared" si="64"/>
        <v/>
      </c>
      <c r="D744" s="557" t="str">
        <f t="shared" si="65"/>
        <v/>
      </c>
      <c r="E744" s="560"/>
      <c r="F744" s="559"/>
      <c r="G744" s="559" t="str">
        <f t="shared" si="66"/>
        <v/>
      </c>
      <c r="H744" s="559" t="str">
        <f t="shared" si="67"/>
        <v/>
      </c>
      <c r="I744" s="559" t="str">
        <f t="shared" si="68"/>
        <v/>
      </c>
    </row>
    <row r="745" spans="2:9">
      <c r="B745" s="555" t="str">
        <f t="shared" si="63"/>
        <v/>
      </c>
      <c r="C745" s="556" t="str">
        <f t="shared" si="64"/>
        <v/>
      </c>
      <c r="D745" s="557" t="str">
        <f t="shared" si="65"/>
        <v/>
      </c>
      <c r="E745" s="560"/>
      <c r="F745" s="559"/>
      <c r="G745" s="559" t="str">
        <f t="shared" si="66"/>
        <v/>
      </c>
      <c r="H745" s="559" t="str">
        <f t="shared" si="67"/>
        <v/>
      </c>
      <c r="I745" s="559" t="str">
        <f t="shared" si="68"/>
        <v/>
      </c>
    </row>
    <row r="746" spans="2:9">
      <c r="B746" s="555" t="str">
        <f t="shared" si="63"/>
        <v/>
      </c>
      <c r="C746" s="556" t="str">
        <f t="shared" si="64"/>
        <v/>
      </c>
      <c r="D746" s="557" t="str">
        <f t="shared" si="65"/>
        <v/>
      </c>
      <c r="E746" s="560"/>
      <c r="F746" s="559"/>
      <c r="G746" s="559" t="str">
        <f t="shared" si="66"/>
        <v/>
      </c>
      <c r="H746" s="559" t="str">
        <f t="shared" si="67"/>
        <v/>
      </c>
      <c r="I746" s="559" t="str">
        <f t="shared" si="68"/>
        <v/>
      </c>
    </row>
    <row r="747" spans="2:9">
      <c r="B747" s="555" t="str">
        <f t="shared" si="63"/>
        <v/>
      </c>
      <c r="C747" s="556" t="str">
        <f t="shared" si="64"/>
        <v/>
      </c>
      <c r="D747" s="557" t="str">
        <f t="shared" si="65"/>
        <v/>
      </c>
      <c r="E747" s="560"/>
      <c r="F747" s="559"/>
      <c r="G747" s="559" t="str">
        <f t="shared" si="66"/>
        <v/>
      </c>
      <c r="H747" s="559" t="str">
        <f t="shared" si="67"/>
        <v/>
      </c>
      <c r="I747" s="559" t="str">
        <f t="shared" si="68"/>
        <v/>
      </c>
    </row>
    <row r="748" spans="2:9">
      <c r="B748" s="555" t="str">
        <f t="shared" si="63"/>
        <v/>
      </c>
      <c r="C748" s="556" t="str">
        <f t="shared" si="64"/>
        <v/>
      </c>
      <c r="D748" s="557" t="str">
        <f t="shared" si="65"/>
        <v/>
      </c>
      <c r="E748" s="560"/>
      <c r="F748" s="559"/>
      <c r="G748" s="559" t="str">
        <f t="shared" si="66"/>
        <v/>
      </c>
      <c r="H748" s="559" t="str">
        <f t="shared" si="67"/>
        <v/>
      </c>
      <c r="I748" s="559" t="str">
        <f t="shared" si="68"/>
        <v/>
      </c>
    </row>
    <row r="749" spans="2:9">
      <c r="B749" s="555" t="str">
        <f t="shared" si="63"/>
        <v/>
      </c>
      <c r="C749" s="556" t="str">
        <f t="shared" si="64"/>
        <v/>
      </c>
      <c r="D749" s="557" t="str">
        <f t="shared" si="65"/>
        <v/>
      </c>
      <c r="E749" s="560"/>
      <c r="F749" s="559"/>
      <c r="G749" s="559" t="str">
        <f t="shared" si="66"/>
        <v/>
      </c>
      <c r="H749" s="559" t="str">
        <f t="shared" si="67"/>
        <v/>
      </c>
      <c r="I749" s="559" t="str">
        <f t="shared" si="68"/>
        <v/>
      </c>
    </row>
    <row r="750" spans="2:9">
      <c r="B750" s="555" t="str">
        <f t="shared" si="63"/>
        <v/>
      </c>
      <c r="C750" s="556" t="str">
        <f t="shared" si="64"/>
        <v/>
      </c>
      <c r="D750" s="557" t="str">
        <f t="shared" si="65"/>
        <v/>
      </c>
      <c r="E750" s="560"/>
      <c r="F750" s="559"/>
      <c r="G750" s="559" t="str">
        <f t="shared" si="66"/>
        <v/>
      </c>
      <c r="H750" s="559" t="str">
        <f t="shared" si="67"/>
        <v/>
      </c>
      <c r="I750" s="559" t="str">
        <f t="shared" si="68"/>
        <v/>
      </c>
    </row>
    <row r="751" spans="2:9">
      <c r="B751" s="555" t="str">
        <f t="shared" si="63"/>
        <v/>
      </c>
      <c r="C751" s="556" t="str">
        <f t="shared" si="64"/>
        <v/>
      </c>
      <c r="D751" s="557" t="str">
        <f t="shared" si="65"/>
        <v/>
      </c>
      <c r="E751" s="560"/>
      <c r="F751" s="559"/>
      <c r="G751" s="559" t="str">
        <f t="shared" si="66"/>
        <v/>
      </c>
      <c r="H751" s="559" t="str">
        <f t="shared" si="67"/>
        <v/>
      </c>
      <c r="I751" s="559" t="str">
        <f t="shared" si="68"/>
        <v/>
      </c>
    </row>
    <row r="752" spans="2:9">
      <c r="B752" s="555" t="str">
        <f t="shared" si="63"/>
        <v/>
      </c>
      <c r="C752" s="556" t="str">
        <f t="shared" si="64"/>
        <v/>
      </c>
      <c r="D752" s="557" t="str">
        <f t="shared" si="65"/>
        <v/>
      </c>
      <c r="E752" s="560"/>
      <c r="F752" s="559"/>
      <c r="G752" s="559" t="str">
        <f t="shared" si="66"/>
        <v/>
      </c>
      <c r="H752" s="559" t="str">
        <f t="shared" si="67"/>
        <v/>
      </c>
      <c r="I752" s="559" t="str">
        <f t="shared" si="68"/>
        <v/>
      </c>
    </row>
    <row r="753" spans="2:9">
      <c r="B753" s="555" t="str">
        <f t="shared" si="63"/>
        <v/>
      </c>
      <c r="C753" s="556" t="str">
        <f t="shared" si="64"/>
        <v/>
      </c>
      <c r="D753" s="557" t="str">
        <f t="shared" si="65"/>
        <v/>
      </c>
      <c r="E753" s="560"/>
      <c r="F753" s="559"/>
      <c r="G753" s="559" t="str">
        <f t="shared" si="66"/>
        <v/>
      </c>
      <c r="H753" s="559" t="str">
        <f t="shared" si="67"/>
        <v/>
      </c>
      <c r="I753" s="559" t="str">
        <f t="shared" si="68"/>
        <v/>
      </c>
    </row>
    <row r="754" spans="2:9">
      <c r="B754" s="555" t="str">
        <f t="shared" si="63"/>
        <v/>
      </c>
      <c r="C754" s="556" t="str">
        <f t="shared" si="64"/>
        <v/>
      </c>
      <c r="D754" s="557" t="str">
        <f t="shared" si="65"/>
        <v/>
      </c>
      <c r="E754" s="560"/>
      <c r="F754" s="559"/>
      <c r="G754" s="559" t="str">
        <f t="shared" si="66"/>
        <v/>
      </c>
      <c r="H754" s="559" t="str">
        <f t="shared" si="67"/>
        <v/>
      </c>
      <c r="I754" s="559" t="str">
        <f t="shared" si="68"/>
        <v/>
      </c>
    </row>
    <row r="755" spans="2:9">
      <c r="B755" s="555" t="str">
        <f t="shared" si="63"/>
        <v/>
      </c>
      <c r="C755" s="556" t="str">
        <f t="shared" si="64"/>
        <v/>
      </c>
      <c r="D755" s="557" t="str">
        <f t="shared" si="65"/>
        <v/>
      </c>
      <c r="E755" s="560"/>
      <c r="F755" s="559"/>
      <c r="G755" s="559" t="str">
        <f t="shared" si="66"/>
        <v/>
      </c>
      <c r="H755" s="559" t="str">
        <f t="shared" si="67"/>
        <v/>
      </c>
      <c r="I755" s="559" t="str">
        <f t="shared" si="68"/>
        <v/>
      </c>
    </row>
    <row r="756" spans="2:9">
      <c r="B756" s="555" t="str">
        <f t="shared" si="63"/>
        <v/>
      </c>
      <c r="C756" s="556" t="str">
        <f t="shared" si="64"/>
        <v/>
      </c>
      <c r="D756" s="557" t="str">
        <f t="shared" si="65"/>
        <v/>
      </c>
      <c r="E756" s="560"/>
      <c r="F756" s="559"/>
      <c r="G756" s="559" t="str">
        <f t="shared" si="66"/>
        <v/>
      </c>
      <c r="H756" s="559" t="str">
        <f t="shared" si="67"/>
        <v/>
      </c>
      <c r="I756" s="559" t="str">
        <f t="shared" si="68"/>
        <v/>
      </c>
    </row>
    <row r="757" spans="2:9">
      <c r="B757" s="555" t="str">
        <f t="shared" si="63"/>
        <v/>
      </c>
      <c r="C757" s="556" t="str">
        <f t="shared" si="64"/>
        <v/>
      </c>
      <c r="D757" s="557" t="str">
        <f t="shared" si="65"/>
        <v/>
      </c>
      <c r="E757" s="560"/>
      <c r="F757" s="559"/>
      <c r="G757" s="559" t="str">
        <f t="shared" si="66"/>
        <v/>
      </c>
      <c r="H757" s="559" t="str">
        <f t="shared" si="67"/>
        <v/>
      </c>
      <c r="I757" s="559" t="str">
        <f t="shared" si="68"/>
        <v/>
      </c>
    </row>
    <row r="758" spans="2:9">
      <c r="B758" s="555" t="str">
        <f t="shared" si="63"/>
        <v/>
      </c>
      <c r="C758" s="556" t="str">
        <f t="shared" si="64"/>
        <v/>
      </c>
      <c r="D758" s="557" t="str">
        <f t="shared" si="65"/>
        <v/>
      </c>
      <c r="E758" s="560"/>
      <c r="F758" s="559"/>
      <c r="G758" s="559" t="str">
        <f t="shared" si="66"/>
        <v/>
      </c>
      <c r="H758" s="559" t="str">
        <f t="shared" si="67"/>
        <v/>
      </c>
      <c r="I758" s="559" t="str">
        <f t="shared" si="68"/>
        <v/>
      </c>
    </row>
    <row r="759" spans="2:9">
      <c r="B759" s="555" t="str">
        <f t="shared" si="63"/>
        <v/>
      </c>
      <c r="C759" s="556" t="str">
        <f t="shared" si="64"/>
        <v/>
      </c>
      <c r="D759" s="557" t="str">
        <f t="shared" si="65"/>
        <v/>
      </c>
      <c r="E759" s="560"/>
      <c r="F759" s="559"/>
      <c r="G759" s="559" t="str">
        <f t="shared" si="66"/>
        <v/>
      </c>
      <c r="H759" s="559" t="str">
        <f t="shared" si="67"/>
        <v/>
      </c>
      <c r="I759" s="559" t="str">
        <f t="shared" si="68"/>
        <v/>
      </c>
    </row>
    <row r="760" spans="2:9">
      <c r="B760" s="555" t="str">
        <f t="shared" si="63"/>
        <v/>
      </c>
      <c r="C760" s="556" t="str">
        <f t="shared" si="64"/>
        <v/>
      </c>
      <c r="D760" s="557" t="str">
        <f t="shared" si="65"/>
        <v/>
      </c>
      <c r="E760" s="560"/>
      <c r="F760" s="559"/>
      <c r="G760" s="559" t="str">
        <f t="shared" si="66"/>
        <v/>
      </c>
      <c r="H760" s="559" t="str">
        <f t="shared" si="67"/>
        <v/>
      </c>
      <c r="I760" s="559" t="str">
        <f t="shared" si="68"/>
        <v/>
      </c>
    </row>
    <row r="761" spans="2:9">
      <c r="B761" s="555" t="str">
        <f t="shared" si="63"/>
        <v/>
      </c>
      <c r="C761" s="556" t="str">
        <f t="shared" si="64"/>
        <v/>
      </c>
      <c r="D761" s="557" t="str">
        <f t="shared" si="65"/>
        <v/>
      </c>
      <c r="E761" s="560"/>
      <c r="F761" s="559"/>
      <c r="G761" s="559" t="str">
        <f t="shared" si="66"/>
        <v/>
      </c>
      <c r="H761" s="559" t="str">
        <f t="shared" si="67"/>
        <v/>
      </c>
      <c r="I761" s="559" t="str">
        <f t="shared" si="68"/>
        <v/>
      </c>
    </row>
    <row r="762" spans="2:9">
      <c r="B762" s="555" t="str">
        <f t="shared" si="63"/>
        <v/>
      </c>
      <c r="C762" s="556" t="str">
        <f t="shared" si="64"/>
        <v/>
      </c>
      <c r="D762" s="557" t="str">
        <f t="shared" si="65"/>
        <v/>
      </c>
      <c r="E762" s="560"/>
      <c r="F762" s="559"/>
      <c r="G762" s="559" t="str">
        <f t="shared" si="66"/>
        <v/>
      </c>
      <c r="H762" s="559" t="str">
        <f t="shared" si="67"/>
        <v/>
      </c>
      <c r="I762" s="559" t="str">
        <f t="shared" si="68"/>
        <v/>
      </c>
    </row>
    <row r="763" spans="2:9">
      <c r="B763" s="555" t="str">
        <f t="shared" si="63"/>
        <v/>
      </c>
      <c r="C763" s="556" t="str">
        <f t="shared" si="64"/>
        <v/>
      </c>
      <c r="D763" s="557" t="str">
        <f t="shared" si="65"/>
        <v/>
      </c>
      <c r="E763" s="560"/>
      <c r="F763" s="559"/>
      <c r="G763" s="559" t="str">
        <f t="shared" si="66"/>
        <v/>
      </c>
      <c r="H763" s="559" t="str">
        <f t="shared" si="67"/>
        <v/>
      </c>
      <c r="I763" s="559" t="str">
        <f t="shared" si="68"/>
        <v/>
      </c>
    </row>
    <row r="764" spans="2:9">
      <c r="B764" s="555" t="str">
        <f t="shared" si="63"/>
        <v/>
      </c>
      <c r="C764" s="556" t="str">
        <f t="shared" si="64"/>
        <v/>
      </c>
      <c r="D764" s="557" t="str">
        <f t="shared" si="65"/>
        <v/>
      </c>
      <c r="E764" s="560"/>
      <c r="F764" s="559"/>
      <c r="G764" s="559" t="str">
        <f t="shared" si="66"/>
        <v/>
      </c>
      <c r="H764" s="559" t="str">
        <f t="shared" si="67"/>
        <v/>
      </c>
      <c r="I764" s="559" t="str">
        <f t="shared" si="68"/>
        <v/>
      </c>
    </row>
    <row r="765" spans="2:9">
      <c r="B765" s="555" t="str">
        <f t="shared" ref="B765:B828" si="69">IF(I764="","",IF(roundOpt,IF(OR(B764&gt;=nper,ROUND(I764,2)&lt;=0),"",B764+1),IF(OR(B764&gt;=nper,I764&lt;=0),"",B764+1)))</f>
        <v/>
      </c>
      <c r="C765" s="556" t="str">
        <f t="shared" ref="C765:C828" si="70">IF(B765="","",IF(OR(periods_per_year=26,periods_per_year=52),IF(periods_per_year=26,IF(B765=1,fpdate,C764+14),IF(periods_per_year=52,IF(B765=1,fpdate,C764+7),"n/a")),IF(periods_per_year=24,DATE(YEAR(fpdate),MONTH(fpdate)+(B765-1)/2+IF(AND(DAY(fpdate)&gt;=15,MOD(B765,2)=0),1,0),IF(MOD(B765,2)=0,IF(DAY(fpdate)&gt;=15,DAY(fpdate)-14,DAY(fpdate)+14),DAY(fpdate))),IF(DAY(DATE(YEAR(fpdate),MONTH(fpdate)+(B765-1)*months_per_period,DAY(fpdate)))&lt;&gt;DAY(fpdate),DATE(YEAR(fpdate),MONTH(fpdate)+(B765-1)*months_per_period+1,0),DATE(YEAR(fpdate),MONTH(fpdate)+(B765-1)*months_per_period,DAY(fpdate))))))</f>
        <v/>
      </c>
      <c r="D765" s="557" t="str">
        <f t="shared" ref="D765:D828" si="71">IF(B765="","",IF(roundOpt,IF(OR(B765=nper,payment&gt;ROUND((1+rate)*I764,2)),ROUND((1+rate)*I764,2),payment),IF(OR(B765=nper,payment&gt;(1+rate)*I764),(1+rate)*I764,payment)))</f>
        <v/>
      </c>
      <c r="E765" s="560"/>
      <c r="F765" s="559"/>
      <c r="G765" s="559" t="str">
        <f t="shared" ref="G765:G828" si="72">IF(B765="","",IF(AND(B765=1,pmtType=1),0,IF(roundOpt,ROUND(rate*I764,2),rate*I764)))</f>
        <v/>
      </c>
      <c r="H765" s="559" t="str">
        <f t="shared" ref="H765:H828" si="73">IF(B765="","",D765-G765+E765)</f>
        <v/>
      </c>
      <c r="I765" s="559" t="str">
        <f t="shared" ref="I765:I828" si="74">IF(B765="","",I764-H765)</f>
        <v/>
      </c>
    </row>
    <row r="766" spans="2:9">
      <c r="B766" s="555" t="str">
        <f t="shared" si="69"/>
        <v/>
      </c>
      <c r="C766" s="556" t="str">
        <f t="shared" si="70"/>
        <v/>
      </c>
      <c r="D766" s="557" t="str">
        <f t="shared" si="71"/>
        <v/>
      </c>
      <c r="E766" s="560"/>
      <c r="F766" s="559"/>
      <c r="G766" s="559" t="str">
        <f t="shared" si="72"/>
        <v/>
      </c>
      <c r="H766" s="559" t="str">
        <f t="shared" si="73"/>
        <v/>
      </c>
      <c r="I766" s="559" t="str">
        <f t="shared" si="74"/>
        <v/>
      </c>
    </row>
    <row r="767" spans="2:9">
      <c r="B767" s="555" t="str">
        <f t="shared" si="69"/>
        <v/>
      </c>
      <c r="C767" s="556" t="str">
        <f t="shared" si="70"/>
        <v/>
      </c>
      <c r="D767" s="557" t="str">
        <f t="shared" si="71"/>
        <v/>
      </c>
      <c r="E767" s="560"/>
      <c r="F767" s="559"/>
      <c r="G767" s="559" t="str">
        <f t="shared" si="72"/>
        <v/>
      </c>
      <c r="H767" s="559" t="str">
        <f t="shared" si="73"/>
        <v/>
      </c>
      <c r="I767" s="559" t="str">
        <f t="shared" si="74"/>
        <v/>
      </c>
    </row>
    <row r="768" spans="2:9">
      <c r="B768" s="555" t="str">
        <f t="shared" si="69"/>
        <v/>
      </c>
      <c r="C768" s="556" t="str">
        <f t="shared" si="70"/>
        <v/>
      </c>
      <c r="D768" s="557" t="str">
        <f t="shared" si="71"/>
        <v/>
      </c>
      <c r="E768" s="560"/>
      <c r="F768" s="559"/>
      <c r="G768" s="559" t="str">
        <f t="shared" si="72"/>
        <v/>
      </c>
      <c r="H768" s="559" t="str">
        <f t="shared" si="73"/>
        <v/>
      </c>
      <c r="I768" s="559" t="str">
        <f t="shared" si="74"/>
        <v/>
      </c>
    </row>
    <row r="769" spans="2:9">
      <c r="B769" s="555" t="str">
        <f t="shared" si="69"/>
        <v/>
      </c>
      <c r="C769" s="556" t="str">
        <f t="shared" si="70"/>
        <v/>
      </c>
      <c r="D769" s="557" t="str">
        <f t="shared" si="71"/>
        <v/>
      </c>
      <c r="E769" s="560"/>
      <c r="F769" s="559"/>
      <c r="G769" s="559" t="str">
        <f t="shared" si="72"/>
        <v/>
      </c>
      <c r="H769" s="559" t="str">
        <f t="shared" si="73"/>
        <v/>
      </c>
      <c r="I769" s="559" t="str">
        <f t="shared" si="74"/>
        <v/>
      </c>
    </row>
    <row r="770" spans="2:9">
      <c r="B770" s="555" t="str">
        <f t="shared" si="69"/>
        <v/>
      </c>
      <c r="C770" s="556" t="str">
        <f t="shared" si="70"/>
        <v/>
      </c>
      <c r="D770" s="557" t="str">
        <f t="shared" si="71"/>
        <v/>
      </c>
      <c r="E770" s="560"/>
      <c r="F770" s="559"/>
      <c r="G770" s="559" t="str">
        <f t="shared" si="72"/>
        <v/>
      </c>
      <c r="H770" s="559" t="str">
        <f t="shared" si="73"/>
        <v/>
      </c>
      <c r="I770" s="559" t="str">
        <f t="shared" si="74"/>
        <v/>
      </c>
    </row>
    <row r="771" spans="2:9">
      <c r="B771" s="555" t="str">
        <f t="shared" si="69"/>
        <v/>
      </c>
      <c r="C771" s="556" t="str">
        <f t="shared" si="70"/>
        <v/>
      </c>
      <c r="D771" s="557" t="str">
        <f t="shared" si="71"/>
        <v/>
      </c>
      <c r="E771" s="560"/>
      <c r="F771" s="559"/>
      <c r="G771" s="559" t="str">
        <f t="shared" si="72"/>
        <v/>
      </c>
      <c r="H771" s="559" t="str">
        <f t="shared" si="73"/>
        <v/>
      </c>
      <c r="I771" s="559" t="str">
        <f t="shared" si="74"/>
        <v/>
      </c>
    </row>
    <row r="772" spans="2:9">
      <c r="B772" s="555" t="str">
        <f t="shared" si="69"/>
        <v/>
      </c>
      <c r="C772" s="556" t="str">
        <f t="shared" si="70"/>
        <v/>
      </c>
      <c r="D772" s="557" t="str">
        <f t="shared" si="71"/>
        <v/>
      </c>
      <c r="E772" s="560"/>
      <c r="F772" s="559"/>
      <c r="G772" s="559" t="str">
        <f t="shared" si="72"/>
        <v/>
      </c>
      <c r="H772" s="559" t="str">
        <f t="shared" si="73"/>
        <v/>
      </c>
      <c r="I772" s="559" t="str">
        <f t="shared" si="74"/>
        <v/>
      </c>
    </row>
    <row r="773" spans="2:9">
      <c r="B773" s="555" t="str">
        <f t="shared" si="69"/>
        <v/>
      </c>
      <c r="C773" s="556" t="str">
        <f t="shared" si="70"/>
        <v/>
      </c>
      <c r="D773" s="557" t="str">
        <f t="shared" si="71"/>
        <v/>
      </c>
      <c r="E773" s="560"/>
      <c r="F773" s="559"/>
      <c r="G773" s="559" t="str">
        <f t="shared" si="72"/>
        <v/>
      </c>
      <c r="H773" s="559" t="str">
        <f t="shared" si="73"/>
        <v/>
      </c>
      <c r="I773" s="559" t="str">
        <f t="shared" si="74"/>
        <v/>
      </c>
    </row>
    <row r="774" spans="2:9">
      <c r="B774" s="555" t="str">
        <f t="shared" si="69"/>
        <v/>
      </c>
      <c r="C774" s="556" t="str">
        <f t="shared" si="70"/>
        <v/>
      </c>
      <c r="D774" s="557" t="str">
        <f t="shared" si="71"/>
        <v/>
      </c>
      <c r="E774" s="560"/>
      <c r="F774" s="559"/>
      <c r="G774" s="559" t="str">
        <f t="shared" si="72"/>
        <v/>
      </c>
      <c r="H774" s="559" t="str">
        <f t="shared" si="73"/>
        <v/>
      </c>
      <c r="I774" s="559" t="str">
        <f t="shared" si="74"/>
        <v/>
      </c>
    </row>
    <row r="775" spans="2:9">
      <c r="B775" s="555" t="str">
        <f t="shared" si="69"/>
        <v/>
      </c>
      <c r="C775" s="556" t="str">
        <f t="shared" si="70"/>
        <v/>
      </c>
      <c r="D775" s="557" t="str">
        <f t="shared" si="71"/>
        <v/>
      </c>
      <c r="E775" s="560"/>
      <c r="F775" s="559"/>
      <c r="G775" s="559" t="str">
        <f t="shared" si="72"/>
        <v/>
      </c>
      <c r="H775" s="559" t="str">
        <f t="shared" si="73"/>
        <v/>
      </c>
      <c r="I775" s="559" t="str">
        <f t="shared" si="74"/>
        <v/>
      </c>
    </row>
    <row r="776" spans="2:9">
      <c r="B776" s="555" t="str">
        <f t="shared" si="69"/>
        <v/>
      </c>
      <c r="C776" s="556" t="str">
        <f t="shared" si="70"/>
        <v/>
      </c>
      <c r="D776" s="557" t="str">
        <f t="shared" si="71"/>
        <v/>
      </c>
      <c r="E776" s="560"/>
      <c r="F776" s="559"/>
      <c r="G776" s="559" t="str">
        <f t="shared" si="72"/>
        <v/>
      </c>
      <c r="H776" s="559" t="str">
        <f t="shared" si="73"/>
        <v/>
      </c>
      <c r="I776" s="559" t="str">
        <f t="shared" si="74"/>
        <v/>
      </c>
    </row>
    <row r="777" spans="2:9">
      <c r="B777" s="555" t="str">
        <f t="shared" si="69"/>
        <v/>
      </c>
      <c r="C777" s="556" t="str">
        <f t="shared" si="70"/>
        <v/>
      </c>
      <c r="D777" s="557" t="str">
        <f t="shared" si="71"/>
        <v/>
      </c>
      <c r="E777" s="560"/>
      <c r="F777" s="559"/>
      <c r="G777" s="559" t="str">
        <f t="shared" si="72"/>
        <v/>
      </c>
      <c r="H777" s="559" t="str">
        <f t="shared" si="73"/>
        <v/>
      </c>
      <c r="I777" s="559" t="str">
        <f t="shared" si="74"/>
        <v/>
      </c>
    </row>
    <row r="778" spans="2:9">
      <c r="B778" s="555" t="str">
        <f t="shared" si="69"/>
        <v/>
      </c>
      <c r="C778" s="556" t="str">
        <f t="shared" si="70"/>
        <v/>
      </c>
      <c r="D778" s="557" t="str">
        <f t="shared" si="71"/>
        <v/>
      </c>
      <c r="E778" s="560"/>
      <c r="F778" s="559"/>
      <c r="G778" s="559" t="str">
        <f t="shared" si="72"/>
        <v/>
      </c>
      <c r="H778" s="559" t="str">
        <f t="shared" si="73"/>
        <v/>
      </c>
      <c r="I778" s="559" t="str">
        <f t="shared" si="74"/>
        <v/>
      </c>
    </row>
    <row r="779" spans="2:9">
      <c r="B779" s="555" t="str">
        <f t="shared" si="69"/>
        <v/>
      </c>
      <c r="C779" s="556" t="str">
        <f t="shared" si="70"/>
        <v/>
      </c>
      <c r="D779" s="557" t="str">
        <f t="shared" si="71"/>
        <v/>
      </c>
      <c r="E779" s="560"/>
      <c r="F779" s="559"/>
      <c r="G779" s="559" t="str">
        <f t="shared" si="72"/>
        <v/>
      </c>
      <c r="H779" s="559" t="str">
        <f t="shared" si="73"/>
        <v/>
      </c>
      <c r="I779" s="559" t="str">
        <f t="shared" si="74"/>
        <v/>
      </c>
    </row>
    <row r="780" spans="2:9">
      <c r="B780" s="555" t="str">
        <f t="shared" si="69"/>
        <v/>
      </c>
      <c r="C780" s="556" t="str">
        <f t="shared" si="70"/>
        <v/>
      </c>
      <c r="D780" s="557" t="str">
        <f t="shared" si="71"/>
        <v/>
      </c>
      <c r="E780" s="560"/>
      <c r="F780" s="559"/>
      <c r="G780" s="559" t="str">
        <f t="shared" si="72"/>
        <v/>
      </c>
      <c r="H780" s="559" t="str">
        <f t="shared" si="73"/>
        <v/>
      </c>
      <c r="I780" s="559" t="str">
        <f t="shared" si="74"/>
        <v/>
      </c>
    </row>
    <row r="781" spans="2:9">
      <c r="B781" s="555" t="str">
        <f t="shared" si="69"/>
        <v/>
      </c>
      <c r="C781" s="556" t="str">
        <f t="shared" si="70"/>
        <v/>
      </c>
      <c r="D781" s="557" t="str">
        <f t="shared" si="71"/>
        <v/>
      </c>
      <c r="E781" s="560"/>
      <c r="F781" s="559"/>
      <c r="G781" s="559" t="str">
        <f t="shared" si="72"/>
        <v/>
      </c>
      <c r="H781" s="559" t="str">
        <f t="shared" si="73"/>
        <v/>
      </c>
      <c r="I781" s="559" t="str">
        <f t="shared" si="74"/>
        <v/>
      </c>
    </row>
    <row r="782" spans="2:9">
      <c r="B782" s="555" t="str">
        <f t="shared" si="69"/>
        <v/>
      </c>
      <c r="C782" s="556" t="str">
        <f t="shared" si="70"/>
        <v/>
      </c>
      <c r="D782" s="557" t="str">
        <f t="shared" si="71"/>
        <v/>
      </c>
      <c r="E782" s="560"/>
      <c r="F782" s="559"/>
      <c r="G782" s="559" t="str">
        <f t="shared" si="72"/>
        <v/>
      </c>
      <c r="H782" s="559" t="str">
        <f t="shared" si="73"/>
        <v/>
      </c>
      <c r="I782" s="559" t="str">
        <f t="shared" si="74"/>
        <v/>
      </c>
    </row>
    <row r="783" spans="2:9">
      <c r="B783" s="555" t="str">
        <f t="shared" si="69"/>
        <v/>
      </c>
      <c r="C783" s="556" t="str">
        <f t="shared" si="70"/>
        <v/>
      </c>
      <c r="D783" s="557" t="str">
        <f t="shared" si="71"/>
        <v/>
      </c>
      <c r="E783" s="560"/>
      <c r="F783" s="559"/>
      <c r="G783" s="559" t="str">
        <f t="shared" si="72"/>
        <v/>
      </c>
      <c r="H783" s="559" t="str">
        <f t="shared" si="73"/>
        <v/>
      </c>
      <c r="I783" s="559" t="str">
        <f t="shared" si="74"/>
        <v/>
      </c>
    </row>
    <row r="784" spans="2:9">
      <c r="B784" s="555" t="str">
        <f t="shared" si="69"/>
        <v/>
      </c>
      <c r="C784" s="556" t="str">
        <f t="shared" si="70"/>
        <v/>
      </c>
      <c r="D784" s="557" t="str">
        <f t="shared" si="71"/>
        <v/>
      </c>
      <c r="E784" s="560"/>
      <c r="F784" s="559"/>
      <c r="G784" s="559" t="str">
        <f t="shared" si="72"/>
        <v/>
      </c>
      <c r="H784" s="559" t="str">
        <f t="shared" si="73"/>
        <v/>
      </c>
      <c r="I784" s="559" t="str">
        <f t="shared" si="74"/>
        <v/>
      </c>
    </row>
    <row r="785" spans="2:9">
      <c r="B785" s="555" t="str">
        <f t="shared" si="69"/>
        <v/>
      </c>
      <c r="C785" s="556" t="str">
        <f t="shared" si="70"/>
        <v/>
      </c>
      <c r="D785" s="557" t="str">
        <f t="shared" si="71"/>
        <v/>
      </c>
      <c r="E785" s="560"/>
      <c r="F785" s="559"/>
      <c r="G785" s="559" t="str">
        <f t="shared" si="72"/>
        <v/>
      </c>
      <c r="H785" s="559" t="str">
        <f t="shared" si="73"/>
        <v/>
      </c>
      <c r="I785" s="559" t="str">
        <f t="shared" si="74"/>
        <v/>
      </c>
    </row>
    <row r="786" spans="2:9">
      <c r="B786" s="555" t="str">
        <f t="shared" si="69"/>
        <v/>
      </c>
      <c r="C786" s="556" t="str">
        <f t="shared" si="70"/>
        <v/>
      </c>
      <c r="D786" s="557" t="str">
        <f t="shared" si="71"/>
        <v/>
      </c>
      <c r="E786" s="560"/>
      <c r="F786" s="559"/>
      <c r="G786" s="559" t="str">
        <f t="shared" si="72"/>
        <v/>
      </c>
      <c r="H786" s="559" t="str">
        <f t="shared" si="73"/>
        <v/>
      </c>
      <c r="I786" s="559" t="str">
        <f t="shared" si="74"/>
        <v/>
      </c>
    </row>
    <row r="787" spans="2:9">
      <c r="B787" s="555" t="str">
        <f t="shared" si="69"/>
        <v/>
      </c>
      <c r="C787" s="556" t="str">
        <f t="shared" si="70"/>
        <v/>
      </c>
      <c r="D787" s="557" t="str">
        <f t="shared" si="71"/>
        <v/>
      </c>
      <c r="E787" s="560"/>
      <c r="F787" s="559"/>
      <c r="G787" s="559" t="str">
        <f t="shared" si="72"/>
        <v/>
      </c>
      <c r="H787" s="559" t="str">
        <f t="shared" si="73"/>
        <v/>
      </c>
      <c r="I787" s="559" t="str">
        <f t="shared" si="74"/>
        <v/>
      </c>
    </row>
    <row r="788" spans="2:9">
      <c r="B788" s="555" t="str">
        <f t="shared" si="69"/>
        <v/>
      </c>
      <c r="C788" s="556" t="str">
        <f t="shared" si="70"/>
        <v/>
      </c>
      <c r="D788" s="557" t="str">
        <f t="shared" si="71"/>
        <v/>
      </c>
      <c r="E788" s="560"/>
      <c r="F788" s="559"/>
      <c r="G788" s="559" t="str">
        <f t="shared" si="72"/>
        <v/>
      </c>
      <c r="H788" s="559" t="str">
        <f t="shared" si="73"/>
        <v/>
      </c>
      <c r="I788" s="559" t="str">
        <f t="shared" si="74"/>
        <v/>
      </c>
    </row>
    <row r="789" spans="2:9">
      <c r="B789" s="555" t="str">
        <f t="shared" si="69"/>
        <v/>
      </c>
      <c r="C789" s="556" t="str">
        <f t="shared" si="70"/>
        <v/>
      </c>
      <c r="D789" s="557" t="str">
        <f t="shared" si="71"/>
        <v/>
      </c>
      <c r="E789" s="560"/>
      <c r="F789" s="559"/>
      <c r="G789" s="559" t="str">
        <f t="shared" si="72"/>
        <v/>
      </c>
      <c r="H789" s="559" t="str">
        <f t="shared" si="73"/>
        <v/>
      </c>
      <c r="I789" s="559" t="str">
        <f t="shared" si="74"/>
        <v/>
      </c>
    </row>
    <row r="790" spans="2:9">
      <c r="B790" s="555" t="str">
        <f t="shared" si="69"/>
        <v/>
      </c>
      <c r="C790" s="556" t="str">
        <f t="shared" si="70"/>
        <v/>
      </c>
      <c r="D790" s="557" t="str">
        <f t="shared" si="71"/>
        <v/>
      </c>
      <c r="E790" s="560"/>
      <c r="F790" s="559"/>
      <c r="G790" s="559" t="str">
        <f t="shared" si="72"/>
        <v/>
      </c>
      <c r="H790" s="559" t="str">
        <f t="shared" si="73"/>
        <v/>
      </c>
      <c r="I790" s="559" t="str">
        <f t="shared" si="74"/>
        <v/>
      </c>
    </row>
    <row r="791" spans="2:9">
      <c r="B791" s="555" t="str">
        <f t="shared" si="69"/>
        <v/>
      </c>
      <c r="C791" s="556" t="str">
        <f t="shared" si="70"/>
        <v/>
      </c>
      <c r="D791" s="557" t="str">
        <f t="shared" si="71"/>
        <v/>
      </c>
      <c r="E791" s="560"/>
      <c r="F791" s="559"/>
      <c r="G791" s="559" t="str">
        <f t="shared" si="72"/>
        <v/>
      </c>
      <c r="H791" s="559" t="str">
        <f t="shared" si="73"/>
        <v/>
      </c>
      <c r="I791" s="559" t="str">
        <f t="shared" si="74"/>
        <v/>
      </c>
    </row>
    <row r="792" spans="2:9">
      <c r="B792" s="555" t="str">
        <f t="shared" si="69"/>
        <v/>
      </c>
      <c r="C792" s="556" t="str">
        <f t="shared" si="70"/>
        <v/>
      </c>
      <c r="D792" s="557" t="str">
        <f t="shared" si="71"/>
        <v/>
      </c>
      <c r="E792" s="560"/>
      <c r="F792" s="559"/>
      <c r="G792" s="559" t="str">
        <f t="shared" si="72"/>
        <v/>
      </c>
      <c r="H792" s="559" t="str">
        <f t="shared" si="73"/>
        <v/>
      </c>
      <c r="I792" s="559" t="str">
        <f t="shared" si="74"/>
        <v/>
      </c>
    </row>
    <row r="793" spans="2:9">
      <c r="B793" s="555" t="str">
        <f t="shared" si="69"/>
        <v/>
      </c>
      <c r="C793" s="556" t="str">
        <f t="shared" si="70"/>
        <v/>
      </c>
      <c r="D793" s="557" t="str">
        <f t="shared" si="71"/>
        <v/>
      </c>
      <c r="E793" s="560"/>
      <c r="F793" s="559"/>
      <c r="G793" s="559" t="str">
        <f t="shared" si="72"/>
        <v/>
      </c>
      <c r="H793" s="559" t="str">
        <f t="shared" si="73"/>
        <v/>
      </c>
      <c r="I793" s="559" t="str">
        <f t="shared" si="74"/>
        <v/>
      </c>
    </row>
    <row r="794" spans="2:9">
      <c r="B794" s="555" t="str">
        <f t="shared" si="69"/>
        <v/>
      </c>
      <c r="C794" s="556" t="str">
        <f t="shared" si="70"/>
        <v/>
      </c>
      <c r="D794" s="557" t="str">
        <f t="shared" si="71"/>
        <v/>
      </c>
      <c r="E794" s="560"/>
      <c r="F794" s="559"/>
      <c r="G794" s="559" t="str">
        <f t="shared" si="72"/>
        <v/>
      </c>
      <c r="H794" s="559" t="str">
        <f t="shared" si="73"/>
        <v/>
      </c>
      <c r="I794" s="559" t="str">
        <f t="shared" si="74"/>
        <v/>
      </c>
    </row>
    <row r="795" spans="2:9">
      <c r="B795" s="555" t="str">
        <f t="shared" si="69"/>
        <v/>
      </c>
      <c r="C795" s="556" t="str">
        <f t="shared" si="70"/>
        <v/>
      </c>
      <c r="D795" s="557" t="str">
        <f t="shared" si="71"/>
        <v/>
      </c>
      <c r="E795" s="560"/>
      <c r="F795" s="559"/>
      <c r="G795" s="559" t="str">
        <f t="shared" si="72"/>
        <v/>
      </c>
      <c r="H795" s="559" t="str">
        <f t="shared" si="73"/>
        <v/>
      </c>
      <c r="I795" s="559" t="str">
        <f t="shared" si="74"/>
        <v/>
      </c>
    </row>
    <row r="796" spans="2:9">
      <c r="B796" s="555" t="str">
        <f t="shared" si="69"/>
        <v/>
      </c>
      <c r="C796" s="556" t="str">
        <f t="shared" si="70"/>
        <v/>
      </c>
      <c r="D796" s="557" t="str">
        <f t="shared" si="71"/>
        <v/>
      </c>
      <c r="E796" s="560"/>
      <c r="F796" s="559"/>
      <c r="G796" s="559" t="str">
        <f t="shared" si="72"/>
        <v/>
      </c>
      <c r="H796" s="559" t="str">
        <f t="shared" si="73"/>
        <v/>
      </c>
      <c r="I796" s="559" t="str">
        <f t="shared" si="74"/>
        <v/>
      </c>
    </row>
    <row r="797" spans="2:9">
      <c r="B797" s="555" t="str">
        <f t="shared" si="69"/>
        <v/>
      </c>
      <c r="C797" s="556" t="str">
        <f t="shared" si="70"/>
        <v/>
      </c>
      <c r="D797" s="557" t="str">
        <f t="shared" si="71"/>
        <v/>
      </c>
      <c r="E797" s="560"/>
      <c r="F797" s="559"/>
      <c r="G797" s="559" t="str">
        <f t="shared" si="72"/>
        <v/>
      </c>
      <c r="H797" s="559" t="str">
        <f t="shared" si="73"/>
        <v/>
      </c>
      <c r="I797" s="559" t="str">
        <f t="shared" si="74"/>
        <v/>
      </c>
    </row>
    <row r="798" spans="2:9">
      <c r="B798" s="555" t="str">
        <f t="shared" si="69"/>
        <v/>
      </c>
      <c r="C798" s="556" t="str">
        <f t="shared" si="70"/>
        <v/>
      </c>
      <c r="D798" s="557" t="str">
        <f t="shared" si="71"/>
        <v/>
      </c>
      <c r="E798" s="560"/>
      <c r="F798" s="559"/>
      <c r="G798" s="559" t="str">
        <f t="shared" si="72"/>
        <v/>
      </c>
      <c r="H798" s="559" t="str">
        <f t="shared" si="73"/>
        <v/>
      </c>
      <c r="I798" s="559" t="str">
        <f t="shared" si="74"/>
        <v/>
      </c>
    </row>
    <row r="799" spans="2:9">
      <c r="B799" s="555" t="str">
        <f t="shared" si="69"/>
        <v/>
      </c>
      <c r="C799" s="556" t="str">
        <f t="shared" si="70"/>
        <v/>
      </c>
      <c r="D799" s="557" t="str">
        <f t="shared" si="71"/>
        <v/>
      </c>
      <c r="E799" s="560"/>
      <c r="F799" s="559"/>
      <c r="G799" s="559" t="str">
        <f t="shared" si="72"/>
        <v/>
      </c>
      <c r="H799" s="559" t="str">
        <f t="shared" si="73"/>
        <v/>
      </c>
      <c r="I799" s="559" t="str">
        <f t="shared" si="74"/>
        <v/>
      </c>
    </row>
    <row r="800" spans="2:9">
      <c r="B800" s="555" t="str">
        <f t="shared" si="69"/>
        <v/>
      </c>
      <c r="C800" s="556" t="str">
        <f t="shared" si="70"/>
        <v/>
      </c>
      <c r="D800" s="557" t="str">
        <f t="shared" si="71"/>
        <v/>
      </c>
      <c r="E800" s="560"/>
      <c r="F800" s="559"/>
      <c r="G800" s="559" t="str">
        <f t="shared" si="72"/>
        <v/>
      </c>
      <c r="H800" s="559" t="str">
        <f t="shared" si="73"/>
        <v/>
      </c>
      <c r="I800" s="559" t="str">
        <f t="shared" si="74"/>
        <v/>
      </c>
    </row>
    <row r="801" spans="2:9">
      <c r="B801" s="555" t="str">
        <f t="shared" si="69"/>
        <v/>
      </c>
      <c r="C801" s="556" t="str">
        <f t="shared" si="70"/>
        <v/>
      </c>
      <c r="D801" s="557" t="str">
        <f t="shared" si="71"/>
        <v/>
      </c>
      <c r="E801" s="560"/>
      <c r="F801" s="559"/>
      <c r="G801" s="559" t="str">
        <f t="shared" si="72"/>
        <v/>
      </c>
      <c r="H801" s="559" t="str">
        <f t="shared" si="73"/>
        <v/>
      </c>
      <c r="I801" s="559" t="str">
        <f t="shared" si="74"/>
        <v/>
      </c>
    </row>
    <row r="802" spans="2:9">
      <c r="B802" s="555" t="str">
        <f t="shared" si="69"/>
        <v/>
      </c>
      <c r="C802" s="556" t="str">
        <f t="shared" si="70"/>
        <v/>
      </c>
      <c r="D802" s="557" t="str">
        <f t="shared" si="71"/>
        <v/>
      </c>
      <c r="E802" s="560"/>
      <c r="F802" s="559"/>
      <c r="G802" s="559" t="str">
        <f t="shared" si="72"/>
        <v/>
      </c>
      <c r="H802" s="559" t="str">
        <f t="shared" si="73"/>
        <v/>
      </c>
      <c r="I802" s="559" t="str">
        <f t="shared" si="74"/>
        <v/>
      </c>
    </row>
    <row r="803" spans="2:9">
      <c r="B803" s="555" t="str">
        <f t="shared" si="69"/>
        <v/>
      </c>
      <c r="C803" s="556" t="str">
        <f t="shared" si="70"/>
        <v/>
      </c>
      <c r="D803" s="557" t="str">
        <f t="shared" si="71"/>
        <v/>
      </c>
      <c r="E803" s="560"/>
      <c r="F803" s="559"/>
      <c r="G803" s="559" t="str">
        <f t="shared" si="72"/>
        <v/>
      </c>
      <c r="H803" s="559" t="str">
        <f t="shared" si="73"/>
        <v/>
      </c>
      <c r="I803" s="559" t="str">
        <f t="shared" si="74"/>
        <v/>
      </c>
    </row>
    <row r="804" spans="2:9">
      <c r="B804" s="555" t="str">
        <f t="shared" si="69"/>
        <v/>
      </c>
      <c r="C804" s="556" t="str">
        <f t="shared" si="70"/>
        <v/>
      </c>
      <c r="D804" s="557" t="str">
        <f t="shared" si="71"/>
        <v/>
      </c>
      <c r="E804" s="560"/>
      <c r="F804" s="559"/>
      <c r="G804" s="559" t="str">
        <f t="shared" si="72"/>
        <v/>
      </c>
      <c r="H804" s="559" t="str">
        <f t="shared" si="73"/>
        <v/>
      </c>
      <c r="I804" s="559" t="str">
        <f t="shared" si="74"/>
        <v/>
      </c>
    </row>
    <row r="805" spans="2:9">
      <c r="B805" s="555" t="str">
        <f t="shared" si="69"/>
        <v/>
      </c>
      <c r="C805" s="556" t="str">
        <f t="shared" si="70"/>
        <v/>
      </c>
      <c r="D805" s="557" t="str">
        <f t="shared" si="71"/>
        <v/>
      </c>
      <c r="E805" s="560"/>
      <c r="F805" s="559"/>
      <c r="G805" s="559" t="str">
        <f t="shared" si="72"/>
        <v/>
      </c>
      <c r="H805" s="559" t="str">
        <f t="shared" si="73"/>
        <v/>
      </c>
      <c r="I805" s="559" t="str">
        <f t="shared" si="74"/>
        <v/>
      </c>
    </row>
    <row r="806" spans="2:9">
      <c r="B806" s="555" t="str">
        <f t="shared" si="69"/>
        <v/>
      </c>
      <c r="C806" s="556" t="str">
        <f t="shared" si="70"/>
        <v/>
      </c>
      <c r="D806" s="557" t="str">
        <f t="shared" si="71"/>
        <v/>
      </c>
      <c r="E806" s="560"/>
      <c r="F806" s="559"/>
      <c r="G806" s="559" t="str">
        <f t="shared" si="72"/>
        <v/>
      </c>
      <c r="H806" s="559" t="str">
        <f t="shared" si="73"/>
        <v/>
      </c>
      <c r="I806" s="559" t="str">
        <f t="shared" si="74"/>
        <v/>
      </c>
    </row>
    <row r="807" spans="2:9">
      <c r="B807" s="555" t="str">
        <f t="shared" si="69"/>
        <v/>
      </c>
      <c r="C807" s="556" t="str">
        <f t="shared" si="70"/>
        <v/>
      </c>
      <c r="D807" s="557" t="str">
        <f t="shared" si="71"/>
        <v/>
      </c>
      <c r="E807" s="560"/>
      <c r="F807" s="559"/>
      <c r="G807" s="559" t="str">
        <f t="shared" si="72"/>
        <v/>
      </c>
      <c r="H807" s="559" t="str">
        <f t="shared" si="73"/>
        <v/>
      </c>
      <c r="I807" s="559" t="str">
        <f t="shared" si="74"/>
        <v/>
      </c>
    </row>
    <row r="808" spans="2:9">
      <c r="B808" s="555" t="str">
        <f t="shared" si="69"/>
        <v/>
      </c>
      <c r="C808" s="556" t="str">
        <f t="shared" si="70"/>
        <v/>
      </c>
      <c r="D808" s="557" t="str">
        <f t="shared" si="71"/>
        <v/>
      </c>
      <c r="E808" s="560"/>
      <c r="F808" s="559"/>
      <c r="G808" s="559" t="str">
        <f t="shared" si="72"/>
        <v/>
      </c>
      <c r="H808" s="559" t="str">
        <f t="shared" si="73"/>
        <v/>
      </c>
      <c r="I808" s="559" t="str">
        <f t="shared" si="74"/>
        <v/>
      </c>
    </row>
    <row r="809" spans="2:9">
      <c r="B809" s="555" t="str">
        <f t="shared" si="69"/>
        <v/>
      </c>
      <c r="C809" s="556" t="str">
        <f t="shared" si="70"/>
        <v/>
      </c>
      <c r="D809" s="557" t="str">
        <f t="shared" si="71"/>
        <v/>
      </c>
      <c r="E809" s="560"/>
      <c r="F809" s="559"/>
      <c r="G809" s="559" t="str">
        <f t="shared" si="72"/>
        <v/>
      </c>
      <c r="H809" s="559" t="str">
        <f t="shared" si="73"/>
        <v/>
      </c>
      <c r="I809" s="559" t="str">
        <f t="shared" si="74"/>
        <v/>
      </c>
    </row>
    <row r="810" spans="2:9">
      <c r="B810" s="555" t="str">
        <f t="shared" si="69"/>
        <v/>
      </c>
      <c r="C810" s="556" t="str">
        <f t="shared" si="70"/>
        <v/>
      </c>
      <c r="D810" s="557" t="str">
        <f t="shared" si="71"/>
        <v/>
      </c>
      <c r="E810" s="560"/>
      <c r="F810" s="559"/>
      <c r="G810" s="559" t="str">
        <f t="shared" si="72"/>
        <v/>
      </c>
      <c r="H810" s="559" t="str">
        <f t="shared" si="73"/>
        <v/>
      </c>
      <c r="I810" s="559" t="str">
        <f t="shared" si="74"/>
        <v/>
      </c>
    </row>
    <row r="811" spans="2:9">
      <c r="B811" s="555" t="str">
        <f t="shared" si="69"/>
        <v/>
      </c>
      <c r="C811" s="556" t="str">
        <f t="shared" si="70"/>
        <v/>
      </c>
      <c r="D811" s="557" t="str">
        <f t="shared" si="71"/>
        <v/>
      </c>
      <c r="E811" s="560"/>
      <c r="F811" s="559"/>
      <c r="G811" s="559" t="str">
        <f t="shared" si="72"/>
        <v/>
      </c>
      <c r="H811" s="559" t="str">
        <f t="shared" si="73"/>
        <v/>
      </c>
      <c r="I811" s="559" t="str">
        <f t="shared" si="74"/>
        <v/>
      </c>
    </row>
    <row r="812" spans="2:9">
      <c r="B812" s="555" t="str">
        <f t="shared" si="69"/>
        <v/>
      </c>
      <c r="C812" s="556" t="str">
        <f t="shared" si="70"/>
        <v/>
      </c>
      <c r="D812" s="557" t="str">
        <f t="shared" si="71"/>
        <v/>
      </c>
      <c r="E812" s="560"/>
      <c r="F812" s="559"/>
      <c r="G812" s="559" t="str">
        <f t="shared" si="72"/>
        <v/>
      </c>
      <c r="H812" s="559" t="str">
        <f t="shared" si="73"/>
        <v/>
      </c>
      <c r="I812" s="559" t="str">
        <f t="shared" si="74"/>
        <v/>
      </c>
    </row>
    <row r="813" spans="2:9">
      <c r="B813" s="555" t="str">
        <f t="shared" si="69"/>
        <v/>
      </c>
      <c r="C813" s="556" t="str">
        <f t="shared" si="70"/>
        <v/>
      </c>
      <c r="D813" s="557" t="str">
        <f t="shared" si="71"/>
        <v/>
      </c>
      <c r="E813" s="560"/>
      <c r="F813" s="559"/>
      <c r="G813" s="559" t="str">
        <f t="shared" si="72"/>
        <v/>
      </c>
      <c r="H813" s="559" t="str">
        <f t="shared" si="73"/>
        <v/>
      </c>
      <c r="I813" s="559" t="str">
        <f t="shared" si="74"/>
        <v/>
      </c>
    </row>
    <row r="814" spans="2:9">
      <c r="B814" s="555" t="str">
        <f t="shared" si="69"/>
        <v/>
      </c>
      <c r="C814" s="556" t="str">
        <f t="shared" si="70"/>
        <v/>
      </c>
      <c r="D814" s="557" t="str">
        <f t="shared" si="71"/>
        <v/>
      </c>
      <c r="E814" s="560"/>
      <c r="F814" s="559"/>
      <c r="G814" s="559" t="str">
        <f t="shared" si="72"/>
        <v/>
      </c>
      <c r="H814" s="559" t="str">
        <f t="shared" si="73"/>
        <v/>
      </c>
      <c r="I814" s="559" t="str">
        <f t="shared" si="74"/>
        <v/>
      </c>
    </row>
    <row r="815" spans="2:9">
      <c r="B815" s="555" t="str">
        <f t="shared" si="69"/>
        <v/>
      </c>
      <c r="C815" s="556" t="str">
        <f t="shared" si="70"/>
        <v/>
      </c>
      <c r="D815" s="557" t="str">
        <f t="shared" si="71"/>
        <v/>
      </c>
      <c r="E815" s="560"/>
      <c r="F815" s="559"/>
      <c r="G815" s="559" t="str">
        <f t="shared" si="72"/>
        <v/>
      </c>
      <c r="H815" s="559" t="str">
        <f t="shared" si="73"/>
        <v/>
      </c>
      <c r="I815" s="559" t="str">
        <f t="shared" si="74"/>
        <v/>
      </c>
    </row>
    <row r="816" spans="2:9">
      <c r="B816" s="555" t="str">
        <f t="shared" si="69"/>
        <v/>
      </c>
      <c r="C816" s="556" t="str">
        <f t="shared" si="70"/>
        <v/>
      </c>
      <c r="D816" s="557" t="str">
        <f t="shared" si="71"/>
        <v/>
      </c>
      <c r="E816" s="560"/>
      <c r="F816" s="559"/>
      <c r="G816" s="559" t="str">
        <f t="shared" si="72"/>
        <v/>
      </c>
      <c r="H816" s="559" t="str">
        <f t="shared" si="73"/>
        <v/>
      </c>
      <c r="I816" s="559" t="str">
        <f t="shared" si="74"/>
        <v/>
      </c>
    </row>
    <row r="817" spans="2:9">
      <c r="B817" s="555" t="str">
        <f t="shared" si="69"/>
        <v/>
      </c>
      <c r="C817" s="556" t="str">
        <f t="shared" si="70"/>
        <v/>
      </c>
      <c r="D817" s="557" t="str">
        <f t="shared" si="71"/>
        <v/>
      </c>
      <c r="E817" s="560"/>
      <c r="F817" s="559"/>
      <c r="G817" s="559" t="str">
        <f t="shared" si="72"/>
        <v/>
      </c>
      <c r="H817" s="559" t="str">
        <f t="shared" si="73"/>
        <v/>
      </c>
      <c r="I817" s="559" t="str">
        <f t="shared" si="74"/>
        <v/>
      </c>
    </row>
    <row r="818" spans="2:9">
      <c r="B818" s="555" t="str">
        <f t="shared" si="69"/>
        <v/>
      </c>
      <c r="C818" s="556" t="str">
        <f t="shared" si="70"/>
        <v/>
      </c>
      <c r="D818" s="557" t="str">
        <f t="shared" si="71"/>
        <v/>
      </c>
      <c r="E818" s="560"/>
      <c r="F818" s="559"/>
      <c r="G818" s="559" t="str">
        <f t="shared" si="72"/>
        <v/>
      </c>
      <c r="H818" s="559" t="str">
        <f t="shared" si="73"/>
        <v/>
      </c>
      <c r="I818" s="559" t="str">
        <f t="shared" si="74"/>
        <v/>
      </c>
    </row>
    <row r="819" spans="2:9">
      <c r="B819" s="555" t="str">
        <f t="shared" si="69"/>
        <v/>
      </c>
      <c r="C819" s="556" t="str">
        <f t="shared" si="70"/>
        <v/>
      </c>
      <c r="D819" s="557" t="str">
        <f t="shared" si="71"/>
        <v/>
      </c>
      <c r="E819" s="560"/>
      <c r="F819" s="559"/>
      <c r="G819" s="559" t="str">
        <f t="shared" si="72"/>
        <v/>
      </c>
      <c r="H819" s="559" t="str">
        <f t="shared" si="73"/>
        <v/>
      </c>
      <c r="I819" s="559" t="str">
        <f t="shared" si="74"/>
        <v/>
      </c>
    </row>
    <row r="820" spans="2:9">
      <c r="B820" s="555" t="str">
        <f t="shared" si="69"/>
        <v/>
      </c>
      <c r="C820" s="556" t="str">
        <f t="shared" si="70"/>
        <v/>
      </c>
      <c r="D820" s="557" t="str">
        <f t="shared" si="71"/>
        <v/>
      </c>
      <c r="E820" s="560"/>
      <c r="F820" s="559"/>
      <c r="G820" s="559" t="str">
        <f t="shared" si="72"/>
        <v/>
      </c>
      <c r="H820" s="559" t="str">
        <f t="shared" si="73"/>
        <v/>
      </c>
      <c r="I820" s="559" t="str">
        <f t="shared" si="74"/>
        <v/>
      </c>
    </row>
    <row r="821" spans="2:9">
      <c r="B821" s="555" t="str">
        <f t="shared" si="69"/>
        <v/>
      </c>
      <c r="C821" s="556" t="str">
        <f t="shared" si="70"/>
        <v/>
      </c>
      <c r="D821" s="557" t="str">
        <f t="shared" si="71"/>
        <v/>
      </c>
      <c r="E821" s="560"/>
      <c r="F821" s="559"/>
      <c r="G821" s="559" t="str">
        <f t="shared" si="72"/>
        <v/>
      </c>
      <c r="H821" s="559" t="str">
        <f t="shared" si="73"/>
        <v/>
      </c>
      <c r="I821" s="559" t="str">
        <f t="shared" si="74"/>
        <v/>
      </c>
    </row>
    <row r="822" spans="2:9">
      <c r="B822" s="555" t="str">
        <f t="shared" si="69"/>
        <v/>
      </c>
      <c r="C822" s="556" t="str">
        <f t="shared" si="70"/>
        <v/>
      </c>
      <c r="D822" s="557" t="str">
        <f t="shared" si="71"/>
        <v/>
      </c>
      <c r="E822" s="560"/>
      <c r="F822" s="559"/>
      <c r="G822" s="559" t="str">
        <f t="shared" si="72"/>
        <v/>
      </c>
      <c r="H822" s="559" t="str">
        <f t="shared" si="73"/>
        <v/>
      </c>
      <c r="I822" s="559" t="str">
        <f t="shared" si="74"/>
        <v/>
      </c>
    </row>
    <row r="823" spans="2:9">
      <c r="B823" s="555" t="str">
        <f t="shared" si="69"/>
        <v/>
      </c>
      <c r="C823" s="556" t="str">
        <f t="shared" si="70"/>
        <v/>
      </c>
      <c r="D823" s="557" t="str">
        <f t="shared" si="71"/>
        <v/>
      </c>
      <c r="E823" s="560"/>
      <c r="F823" s="559"/>
      <c r="G823" s="559" t="str">
        <f t="shared" si="72"/>
        <v/>
      </c>
      <c r="H823" s="559" t="str">
        <f t="shared" si="73"/>
        <v/>
      </c>
      <c r="I823" s="559" t="str">
        <f t="shared" si="74"/>
        <v/>
      </c>
    </row>
    <row r="824" spans="2:9">
      <c r="B824" s="555" t="str">
        <f t="shared" si="69"/>
        <v/>
      </c>
      <c r="C824" s="556" t="str">
        <f t="shared" si="70"/>
        <v/>
      </c>
      <c r="D824" s="557" t="str">
        <f t="shared" si="71"/>
        <v/>
      </c>
      <c r="E824" s="560"/>
      <c r="F824" s="559"/>
      <c r="G824" s="559" t="str">
        <f t="shared" si="72"/>
        <v/>
      </c>
      <c r="H824" s="559" t="str">
        <f t="shared" si="73"/>
        <v/>
      </c>
      <c r="I824" s="559" t="str">
        <f t="shared" si="74"/>
        <v/>
      </c>
    </row>
    <row r="825" spans="2:9">
      <c r="B825" s="555" t="str">
        <f t="shared" si="69"/>
        <v/>
      </c>
      <c r="C825" s="556" t="str">
        <f t="shared" si="70"/>
        <v/>
      </c>
      <c r="D825" s="557" t="str">
        <f t="shared" si="71"/>
        <v/>
      </c>
      <c r="E825" s="560"/>
      <c r="F825" s="559"/>
      <c r="G825" s="559" t="str">
        <f t="shared" si="72"/>
        <v/>
      </c>
      <c r="H825" s="559" t="str">
        <f t="shared" si="73"/>
        <v/>
      </c>
      <c r="I825" s="559" t="str">
        <f t="shared" si="74"/>
        <v/>
      </c>
    </row>
    <row r="826" spans="2:9">
      <c r="B826" s="555" t="str">
        <f t="shared" si="69"/>
        <v/>
      </c>
      <c r="C826" s="556" t="str">
        <f t="shared" si="70"/>
        <v/>
      </c>
      <c r="D826" s="557" t="str">
        <f t="shared" si="71"/>
        <v/>
      </c>
      <c r="E826" s="560"/>
      <c r="F826" s="559"/>
      <c r="G826" s="559" t="str">
        <f t="shared" si="72"/>
        <v/>
      </c>
      <c r="H826" s="559" t="str">
        <f t="shared" si="73"/>
        <v/>
      </c>
      <c r="I826" s="559" t="str">
        <f t="shared" si="74"/>
        <v/>
      </c>
    </row>
    <row r="827" spans="2:9">
      <c r="B827" s="555" t="str">
        <f t="shared" si="69"/>
        <v/>
      </c>
      <c r="C827" s="556" t="str">
        <f t="shared" si="70"/>
        <v/>
      </c>
      <c r="D827" s="557" t="str">
        <f t="shared" si="71"/>
        <v/>
      </c>
      <c r="E827" s="560"/>
      <c r="F827" s="559"/>
      <c r="G827" s="559" t="str">
        <f t="shared" si="72"/>
        <v/>
      </c>
      <c r="H827" s="559" t="str">
        <f t="shared" si="73"/>
        <v/>
      </c>
      <c r="I827" s="559" t="str">
        <f t="shared" si="74"/>
        <v/>
      </c>
    </row>
    <row r="828" spans="2:9">
      <c r="B828" s="555" t="str">
        <f t="shared" si="69"/>
        <v/>
      </c>
      <c r="C828" s="556" t="str">
        <f t="shared" si="70"/>
        <v/>
      </c>
      <c r="D828" s="557" t="str">
        <f t="shared" si="71"/>
        <v/>
      </c>
      <c r="E828" s="560"/>
      <c r="F828" s="559"/>
      <c r="G828" s="559" t="str">
        <f t="shared" si="72"/>
        <v/>
      </c>
      <c r="H828" s="559" t="str">
        <f t="shared" si="73"/>
        <v/>
      </c>
      <c r="I828" s="559" t="str">
        <f t="shared" si="74"/>
        <v/>
      </c>
    </row>
    <row r="829" spans="2:9">
      <c r="B829" s="555" t="str">
        <f t="shared" ref="B829:B840" si="75">IF(I828="","",IF(roundOpt,IF(OR(B828&gt;=nper,ROUND(I828,2)&lt;=0),"",B828+1),IF(OR(B828&gt;=nper,I828&lt;=0),"",B828+1)))</f>
        <v/>
      </c>
      <c r="C829" s="556" t="str">
        <f t="shared" ref="C829:C840" si="76">IF(B829="","",IF(OR(periods_per_year=26,periods_per_year=52),IF(periods_per_year=26,IF(B829=1,fpdate,C828+14),IF(periods_per_year=52,IF(B829=1,fpdate,C828+7),"n/a")),IF(periods_per_year=24,DATE(YEAR(fpdate),MONTH(fpdate)+(B829-1)/2+IF(AND(DAY(fpdate)&gt;=15,MOD(B829,2)=0),1,0),IF(MOD(B829,2)=0,IF(DAY(fpdate)&gt;=15,DAY(fpdate)-14,DAY(fpdate)+14),DAY(fpdate))),IF(DAY(DATE(YEAR(fpdate),MONTH(fpdate)+(B829-1)*months_per_period,DAY(fpdate)))&lt;&gt;DAY(fpdate),DATE(YEAR(fpdate),MONTH(fpdate)+(B829-1)*months_per_period+1,0),DATE(YEAR(fpdate),MONTH(fpdate)+(B829-1)*months_per_period,DAY(fpdate))))))</f>
        <v/>
      </c>
      <c r="D829" s="557" t="str">
        <f t="shared" ref="D829:D840" si="77">IF(B829="","",IF(roundOpt,IF(OR(B829=nper,payment&gt;ROUND((1+rate)*I828,2)),ROUND((1+rate)*I828,2),payment),IF(OR(B829=nper,payment&gt;(1+rate)*I828),(1+rate)*I828,payment)))</f>
        <v/>
      </c>
      <c r="E829" s="560"/>
      <c r="F829" s="559"/>
      <c r="G829" s="559" t="str">
        <f t="shared" ref="G829:G840" si="78">IF(B829="","",IF(AND(B829=1,pmtType=1),0,IF(roundOpt,ROUND(rate*I828,2),rate*I828)))</f>
        <v/>
      </c>
      <c r="H829" s="559" t="str">
        <f t="shared" ref="H829:H840" si="79">IF(B829="","",D829-G829+E829)</f>
        <v/>
      </c>
      <c r="I829" s="559" t="str">
        <f t="shared" ref="I829:I840" si="80">IF(B829="","",I828-H829)</f>
        <v/>
      </c>
    </row>
    <row r="830" spans="2:9">
      <c r="B830" s="555" t="str">
        <f t="shared" si="75"/>
        <v/>
      </c>
      <c r="C830" s="556" t="str">
        <f t="shared" si="76"/>
        <v/>
      </c>
      <c r="D830" s="557" t="str">
        <f t="shared" si="77"/>
        <v/>
      </c>
      <c r="E830" s="560"/>
      <c r="F830" s="559"/>
      <c r="G830" s="559" t="str">
        <f t="shared" si="78"/>
        <v/>
      </c>
      <c r="H830" s="559" t="str">
        <f t="shared" si="79"/>
        <v/>
      </c>
      <c r="I830" s="559" t="str">
        <f t="shared" si="80"/>
        <v/>
      </c>
    </row>
    <row r="831" spans="2:9">
      <c r="B831" s="555" t="str">
        <f t="shared" si="75"/>
        <v/>
      </c>
      <c r="C831" s="556" t="str">
        <f t="shared" si="76"/>
        <v/>
      </c>
      <c r="D831" s="557" t="str">
        <f t="shared" si="77"/>
        <v/>
      </c>
      <c r="E831" s="560"/>
      <c r="F831" s="559"/>
      <c r="G831" s="559" t="str">
        <f t="shared" si="78"/>
        <v/>
      </c>
      <c r="H831" s="559" t="str">
        <f t="shared" si="79"/>
        <v/>
      </c>
      <c r="I831" s="559" t="str">
        <f t="shared" si="80"/>
        <v/>
      </c>
    </row>
    <row r="832" spans="2:9">
      <c r="B832" s="555" t="str">
        <f t="shared" si="75"/>
        <v/>
      </c>
      <c r="C832" s="556" t="str">
        <f t="shared" si="76"/>
        <v/>
      </c>
      <c r="D832" s="557" t="str">
        <f t="shared" si="77"/>
        <v/>
      </c>
      <c r="E832" s="560"/>
      <c r="F832" s="559"/>
      <c r="G832" s="559" t="str">
        <f t="shared" si="78"/>
        <v/>
      </c>
      <c r="H832" s="559" t="str">
        <f t="shared" si="79"/>
        <v/>
      </c>
      <c r="I832" s="559" t="str">
        <f t="shared" si="80"/>
        <v/>
      </c>
    </row>
    <row r="833" spans="2:9">
      <c r="B833" s="555" t="str">
        <f t="shared" si="75"/>
        <v/>
      </c>
      <c r="C833" s="556" t="str">
        <f t="shared" si="76"/>
        <v/>
      </c>
      <c r="D833" s="557" t="str">
        <f t="shared" si="77"/>
        <v/>
      </c>
      <c r="E833" s="560"/>
      <c r="F833" s="559"/>
      <c r="G833" s="559" t="str">
        <f t="shared" si="78"/>
        <v/>
      </c>
      <c r="H833" s="559" t="str">
        <f t="shared" si="79"/>
        <v/>
      </c>
      <c r="I833" s="559" t="str">
        <f t="shared" si="80"/>
        <v/>
      </c>
    </row>
    <row r="834" spans="2:9">
      <c r="B834" s="555" t="str">
        <f t="shared" si="75"/>
        <v/>
      </c>
      <c r="C834" s="556" t="str">
        <f t="shared" si="76"/>
        <v/>
      </c>
      <c r="D834" s="557" t="str">
        <f t="shared" si="77"/>
        <v/>
      </c>
      <c r="E834" s="560"/>
      <c r="F834" s="559"/>
      <c r="G834" s="559" t="str">
        <f t="shared" si="78"/>
        <v/>
      </c>
      <c r="H834" s="559" t="str">
        <f t="shared" si="79"/>
        <v/>
      </c>
      <c r="I834" s="559" t="str">
        <f t="shared" si="80"/>
        <v/>
      </c>
    </row>
    <row r="835" spans="2:9">
      <c r="B835" s="555" t="str">
        <f t="shared" si="75"/>
        <v/>
      </c>
      <c r="C835" s="556" t="str">
        <f t="shared" si="76"/>
        <v/>
      </c>
      <c r="D835" s="557" t="str">
        <f t="shared" si="77"/>
        <v/>
      </c>
      <c r="E835" s="560"/>
      <c r="F835" s="559"/>
      <c r="G835" s="559" t="str">
        <f t="shared" si="78"/>
        <v/>
      </c>
      <c r="H835" s="559" t="str">
        <f t="shared" si="79"/>
        <v/>
      </c>
      <c r="I835" s="559" t="str">
        <f t="shared" si="80"/>
        <v/>
      </c>
    </row>
    <row r="836" spans="2:9">
      <c r="B836" s="555" t="str">
        <f t="shared" si="75"/>
        <v/>
      </c>
      <c r="C836" s="556" t="str">
        <f t="shared" si="76"/>
        <v/>
      </c>
      <c r="D836" s="557" t="str">
        <f t="shared" si="77"/>
        <v/>
      </c>
      <c r="E836" s="560"/>
      <c r="F836" s="559"/>
      <c r="G836" s="559" t="str">
        <f t="shared" si="78"/>
        <v/>
      </c>
      <c r="H836" s="559" t="str">
        <f t="shared" si="79"/>
        <v/>
      </c>
      <c r="I836" s="559" t="str">
        <f t="shared" si="80"/>
        <v/>
      </c>
    </row>
    <row r="837" spans="2:9">
      <c r="B837" s="555" t="str">
        <f t="shared" si="75"/>
        <v/>
      </c>
      <c r="C837" s="556" t="str">
        <f t="shared" si="76"/>
        <v/>
      </c>
      <c r="D837" s="557" t="str">
        <f t="shared" si="77"/>
        <v/>
      </c>
      <c r="E837" s="560"/>
      <c r="F837" s="559"/>
      <c r="G837" s="559" t="str">
        <f t="shared" si="78"/>
        <v/>
      </c>
      <c r="H837" s="559" t="str">
        <f t="shared" si="79"/>
        <v/>
      </c>
      <c r="I837" s="559" t="str">
        <f t="shared" si="80"/>
        <v/>
      </c>
    </row>
    <row r="838" spans="2:9">
      <c r="B838" s="555" t="str">
        <f t="shared" si="75"/>
        <v/>
      </c>
      <c r="C838" s="556" t="str">
        <f t="shared" si="76"/>
        <v/>
      </c>
      <c r="D838" s="557" t="str">
        <f t="shared" si="77"/>
        <v/>
      </c>
      <c r="E838" s="560"/>
      <c r="F838" s="559"/>
      <c r="G838" s="559" t="str">
        <f t="shared" si="78"/>
        <v/>
      </c>
      <c r="H838" s="559" t="str">
        <f t="shared" si="79"/>
        <v/>
      </c>
      <c r="I838" s="559" t="str">
        <f t="shared" si="80"/>
        <v/>
      </c>
    </row>
    <row r="839" spans="2:9">
      <c r="B839" s="555" t="str">
        <f t="shared" si="75"/>
        <v/>
      </c>
      <c r="C839" s="556" t="str">
        <f t="shared" si="76"/>
        <v/>
      </c>
      <c r="D839" s="557" t="str">
        <f t="shared" si="77"/>
        <v/>
      </c>
      <c r="E839" s="560"/>
      <c r="F839" s="559"/>
      <c r="G839" s="559" t="str">
        <f t="shared" si="78"/>
        <v/>
      </c>
      <c r="H839" s="559" t="str">
        <f t="shared" si="79"/>
        <v/>
      </c>
      <c r="I839" s="559" t="str">
        <f t="shared" si="80"/>
        <v/>
      </c>
    </row>
    <row r="840" spans="2:9">
      <c r="B840" s="555" t="str">
        <f t="shared" si="75"/>
        <v/>
      </c>
      <c r="C840" s="556" t="str">
        <f t="shared" si="76"/>
        <v/>
      </c>
      <c r="D840" s="557" t="str">
        <f t="shared" si="77"/>
        <v/>
      </c>
      <c r="E840" s="563"/>
      <c r="F840" s="559"/>
      <c r="G840" s="559" t="str">
        <f t="shared" si="78"/>
        <v/>
      </c>
      <c r="H840" s="559" t="str">
        <f t="shared" si="79"/>
        <v/>
      </c>
      <c r="I840" s="559" t="str">
        <f t="shared" si="80"/>
        <v/>
      </c>
    </row>
    <row r="841" spans="2:9">
      <c r="B841" s="564"/>
      <c r="C841" s="565"/>
      <c r="D841" s="565"/>
      <c r="E841" s="565" t="s">
        <v>712</v>
      </c>
      <c r="F841" s="565"/>
      <c r="G841" s="564"/>
      <c r="H841" s="564"/>
      <c r="I841" s="564"/>
    </row>
  </sheetData>
  <sheetProtection algorithmName="SHA-512" hashValue="9SgDbgIcVZRc+xHopQ3n9aYF+BCwikSdyOOwwR+cM3vo+oo2w+31i8v3jFciC2CrP5ygoIfUae/6855LgL4ueg==" saltValue="tISdReluZcaMd3LxuuOgRA==" spinCount="100000" sheet="1" formatCells="0" formatColumns="0" formatRows="0"/>
  <conditionalFormatting sqref="B61:I840">
    <cfRule type="expression" dxfId="15" priority="1" stopIfTrue="1">
      <formula>MOD($B61,periods_per_year)=0</formula>
    </cfRule>
  </conditionalFormatting>
  <conditionalFormatting sqref="E11">
    <cfRule type="expression" dxfId="14" priority="2" stopIfTrue="1">
      <formula>compound_period&gt;periods_per_year</formula>
    </cfRule>
  </conditionalFormatting>
  <dataValidations count="3">
    <dataValidation type="list" showInputMessage="1" showErrorMessage="1" sqref="E10:E11">
      <formula1>$J$6:$J$13</formula1>
    </dataValidation>
    <dataValidation type="list" showInputMessage="1" showErrorMessage="1" sqref="E13">
      <formula1>"On,Off"</formula1>
    </dataValidation>
    <dataValidation type="list" showInputMessage="1" showErrorMessage="1" sqref="E12">
      <formula1>"End of Period, Beginning of Period"</formula1>
    </dataValidation>
  </dataValidations>
  <printOptions horizontalCentered="1" headings="1" gridLines="1"/>
  <pageMargins left="0.5" right="0.5" top="0.85" bottom="0.5" header="0.5" footer="0.5"/>
  <pageSetup scale="52" fitToHeight="0" orientation="portrait" cellComments="asDisplayed" r:id="rId1"/>
  <headerFooter>
    <oddHeader>&amp;L&amp;F&amp;RPage &amp;P of &amp;N</oddHeader>
    <oddFooter>&amp;L&amp;A&amp;R&amp;D &amp;T</oddFooter>
    <firstFooter>&amp;R&amp;8Page &amp;P of &amp;N</first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1"/>
  <sheetViews>
    <sheetView view="pageBreakPreview" zoomScaleSheetLayoutView="100" workbookViewId="0"/>
  </sheetViews>
  <sheetFormatPr defaultColWidth="8.85546875" defaultRowHeight="15"/>
  <cols>
    <col min="1" max="1" width="17.140625" style="573" customWidth="1"/>
    <col min="2" max="3" width="16.5703125" style="573" customWidth="1"/>
    <col min="4" max="4" width="14.5703125" style="573" customWidth="1"/>
    <col min="5" max="5" width="16.5703125" style="573" customWidth="1"/>
    <col min="6" max="6" width="12.7109375" style="573" customWidth="1"/>
    <col min="7" max="7" width="16.5703125" style="573" customWidth="1"/>
    <col min="8" max="16384" width="8.85546875" style="573"/>
  </cols>
  <sheetData>
    <row r="1" spans="1:6" ht="15.75">
      <c r="A1" s="570" t="s">
        <v>722</v>
      </c>
      <c r="B1" s="570"/>
      <c r="C1" s="570"/>
      <c r="D1" s="570"/>
      <c r="E1" s="571"/>
      <c r="F1" s="572"/>
    </row>
    <row r="2" spans="1:6" ht="15.75">
      <c r="A2" s="574" t="s">
        <v>39</v>
      </c>
      <c r="B2" s="575">
        <f>Dashboard!G28</f>
        <v>150000000</v>
      </c>
      <c r="C2" s="576"/>
      <c r="D2" s="576"/>
      <c r="E2" s="576"/>
      <c r="F2" s="572"/>
    </row>
    <row r="3" spans="1:6" ht="15.75">
      <c r="A3" s="574" t="s">
        <v>40</v>
      </c>
      <c r="B3" s="577">
        <f>Dashboard!F9</f>
        <v>3.2500000000000001E-2</v>
      </c>
      <c r="C3" s="571"/>
      <c r="D3" s="571"/>
      <c r="E3" s="571"/>
      <c r="F3" s="572"/>
    </row>
    <row r="4" spans="1:6" ht="15.75">
      <c r="A4" s="574" t="s">
        <v>41</v>
      </c>
      <c r="B4" s="575">
        <f>Dashboard!G31</f>
        <v>0</v>
      </c>
      <c r="C4" s="578"/>
      <c r="D4" s="571"/>
      <c r="E4" s="571"/>
      <c r="F4" s="572"/>
    </row>
    <row r="5" spans="1:6" ht="15.75">
      <c r="A5" s="579" t="s">
        <v>42</v>
      </c>
      <c r="B5" s="579" t="s">
        <v>43</v>
      </c>
      <c r="C5" s="579" t="s">
        <v>44</v>
      </c>
      <c r="D5" s="580" t="s">
        <v>45</v>
      </c>
      <c r="E5" s="580" t="s">
        <v>46</v>
      </c>
      <c r="F5" s="581" t="s">
        <v>47</v>
      </c>
    </row>
    <row r="6" spans="1:6" ht="15.75">
      <c r="A6" s="581">
        <v>1</v>
      </c>
      <c r="B6" s="582">
        <f>B2</f>
        <v>150000000</v>
      </c>
      <c r="C6" s="582"/>
      <c r="D6" s="582">
        <f>+B6*$B$3*0.5</f>
        <v>2437500</v>
      </c>
      <c r="E6" s="583"/>
      <c r="F6" s="584">
        <f>Dashboard!E9</f>
        <v>2026</v>
      </c>
    </row>
    <row r="7" spans="1:6" ht="15.75">
      <c r="A7" s="581"/>
      <c r="B7" s="571">
        <f t="shared" ref="B7:B67" si="0">B6-C6</f>
        <v>150000000</v>
      </c>
      <c r="C7" s="571" t="e">
        <f>+B6/$B$4</f>
        <v>#DIV/0!</v>
      </c>
      <c r="D7" s="571">
        <f>+D6</f>
        <v>2437500</v>
      </c>
      <c r="E7" s="571" t="e">
        <f>SUM(C6:D7)</f>
        <v>#DIV/0!</v>
      </c>
      <c r="F7" s="585">
        <f>+F6</f>
        <v>2026</v>
      </c>
    </row>
    <row r="8" spans="1:6" ht="15.75">
      <c r="A8" s="581">
        <v>2</v>
      </c>
      <c r="B8" s="582" t="e">
        <f>B7-C7</f>
        <v>#DIV/0!</v>
      </c>
      <c r="C8" s="582"/>
      <c r="D8" s="582" t="e">
        <f>+B8*$B$3*0.5</f>
        <v>#DIV/0!</v>
      </c>
      <c r="E8" s="583"/>
      <c r="F8" s="586">
        <f>+F6+1</f>
        <v>2027</v>
      </c>
    </row>
    <row r="9" spans="1:6" ht="15.75">
      <c r="A9" s="581"/>
      <c r="B9" s="571" t="e">
        <f>B8-C8</f>
        <v>#DIV/0!</v>
      </c>
      <c r="C9" s="571" t="e">
        <f>+C7</f>
        <v>#DIV/0!</v>
      </c>
      <c r="D9" s="571" t="e">
        <f>+D8</f>
        <v>#DIV/0!</v>
      </c>
      <c r="E9" s="571">
        <f>IF($B$4&gt;1,SUM(C8:D9),0)</f>
        <v>0</v>
      </c>
      <c r="F9" s="585">
        <f>+F8</f>
        <v>2027</v>
      </c>
    </row>
    <row r="10" spans="1:6" ht="15.75">
      <c r="A10" s="581">
        <v>3</v>
      </c>
      <c r="B10" s="582" t="e">
        <f t="shared" si="0"/>
        <v>#DIV/0!</v>
      </c>
      <c r="C10" s="582"/>
      <c r="D10" s="582" t="e">
        <f>+B10*$B$3*0.5</f>
        <v>#DIV/0!</v>
      </c>
      <c r="E10" s="583"/>
      <c r="F10" s="586">
        <f>+F8+1</f>
        <v>2028</v>
      </c>
    </row>
    <row r="11" spans="1:6" ht="15.75">
      <c r="A11" s="581"/>
      <c r="B11" s="571" t="e">
        <f t="shared" si="0"/>
        <v>#DIV/0!</v>
      </c>
      <c r="C11" s="571" t="e">
        <f>+C9</f>
        <v>#DIV/0!</v>
      </c>
      <c r="D11" s="571" t="e">
        <f>+D10</f>
        <v>#DIV/0!</v>
      </c>
      <c r="E11" s="571">
        <f>IF($B$4&gt;2,SUM(C10:D11),0)</f>
        <v>0</v>
      </c>
      <c r="F11" s="585">
        <f>+F10</f>
        <v>2028</v>
      </c>
    </row>
    <row r="12" spans="1:6" ht="15.75">
      <c r="A12" s="581">
        <v>4</v>
      </c>
      <c r="B12" s="582" t="e">
        <f t="shared" si="0"/>
        <v>#DIV/0!</v>
      </c>
      <c r="C12" s="582"/>
      <c r="D12" s="582" t="e">
        <f>+B12*$B$3*0.5</f>
        <v>#DIV/0!</v>
      </c>
      <c r="E12" s="583"/>
      <c r="F12" s="586">
        <f>+F10+1</f>
        <v>2029</v>
      </c>
    </row>
    <row r="13" spans="1:6" ht="15.75">
      <c r="A13" s="581"/>
      <c r="B13" s="571" t="e">
        <f t="shared" si="0"/>
        <v>#DIV/0!</v>
      </c>
      <c r="C13" s="571" t="e">
        <f t="shared" ref="C13:C43" si="1">C11</f>
        <v>#DIV/0!</v>
      </c>
      <c r="D13" s="571" t="e">
        <f>+D12</f>
        <v>#DIV/0!</v>
      </c>
      <c r="E13" s="571">
        <f>IF($B$4&gt;3,SUM(C12:D13),0)</f>
        <v>0</v>
      </c>
      <c r="F13" s="585">
        <f>+F12</f>
        <v>2029</v>
      </c>
    </row>
    <row r="14" spans="1:6" ht="15.75">
      <c r="A14" s="581">
        <v>5</v>
      </c>
      <c r="B14" s="582" t="e">
        <f t="shared" si="0"/>
        <v>#DIV/0!</v>
      </c>
      <c r="C14" s="582"/>
      <c r="D14" s="582" t="e">
        <f>+B14*$B$3*0.5</f>
        <v>#DIV/0!</v>
      </c>
      <c r="E14" s="583"/>
      <c r="F14" s="586">
        <f>+F12+1</f>
        <v>2030</v>
      </c>
    </row>
    <row r="15" spans="1:6" ht="15.75">
      <c r="A15" s="581"/>
      <c r="B15" s="571" t="e">
        <f t="shared" si="0"/>
        <v>#DIV/0!</v>
      </c>
      <c r="C15" s="571" t="e">
        <f t="shared" si="1"/>
        <v>#DIV/0!</v>
      </c>
      <c r="D15" s="571" t="e">
        <f>+D14</f>
        <v>#DIV/0!</v>
      </c>
      <c r="E15" s="571">
        <f>IF($B$4&gt;4,SUM(C14:D15),0)</f>
        <v>0</v>
      </c>
      <c r="F15" s="585">
        <f>+F14</f>
        <v>2030</v>
      </c>
    </row>
    <row r="16" spans="1:6" ht="15.75">
      <c r="A16" s="581">
        <v>6</v>
      </c>
      <c r="B16" s="582" t="e">
        <f t="shared" si="0"/>
        <v>#DIV/0!</v>
      </c>
      <c r="C16" s="582"/>
      <c r="D16" s="582" t="e">
        <f>+B16*$B$3*0.5</f>
        <v>#DIV/0!</v>
      </c>
      <c r="E16" s="583"/>
      <c r="F16" s="586">
        <f>+F14+1</f>
        <v>2031</v>
      </c>
    </row>
    <row r="17" spans="1:7" ht="15.75">
      <c r="A17" s="581"/>
      <c r="B17" s="571" t="e">
        <f t="shared" si="0"/>
        <v>#DIV/0!</v>
      </c>
      <c r="C17" s="571" t="e">
        <f t="shared" si="1"/>
        <v>#DIV/0!</v>
      </c>
      <c r="D17" s="571" t="e">
        <f>+D16</f>
        <v>#DIV/0!</v>
      </c>
      <c r="E17" s="571">
        <f>IF($B$4&gt;5,SUM(C16:D17),0)</f>
        <v>0</v>
      </c>
      <c r="F17" s="585">
        <f>+F16</f>
        <v>2031</v>
      </c>
    </row>
    <row r="18" spans="1:7" ht="15.75">
      <c r="A18" s="581">
        <v>7</v>
      </c>
      <c r="B18" s="582" t="e">
        <f t="shared" si="0"/>
        <v>#DIV/0!</v>
      </c>
      <c r="C18" s="582"/>
      <c r="D18" s="582" t="e">
        <f>+B18*$B$3*0.5</f>
        <v>#DIV/0!</v>
      </c>
      <c r="E18" s="583"/>
      <c r="F18" s="586">
        <f>+F16+1</f>
        <v>2032</v>
      </c>
      <c r="G18" s="603" t="s">
        <v>719</v>
      </c>
    </row>
    <row r="19" spans="1:7" ht="15.75">
      <c r="A19" s="581"/>
      <c r="B19" s="571" t="e">
        <f t="shared" si="0"/>
        <v>#DIV/0!</v>
      </c>
      <c r="C19" s="571" t="e">
        <f t="shared" si="1"/>
        <v>#DIV/0!</v>
      </c>
      <c r="D19" s="571" t="e">
        <f>+D18</f>
        <v>#DIV/0!</v>
      </c>
      <c r="E19" s="571">
        <f>IF($B$4&gt;6,SUM(C18:D19),0)</f>
        <v>0</v>
      </c>
      <c r="F19" s="585">
        <f>+F18</f>
        <v>2032</v>
      </c>
      <c r="G19" s="602" t="e">
        <f>SUM(E7:E19)</f>
        <v>#DIV/0!</v>
      </c>
    </row>
    <row r="20" spans="1:7" ht="15.75">
      <c r="A20" s="581">
        <v>8</v>
      </c>
      <c r="B20" s="582" t="e">
        <f t="shared" si="0"/>
        <v>#DIV/0!</v>
      </c>
      <c r="C20" s="582"/>
      <c r="D20" s="582" t="e">
        <f>+B20*$B$3*0.5</f>
        <v>#DIV/0!</v>
      </c>
      <c r="E20" s="583"/>
      <c r="F20" s="586">
        <f>+F18+1</f>
        <v>2033</v>
      </c>
    </row>
    <row r="21" spans="1:7" ht="15.75">
      <c r="A21" s="581"/>
      <c r="B21" s="571" t="e">
        <f t="shared" si="0"/>
        <v>#DIV/0!</v>
      </c>
      <c r="C21" s="571" t="e">
        <f t="shared" si="1"/>
        <v>#DIV/0!</v>
      </c>
      <c r="D21" s="571" t="e">
        <f>+D20</f>
        <v>#DIV/0!</v>
      </c>
      <c r="E21" s="571">
        <f>IF($B$4&gt;7,SUM(C20:D21),0)</f>
        <v>0</v>
      </c>
      <c r="F21" s="585">
        <f>+F20</f>
        <v>2033</v>
      </c>
    </row>
    <row r="22" spans="1:7" ht="15.75">
      <c r="A22" s="581">
        <v>9</v>
      </c>
      <c r="B22" s="582" t="e">
        <f t="shared" si="0"/>
        <v>#DIV/0!</v>
      </c>
      <c r="C22" s="582"/>
      <c r="D22" s="582" t="e">
        <f>+B22*$B$3*0.5</f>
        <v>#DIV/0!</v>
      </c>
      <c r="E22" s="583"/>
      <c r="F22" s="586">
        <f>+F20+1</f>
        <v>2034</v>
      </c>
    </row>
    <row r="23" spans="1:7" ht="15.75">
      <c r="A23" s="581"/>
      <c r="B23" s="571" t="e">
        <f t="shared" si="0"/>
        <v>#DIV/0!</v>
      </c>
      <c r="C23" s="571" t="e">
        <f t="shared" si="1"/>
        <v>#DIV/0!</v>
      </c>
      <c r="D23" s="571" t="e">
        <f>+D22</f>
        <v>#DIV/0!</v>
      </c>
      <c r="E23" s="571">
        <f>IF($B$4&gt;8,SUM(C22:D23),0)</f>
        <v>0</v>
      </c>
      <c r="F23" s="585">
        <f>+F22</f>
        <v>2034</v>
      </c>
    </row>
    <row r="24" spans="1:7" ht="15.75">
      <c r="A24" s="581">
        <v>10</v>
      </c>
      <c r="B24" s="582" t="e">
        <f t="shared" si="0"/>
        <v>#DIV/0!</v>
      </c>
      <c r="C24" s="582"/>
      <c r="D24" s="582" t="e">
        <f>+B24*$B$3*0.5</f>
        <v>#DIV/0!</v>
      </c>
      <c r="E24" s="583"/>
      <c r="F24" s="586">
        <f>+F22+1</f>
        <v>2035</v>
      </c>
    </row>
    <row r="25" spans="1:7" ht="15.75">
      <c r="A25" s="581"/>
      <c r="B25" s="571" t="e">
        <f t="shared" si="0"/>
        <v>#DIV/0!</v>
      </c>
      <c r="C25" s="571" t="e">
        <f t="shared" si="1"/>
        <v>#DIV/0!</v>
      </c>
      <c r="D25" s="571" t="e">
        <f>+D24</f>
        <v>#DIV/0!</v>
      </c>
      <c r="E25" s="571">
        <f>IF($B$4&gt;9,SUM(C24:D25),0)</f>
        <v>0</v>
      </c>
      <c r="F25" s="585">
        <f>+F24</f>
        <v>2035</v>
      </c>
    </row>
    <row r="26" spans="1:7" ht="15.75">
      <c r="A26" s="581">
        <v>11</v>
      </c>
      <c r="B26" s="582" t="e">
        <f t="shared" si="0"/>
        <v>#DIV/0!</v>
      </c>
      <c r="C26" s="582"/>
      <c r="D26" s="582" t="e">
        <f>+B26*$B$3*0.5</f>
        <v>#DIV/0!</v>
      </c>
      <c r="E26" s="583"/>
      <c r="F26" s="586">
        <f>+F24+1</f>
        <v>2036</v>
      </c>
    </row>
    <row r="27" spans="1:7" ht="15.75">
      <c r="A27" s="581"/>
      <c r="B27" s="571" t="e">
        <f t="shared" si="0"/>
        <v>#DIV/0!</v>
      </c>
      <c r="C27" s="571" t="e">
        <f t="shared" si="1"/>
        <v>#DIV/0!</v>
      </c>
      <c r="D27" s="571" t="e">
        <f>+D26</f>
        <v>#DIV/0!</v>
      </c>
      <c r="E27" s="571">
        <f>IF($B$4&gt;10,SUM(C26:D27),0)</f>
        <v>0</v>
      </c>
      <c r="F27" s="585">
        <f>+F26</f>
        <v>2036</v>
      </c>
    </row>
    <row r="28" spans="1:7" ht="15.75">
      <c r="A28" s="581">
        <v>12</v>
      </c>
      <c r="B28" s="582" t="e">
        <f t="shared" si="0"/>
        <v>#DIV/0!</v>
      </c>
      <c r="C28" s="582"/>
      <c r="D28" s="582" t="e">
        <f>+B28*$B$3*0.5</f>
        <v>#DIV/0!</v>
      </c>
      <c r="E28" s="583"/>
      <c r="F28" s="586">
        <f>+F26+1</f>
        <v>2037</v>
      </c>
    </row>
    <row r="29" spans="1:7" ht="15.75">
      <c r="A29" s="581"/>
      <c r="B29" s="571" t="e">
        <f t="shared" si="0"/>
        <v>#DIV/0!</v>
      </c>
      <c r="C29" s="571" t="e">
        <f>+C27</f>
        <v>#DIV/0!</v>
      </c>
      <c r="D29" s="571" t="e">
        <f>+D28</f>
        <v>#DIV/0!</v>
      </c>
      <c r="E29" s="571">
        <f>IF($B$4&gt;11,SUM(C28:D29),0)</f>
        <v>0</v>
      </c>
      <c r="F29" s="585">
        <f>+F28</f>
        <v>2037</v>
      </c>
    </row>
    <row r="30" spans="1:7" ht="15.75">
      <c r="A30" s="581">
        <v>13</v>
      </c>
      <c r="B30" s="582" t="e">
        <f t="shared" si="0"/>
        <v>#DIV/0!</v>
      </c>
      <c r="C30" s="582"/>
      <c r="D30" s="582" t="e">
        <f>+B30*$B$3*0.5</f>
        <v>#DIV/0!</v>
      </c>
      <c r="E30" s="583"/>
      <c r="F30" s="586">
        <f>+F28+1</f>
        <v>2038</v>
      </c>
    </row>
    <row r="31" spans="1:7" ht="15.75">
      <c r="A31" s="581"/>
      <c r="B31" s="571" t="e">
        <f t="shared" si="0"/>
        <v>#DIV/0!</v>
      </c>
      <c r="C31" s="571" t="e">
        <f t="shared" si="1"/>
        <v>#DIV/0!</v>
      </c>
      <c r="D31" s="571" t="e">
        <f>+D30</f>
        <v>#DIV/0!</v>
      </c>
      <c r="E31" s="571">
        <f>IF($B$4&gt;12,SUM(C30:D31),0)</f>
        <v>0</v>
      </c>
      <c r="F31" s="585">
        <f>+F30</f>
        <v>2038</v>
      </c>
    </row>
    <row r="32" spans="1:7" ht="15.75">
      <c r="A32" s="581">
        <v>14</v>
      </c>
      <c r="B32" s="582" t="e">
        <f t="shared" si="0"/>
        <v>#DIV/0!</v>
      </c>
      <c r="C32" s="582"/>
      <c r="D32" s="582" t="e">
        <f>+B32*$B$3*0.5</f>
        <v>#DIV/0!</v>
      </c>
      <c r="E32" s="583"/>
      <c r="F32" s="586">
        <f>+F30+1</f>
        <v>2039</v>
      </c>
    </row>
    <row r="33" spans="1:7" ht="15.75">
      <c r="A33" s="581"/>
      <c r="B33" s="571" t="e">
        <f t="shared" si="0"/>
        <v>#DIV/0!</v>
      </c>
      <c r="C33" s="571" t="e">
        <f>+C31</f>
        <v>#DIV/0!</v>
      </c>
      <c r="D33" s="571" t="e">
        <f>+D32</f>
        <v>#DIV/0!</v>
      </c>
      <c r="E33" s="571">
        <f>IF($B$4&gt;13,SUM(C32:D33),0)</f>
        <v>0</v>
      </c>
      <c r="F33" s="585">
        <f>+F32</f>
        <v>2039</v>
      </c>
    </row>
    <row r="34" spans="1:7" ht="15.75">
      <c r="A34" s="581">
        <v>15</v>
      </c>
      <c r="B34" s="582" t="e">
        <f t="shared" si="0"/>
        <v>#DIV/0!</v>
      </c>
      <c r="C34" s="582"/>
      <c r="D34" s="582" t="e">
        <f>+B34*$B$3*0.5</f>
        <v>#DIV/0!</v>
      </c>
      <c r="E34" s="583"/>
      <c r="F34" s="586">
        <f>+F32+1</f>
        <v>2040</v>
      </c>
    </row>
    <row r="35" spans="1:7" ht="15.75">
      <c r="A35" s="581"/>
      <c r="B35" s="571" t="e">
        <f t="shared" si="0"/>
        <v>#DIV/0!</v>
      </c>
      <c r="C35" s="571" t="e">
        <f t="shared" si="1"/>
        <v>#DIV/0!</v>
      </c>
      <c r="D35" s="571" t="e">
        <f>+D34</f>
        <v>#DIV/0!</v>
      </c>
      <c r="E35" s="571">
        <f>IF($B$4&gt;14,SUM(C34:D35),0)</f>
        <v>0</v>
      </c>
      <c r="F35" s="585">
        <f>+F34</f>
        <v>2040</v>
      </c>
    </row>
    <row r="36" spans="1:7" ht="15.75">
      <c r="A36" s="581">
        <v>16</v>
      </c>
      <c r="B36" s="582" t="e">
        <f t="shared" si="0"/>
        <v>#DIV/0!</v>
      </c>
      <c r="C36" s="582"/>
      <c r="D36" s="582" t="e">
        <f>+B36*$B$3*0.5</f>
        <v>#DIV/0!</v>
      </c>
      <c r="E36" s="583"/>
      <c r="F36" s="586">
        <f>+F34+1</f>
        <v>2041</v>
      </c>
    </row>
    <row r="37" spans="1:7" ht="15.75">
      <c r="A37" s="581"/>
      <c r="B37" s="571" t="e">
        <f t="shared" si="0"/>
        <v>#DIV/0!</v>
      </c>
      <c r="C37" s="571" t="e">
        <f>+C35</f>
        <v>#DIV/0!</v>
      </c>
      <c r="D37" s="571" t="e">
        <f>+D36</f>
        <v>#DIV/0!</v>
      </c>
      <c r="E37" s="571">
        <f>IF($B$4&gt;15,SUM(C36:D37),0)</f>
        <v>0</v>
      </c>
      <c r="F37" s="585">
        <f>+F36</f>
        <v>2041</v>
      </c>
    </row>
    <row r="38" spans="1:7" ht="15.75">
      <c r="A38" s="581">
        <v>17</v>
      </c>
      <c r="B38" s="582" t="e">
        <f t="shared" si="0"/>
        <v>#DIV/0!</v>
      </c>
      <c r="C38" s="582"/>
      <c r="D38" s="582" t="e">
        <f>+B38*$B$3*0.5</f>
        <v>#DIV/0!</v>
      </c>
      <c r="E38" s="583"/>
      <c r="F38" s="586">
        <f>+F36+1</f>
        <v>2042</v>
      </c>
    </row>
    <row r="39" spans="1:7" ht="15.75">
      <c r="A39" s="581"/>
      <c r="B39" s="571" t="e">
        <f t="shared" si="0"/>
        <v>#DIV/0!</v>
      </c>
      <c r="C39" s="571" t="e">
        <f t="shared" si="1"/>
        <v>#DIV/0!</v>
      </c>
      <c r="D39" s="571" t="e">
        <f>+D38</f>
        <v>#DIV/0!</v>
      </c>
      <c r="E39" s="571">
        <f>IF($B$4&gt;16,SUM(C38:D39),0)</f>
        <v>0</v>
      </c>
      <c r="F39" s="585">
        <f>+F38</f>
        <v>2042</v>
      </c>
    </row>
    <row r="40" spans="1:7" ht="15.75">
      <c r="A40" s="581">
        <v>18</v>
      </c>
      <c r="B40" s="582" t="e">
        <f t="shared" si="0"/>
        <v>#DIV/0!</v>
      </c>
      <c r="C40" s="582"/>
      <c r="D40" s="582" t="e">
        <f>+B40*$B$3*0.5</f>
        <v>#DIV/0!</v>
      </c>
      <c r="E40" s="583"/>
      <c r="F40" s="586">
        <f>+F38+1</f>
        <v>2043</v>
      </c>
    </row>
    <row r="41" spans="1:7" ht="15.75">
      <c r="A41" s="581"/>
      <c r="B41" s="571" t="e">
        <f t="shared" si="0"/>
        <v>#DIV/0!</v>
      </c>
      <c r="C41" s="571" t="e">
        <f t="shared" si="1"/>
        <v>#DIV/0!</v>
      </c>
      <c r="D41" s="571" t="e">
        <f>+D40</f>
        <v>#DIV/0!</v>
      </c>
      <c r="E41" s="571">
        <f>IF($B$4&gt;17,SUM(C40:D41),0)</f>
        <v>0</v>
      </c>
      <c r="F41" s="585">
        <f>+F40</f>
        <v>2043</v>
      </c>
    </row>
    <row r="42" spans="1:7" ht="15.75">
      <c r="A42" s="581">
        <v>19</v>
      </c>
      <c r="B42" s="582" t="e">
        <f t="shared" si="0"/>
        <v>#DIV/0!</v>
      </c>
      <c r="C42" s="582"/>
      <c r="D42" s="582" t="e">
        <f>+B42*$B$3*0.5</f>
        <v>#DIV/0!</v>
      </c>
      <c r="E42" s="583"/>
      <c r="F42" s="586">
        <f>+F40+1</f>
        <v>2044</v>
      </c>
    </row>
    <row r="43" spans="1:7" ht="15.75">
      <c r="A43" s="581"/>
      <c r="B43" s="571" t="e">
        <f t="shared" si="0"/>
        <v>#DIV/0!</v>
      </c>
      <c r="C43" s="571" t="e">
        <f t="shared" si="1"/>
        <v>#DIV/0!</v>
      </c>
      <c r="D43" s="571" t="e">
        <f>+D42</f>
        <v>#DIV/0!</v>
      </c>
      <c r="E43" s="571">
        <f>IF($B$4&gt;18,SUM(C42:D43),0)</f>
        <v>0</v>
      </c>
      <c r="F43" s="585">
        <f>+F42</f>
        <v>2044</v>
      </c>
    </row>
    <row r="44" spans="1:7" ht="15.75">
      <c r="A44" s="581">
        <v>20</v>
      </c>
      <c r="B44" s="582" t="e">
        <f t="shared" si="0"/>
        <v>#DIV/0!</v>
      </c>
      <c r="C44" s="582"/>
      <c r="D44" s="582" t="e">
        <f>+B44*$B$3*0.5</f>
        <v>#DIV/0!</v>
      </c>
      <c r="E44" s="583"/>
      <c r="F44" s="586">
        <f>+F42+1</f>
        <v>2045</v>
      </c>
    </row>
    <row r="45" spans="1:7" ht="15.75">
      <c r="A45" s="581"/>
      <c r="B45" s="571" t="e">
        <f>ROUND(B44-C44,0)</f>
        <v>#DIV/0!</v>
      </c>
      <c r="C45" s="571" t="e">
        <f>ROUND(C43,0)</f>
        <v>#DIV/0!</v>
      </c>
      <c r="D45" s="571" t="e">
        <f>+D44</f>
        <v>#DIV/0!</v>
      </c>
      <c r="E45" s="571">
        <f>IF($B$4&gt;19,SUM(C44:D45),0)</f>
        <v>0</v>
      </c>
      <c r="F45" s="585">
        <f>+F44</f>
        <v>2045</v>
      </c>
      <c r="G45" s="587"/>
    </row>
    <row r="46" spans="1:7" ht="15.75">
      <c r="A46" s="581">
        <v>21</v>
      </c>
      <c r="B46" s="582" t="e">
        <f t="shared" si="0"/>
        <v>#DIV/0!</v>
      </c>
      <c r="C46" s="582"/>
      <c r="D46" s="582" t="e">
        <f>+B46*$B$3*0.5</f>
        <v>#DIV/0!</v>
      </c>
      <c r="E46" s="583"/>
      <c r="F46" s="586">
        <f>+F44+1</f>
        <v>2046</v>
      </c>
    </row>
    <row r="47" spans="1:7" ht="15.75">
      <c r="A47" s="571"/>
      <c r="B47" s="571" t="e">
        <f t="shared" si="0"/>
        <v>#DIV/0!</v>
      </c>
      <c r="C47" s="571" t="e">
        <f>IF($B$4=20,0,+C45)</f>
        <v>#DIV/0!</v>
      </c>
      <c r="D47" s="571" t="e">
        <f>+D46</f>
        <v>#DIV/0!</v>
      </c>
      <c r="E47" s="571">
        <f>IF($B$4&gt;20,SUM(C46:D47),0)</f>
        <v>0</v>
      </c>
      <c r="F47" s="585">
        <f>+F46</f>
        <v>2046</v>
      </c>
    </row>
    <row r="48" spans="1:7" ht="15.75">
      <c r="A48" s="581">
        <v>22</v>
      </c>
      <c r="B48" s="582" t="e">
        <f t="shared" si="0"/>
        <v>#DIV/0!</v>
      </c>
      <c r="C48" s="582"/>
      <c r="D48" s="582" t="e">
        <f>+B48*$B$3*0.5</f>
        <v>#DIV/0!</v>
      </c>
      <c r="E48" s="583"/>
      <c r="F48" s="586">
        <f>+F46+1</f>
        <v>2047</v>
      </c>
    </row>
    <row r="49" spans="1:6" ht="15.75">
      <c r="A49" s="571"/>
      <c r="B49" s="571" t="e">
        <f t="shared" si="0"/>
        <v>#DIV/0!</v>
      </c>
      <c r="C49" s="571" t="e">
        <f>+C47</f>
        <v>#DIV/0!</v>
      </c>
      <c r="D49" s="571" t="e">
        <f>+D48</f>
        <v>#DIV/0!</v>
      </c>
      <c r="E49" s="571">
        <f>IF($B$4&gt;21,SUM(C48:D49),0)</f>
        <v>0</v>
      </c>
      <c r="F49" s="585">
        <f>+F48</f>
        <v>2047</v>
      </c>
    </row>
    <row r="50" spans="1:6" ht="15.75">
      <c r="A50" s="581">
        <v>23</v>
      </c>
      <c r="B50" s="582" t="e">
        <f t="shared" si="0"/>
        <v>#DIV/0!</v>
      </c>
      <c r="C50" s="582"/>
      <c r="D50" s="582" t="e">
        <f>+B50*$B$3*0.5</f>
        <v>#DIV/0!</v>
      </c>
      <c r="E50" s="583"/>
      <c r="F50" s="586">
        <f>+F48+1</f>
        <v>2048</v>
      </c>
    </row>
    <row r="51" spans="1:6" ht="15.75">
      <c r="A51" s="571"/>
      <c r="B51" s="571" t="e">
        <f t="shared" si="0"/>
        <v>#DIV/0!</v>
      </c>
      <c r="C51" s="571" t="e">
        <f>+C49</f>
        <v>#DIV/0!</v>
      </c>
      <c r="D51" s="571" t="e">
        <f>+D50</f>
        <v>#DIV/0!</v>
      </c>
      <c r="E51" s="571">
        <f>IF($B$4&gt;22,SUM(C50:D51),0)</f>
        <v>0</v>
      </c>
      <c r="F51" s="585">
        <f>+F50</f>
        <v>2048</v>
      </c>
    </row>
    <row r="52" spans="1:6" ht="15.75">
      <c r="A52" s="581">
        <v>24</v>
      </c>
      <c r="B52" s="582" t="e">
        <f t="shared" si="0"/>
        <v>#DIV/0!</v>
      </c>
      <c r="C52" s="582"/>
      <c r="D52" s="582" t="e">
        <f>+B52*$B$3*0.5</f>
        <v>#DIV/0!</v>
      </c>
      <c r="E52" s="583"/>
      <c r="F52" s="586">
        <f>+F50+1</f>
        <v>2049</v>
      </c>
    </row>
    <row r="53" spans="1:6" ht="15.75">
      <c r="A53" s="571"/>
      <c r="B53" s="571" t="e">
        <f t="shared" si="0"/>
        <v>#DIV/0!</v>
      </c>
      <c r="C53" s="571" t="e">
        <f>+C51</f>
        <v>#DIV/0!</v>
      </c>
      <c r="D53" s="571" t="e">
        <f>+D52</f>
        <v>#DIV/0!</v>
      </c>
      <c r="E53" s="571">
        <f>IF($B$4&gt;23,SUM(C52:D53),0)</f>
        <v>0</v>
      </c>
      <c r="F53" s="585">
        <f>+F52</f>
        <v>2049</v>
      </c>
    </row>
    <row r="54" spans="1:6" ht="15.75">
      <c r="A54" s="581">
        <v>25</v>
      </c>
      <c r="B54" s="582" t="e">
        <f t="shared" si="0"/>
        <v>#DIV/0!</v>
      </c>
      <c r="C54" s="582"/>
      <c r="D54" s="582" t="e">
        <f>+B54*$B$3*0.5</f>
        <v>#DIV/0!</v>
      </c>
      <c r="E54" s="583"/>
      <c r="F54" s="586">
        <f>+F52+1</f>
        <v>2050</v>
      </c>
    </row>
    <row r="55" spans="1:6" ht="15.75">
      <c r="A55" s="571"/>
      <c r="B55" s="571" t="e">
        <f t="shared" si="0"/>
        <v>#DIV/0!</v>
      </c>
      <c r="C55" s="571" t="e">
        <f>+C53</f>
        <v>#DIV/0!</v>
      </c>
      <c r="D55" s="571" t="e">
        <f>+D54</f>
        <v>#DIV/0!</v>
      </c>
      <c r="E55" s="571">
        <f>IF($B$4&gt;24,SUM(C54:D55),0)</f>
        <v>0</v>
      </c>
      <c r="F55" s="585">
        <f>+F54</f>
        <v>2050</v>
      </c>
    </row>
    <row r="56" spans="1:6" ht="15.75">
      <c r="A56" s="581">
        <v>26</v>
      </c>
      <c r="B56" s="582" t="e">
        <f t="shared" si="0"/>
        <v>#DIV/0!</v>
      </c>
      <c r="C56" s="582"/>
      <c r="D56" s="582" t="e">
        <f>+B56*$B$3*0.5</f>
        <v>#DIV/0!</v>
      </c>
      <c r="E56" s="583"/>
      <c r="F56" s="586">
        <f>+F54+1</f>
        <v>2051</v>
      </c>
    </row>
    <row r="57" spans="1:6" ht="15.75">
      <c r="A57" s="571"/>
      <c r="B57" s="571" t="e">
        <f t="shared" si="0"/>
        <v>#DIV/0!</v>
      </c>
      <c r="C57" s="571" t="e">
        <f>+C55</f>
        <v>#DIV/0!</v>
      </c>
      <c r="D57" s="571" t="e">
        <f>+D56</f>
        <v>#DIV/0!</v>
      </c>
      <c r="E57" s="571">
        <f>IF($B$4&gt;25,SUM(C56:D57),0)</f>
        <v>0</v>
      </c>
      <c r="F57" s="585">
        <f>+F56</f>
        <v>2051</v>
      </c>
    </row>
    <row r="58" spans="1:6" ht="15.75">
      <c r="A58" s="581">
        <v>27</v>
      </c>
      <c r="B58" s="582" t="e">
        <f>B57-C57</f>
        <v>#DIV/0!</v>
      </c>
      <c r="C58" s="582"/>
      <c r="D58" s="582" t="e">
        <f>+B58*$B$3*0.5</f>
        <v>#DIV/0!</v>
      </c>
      <c r="E58" s="583"/>
      <c r="F58" s="586">
        <f>+F56+1</f>
        <v>2052</v>
      </c>
    </row>
    <row r="59" spans="1:6" ht="15.75">
      <c r="A59" s="571"/>
      <c r="B59" s="571" t="e">
        <f t="shared" si="0"/>
        <v>#DIV/0!</v>
      </c>
      <c r="C59" s="571" t="e">
        <f>+C57</f>
        <v>#DIV/0!</v>
      </c>
      <c r="D59" s="571" t="e">
        <f>+D58</f>
        <v>#DIV/0!</v>
      </c>
      <c r="E59" s="571">
        <f>IF($B$4&gt;26,SUM(C58:D59),0)</f>
        <v>0</v>
      </c>
      <c r="F59" s="585">
        <f>+F58</f>
        <v>2052</v>
      </c>
    </row>
    <row r="60" spans="1:6" ht="15.75">
      <c r="A60" s="581">
        <v>28</v>
      </c>
      <c r="B60" s="582" t="e">
        <f t="shared" si="0"/>
        <v>#DIV/0!</v>
      </c>
      <c r="C60" s="582"/>
      <c r="D60" s="582" t="e">
        <f>+B60*$B$3*0.5</f>
        <v>#DIV/0!</v>
      </c>
      <c r="E60" s="583"/>
      <c r="F60" s="586">
        <f>+F58+1</f>
        <v>2053</v>
      </c>
    </row>
    <row r="61" spans="1:6" ht="15.75">
      <c r="A61" s="571"/>
      <c r="B61" s="571" t="e">
        <f t="shared" si="0"/>
        <v>#DIV/0!</v>
      </c>
      <c r="C61" s="571" t="e">
        <f>+C59</f>
        <v>#DIV/0!</v>
      </c>
      <c r="D61" s="571" t="e">
        <f>+D60</f>
        <v>#DIV/0!</v>
      </c>
      <c r="E61" s="571">
        <f>IF($B$4&gt;27,SUM(C60:D61),0)</f>
        <v>0</v>
      </c>
      <c r="F61" s="585">
        <f>+F60</f>
        <v>2053</v>
      </c>
    </row>
    <row r="62" spans="1:6" ht="15.75">
      <c r="A62" s="581">
        <v>29</v>
      </c>
      <c r="B62" s="582" t="e">
        <f t="shared" si="0"/>
        <v>#DIV/0!</v>
      </c>
      <c r="C62" s="582"/>
      <c r="D62" s="582" t="e">
        <f>+B62*$B$3*0.5</f>
        <v>#DIV/0!</v>
      </c>
      <c r="E62" s="583"/>
      <c r="F62" s="586">
        <f>+F60+1</f>
        <v>2054</v>
      </c>
    </row>
    <row r="63" spans="1:6" ht="15.75">
      <c r="A63" s="571"/>
      <c r="B63" s="571" t="e">
        <f t="shared" si="0"/>
        <v>#DIV/0!</v>
      </c>
      <c r="C63" s="571" t="e">
        <f>+C61</f>
        <v>#DIV/0!</v>
      </c>
      <c r="D63" s="571" t="e">
        <f>+D62</f>
        <v>#DIV/0!</v>
      </c>
      <c r="E63" s="571">
        <f>IF($B$4&gt;28,SUM(C62:D63),0)</f>
        <v>0</v>
      </c>
      <c r="F63" s="585">
        <f>+F62</f>
        <v>2054</v>
      </c>
    </row>
    <row r="64" spans="1:6" ht="15.75">
      <c r="A64" s="581">
        <v>30</v>
      </c>
      <c r="B64" s="582" t="e">
        <f>IF($B$4=29,0,B63-C63)</f>
        <v>#DIV/0!</v>
      </c>
      <c r="C64" s="582"/>
      <c r="D64" s="582" t="e">
        <f>+B64*$B$3*0.5</f>
        <v>#DIV/0!</v>
      </c>
      <c r="E64" s="583"/>
      <c r="F64" s="586">
        <f>+F62+1</f>
        <v>2055</v>
      </c>
    </row>
    <row r="65" spans="1:7" ht="15.75">
      <c r="A65" s="571"/>
      <c r="B65" s="571" t="e">
        <f>B64-C64</f>
        <v>#DIV/0!</v>
      </c>
      <c r="C65" s="571" t="e">
        <f>IF($B$4=29,0,C63)</f>
        <v>#DIV/0!</v>
      </c>
      <c r="D65" s="571" t="e">
        <f>+D64</f>
        <v>#DIV/0!</v>
      </c>
      <c r="E65" s="571">
        <f>IF($B$4&gt;29,SUM(C64:D65),0)</f>
        <v>0</v>
      </c>
      <c r="F65" s="585">
        <f>+F64</f>
        <v>2055</v>
      </c>
    </row>
    <row r="66" spans="1:7" ht="15.75">
      <c r="A66" s="581">
        <v>31</v>
      </c>
      <c r="B66" s="582" t="e">
        <f>B65-C65</f>
        <v>#DIV/0!</v>
      </c>
      <c r="C66" s="582"/>
      <c r="D66" s="582" t="e">
        <f>+B66*$B$3*0.5</f>
        <v>#DIV/0!</v>
      </c>
      <c r="E66" s="583"/>
      <c r="F66" s="586">
        <f>+F64+1</f>
        <v>2056</v>
      </c>
    </row>
    <row r="67" spans="1:7" ht="15.75">
      <c r="A67" s="571"/>
      <c r="B67" s="588" t="e">
        <f t="shared" si="0"/>
        <v>#DIV/0!</v>
      </c>
      <c r="C67" s="588"/>
      <c r="D67" s="588" t="e">
        <f>+D66</f>
        <v>#DIV/0!</v>
      </c>
      <c r="E67" s="588">
        <f>IF($B$4&gt;30,SUM(C66:D67),0)</f>
        <v>0</v>
      </c>
      <c r="F67" s="589">
        <f>+F66</f>
        <v>2056</v>
      </c>
      <c r="G67" s="590"/>
    </row>
    <row r="68" spans="1:7" ht="15.75">
      <c r="A68" s="571"/>
      <c r="B68" s="571"/>
      <c r="C68" s="570" t="e">
        <f>SUM(C6:C67)</f>
        <v>#DIV/0!</v>
      </c>
      <c r="D68" s="570" t="e">
        <f>SUM(D6:D67)</f>
        <v>#DIV/0!</v>
      </c>
      <c r="E68" s="598">
        <f>SUM(E26:E65)</f>
        <v>0</v>
      </c>
      <c r="F68" s="571"/>
    </row>
    <row r="69" spans="1:7" ht="15.75">
      <c r="A69" s="571"/>
      <c r="B69" s="571"/>
      <c r="C69" s="570"/>
      <c r="D69" s="570"/>
      <c r="E69" s="598"/>
      <c r="F69" s="571"/>
    </row>
    <row r="70" spans="1:7" ht="18.75">
      <c r="C70" s="599"/>
      <c r="D70" s="600" t="s">
        <v>718</v>
      </c>
      <c r="E70" s="601">
        <f>SUM(E20:E67)</f>
        <v>0</v>
      </c>
    </row>
    <row r="71" spans="1:7">
      <c r="D71" s="591"/>
      <c r="E71" s="592"/>
    </row>
  </sheetData>
  <sheetProtection algorithmName="SHA-512" hashValue="/is8aM2QYBviwCaT1J0eJdO3dUOZ520g4TIkxq6EErFZ+m9/cD2VJexT4xNeht/xwC1KHpCAsaiX4L54It+Kjg==" saltValue="MS6sLf+CWr40vARq54Jxsw==" spinCount="100000" sheet="1" objects="1" scenarios="1"/>
  <printOptions headings="1" gridLines="1"/>
  <pageMargins left="0.7" right="0.7" top="0.75" bottom="0.75" header="0.3" footer="0.3"/>
  <pageSetup scale="79" orientation="portrait" r:id="rId1"/>
  <headerFooter>
    <oddHeader>&amp;L&amp;F&amp;RPage &amp;P of &amp;N</oddHeader>
    <oddFooter>&amp;L&amp;A&amp;R&amp;D &amp;T</oddFooter>
  </headerFooter>
  <rowBreaks count="1" manualBreakCount="1">
    <brk id="4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L841"/>
  <sheetViews>
    <sheetView showGridLines="0" view="pageBreakPreview" zoomScaleNormal="100" zoomScaleSheetLayoutView="100" workbookViewId="0">
      <selection activeCell="E93" sqref="E93"/>
    </sheetView>
  </sheetViews>
  <sheetFormatPr defaultColWidth="9.140625" defaultRowHeight="12.75"/>
  <cols>
    <col min="1" max="1" width="10.28515625" style="510" customWidth="1"/>
    <col min="2" max="2" width="6.42578125" style="510" customWidth="1"/>
    <col min="3" max="3" width="9.42578125" style="510" customWidth="1"/>
    <col min="4" max="4" width="12.140625" style="510" customWidth="1"/>
    <col min="5" max="5" width="18.7109375" style="510" customWidth="1"/>
    <col min="6" max="6" width="5.28515625" style="510" customWidth="1"/>
    <col min="7" max="7" width="10.7109375" style="510" customWidth="1"/>
    <col min="8" max="8" width="11.85546875" style="510" customWidth="1"/>
    <col min="9" max="9" width="16.5703125" style="510" customWidth="1"/>
    <col min="10" max="10" width="16.42578125" style="510" hidden="1" customWidth="1"/>
    <col min="11" max="11" width="19" style="510" customWidth="1"/>
    <col min="12" max="12" width="13.7109375" style="510" customWidth="1"/>
    <col min="13" max="16384" width="9.140625" style="510"/>
  </cols>
  <sheetData>
    <row r="1" spans="2:10" ht="22.9" customHeight="1">
      <c r="B1" s="593" t="s">
        <v>723</v>
      </c>
      <c r="C1" s="508"/>
      <c r="D1" s="594"/>
      <c r="E1" s="508"/>
      <c r="F1" s="508"/>
      <c r="G1" s="508"/>
      <c r="H1" s="509"/>
      <c r="I1" s="509"/>
    </row>
    <row r="2" spans="2:10" ht="12.75" customHeight="1">
      <c r="B2" s="511"/>
      <c r="C2" s="512"/>
      <c r="D2" s="512"/>
      <c r="E2" s="512"/>
      <c r="F2" s="512"/>
      <c r="G2" s="512"/>
      <c r="H2" s="512"/>
      <c r="I2" s="513" t="str">
        <f ca="1">"© 2008-" &amp; YEAR(TODAY()) &amp; " Vertex42 LLC"</f>
        <v>© 2008-2022 Vertex42 LLC</v>
      </c>
    </row>
    <row r="5" spans="2:10" ht="14.25">
      <c r="B5" s="514" t="s">
        <v>670</v>
      </c>
      <c r="C5" s="515"/>
      <c r="D5" s="515"/>
      <c r="E5" s="515"/>
      <c r="G5" s="514" t="s">
        <v>671</v>
      </c>
      <c r="H5" s="516"/>
      <c r="I5" s="516"/>
      <c r="J5" s="517" t="s">
        <v>672</v>
      </c>
    </row>
    <row r="6" spans="2:10" ht="15" customHeight="1">
      <c r="B6" s="512"/>
      <c r="C6" s="512"/>
      <c r="D6" s="518" t="s">
        <v>673</v>
      </c>
      <c r="E6" s="595">
        <f>Dashboard!G28</f>
        <v>150000000</v>
      </c>
      <c r="H6" s="519" t="s">
        <v>674</v>
      </c>
      <c r="I6" s="520">
        <f>((1+E7/E15)^(E15/E14))-1</f>
        <v>3.2499999999999973E-2</v>
      </c>
      <c r="J6" s="510" t="s">
        <v>152</v>
      </c>
    </row>
    <row r="7" spans="2:10" ht="15" customHeight="1">
      <c r="B7" s="512"/>
      <c r="C7" s="512"/>
      <c r="D7" s="518" t="s">
        <v>675</v>
      </c>
      <c r="E7" s="521">
        <f>Dashboard!F9</f>
        <v>3.2500000000000001E-2</v>
      </c>
      <c r="H7" s="519" t="s">
        <v>676</v>
      </c>
      <c r="I7" s="522">
        <f>SUM(G61:G840)+SUM(H61:H840)</f>
        <v>229605546.02000004</v>
      </c>
      <c r="J7" s="510" t="s">
        <v>677</v>
      </c>
    </row>
    <row r="8" spans="2:10" ht="15" customHeight="1">
      <c r="B8" s="512"/>
      <c r="C8" s="512"/>
      <c r="D8" s="518" t="s">
        <v>678</v>
      </c>
      <c r="E8" s="523">
        <f>Dashboard!G33</f>
        <v>30</v>
      </c>
      <c r="H8" s="519" t="s">
        <v>679</v>
      </c>
      <c r="I8" s="524">
        <f>SUM(G60:G840)</f>
        <v>79605546.019999996</v>
      </c>
      <c r="J8" s="510" t="s">
        <v>680</v>
      </c>
    </row>
    <row r="9" spans="2:10" ht="15" customHeight="1">
      <c r="B9" s="512"/>
      <c r="C9" s="512"/>
      <c r="D9" s="518" t="s">
        <v>681</v>
      </c>
      <c r="E9" s="525">
        <v>45839</v>
      </c>
      <c r="H9" s="519" t="s">
        <v>682</v>
      </c>
      <c r="I9" s="526">
        <f>IF(AND(SUM(E61:E840)=0,roundOpt)," - ",(nper*(-PMT(rate,nper,loan_amount,,pmtType))-loan_amount)-I8)</f>
        <v>-2.6958569884300232E-2</v>
      </c>
      <c r="J9" s="510" t="s">
        <v>683</v>
      </c>
    </row>
    <row r="10" spans="2:10" ht="15" customHeight="1">
      <c r="B10" s="512" t="e">
        <f>+#REF!</f>
        <v>#REF!</v>
      </c>
      <c r="C10" s="512"/>
      <c r="D10" s="518" t="s">
        <v>684</v>
      </c>
      <c r="E10" s="525" t="s">
        <v>685</v>
      </c>
      <c r="I10" s="527" t="str">
        <f ca="1">IF(AND(NOT(I840=""),I840&gt;0.004),"ERROR: Limit is "&amp;OFFSET(B841,-1,0,1,1)&amp;" payments",".")</f>
        <v>.</v>
      </c>
      <c r="J10" s="510" t="s">
        <v>686</v>
      </c>
    </row>
    <row r="11" spans="2:10" ht="15" customHeight="1">
      <c r="B11" s="512"/>
      <c r="C11" s="512"/>
      <c r="D11" s="518" t="s">
        <v>687</v>
      </c>
      <c r="E11" s="528" t="str">
        <f>E10</f>
        <v>annual</v>
      </c>
      <c r="I11" s="529" t="str">
        <f>IF(E15&gt;E14,"Warning: negative amortization",".")</f>
        <v>.</v>
      </c>
      <c r="J11" s="510" t="s">
        <v>688</v>
      </c>
    </row>
    <row r="12" spans="2:10" ht="15" customHeight="1">
      <c r="B12" s="512"/>
      <c r="C12" s="512"/>
      <c r="D12" s="518" t="s">
        <v>689</v>
      </c>
      <c r="E12" s="528" t="s">
        <v>690</v>
      </c>
      <c r="J12" s="510" t="s">
        <v>691</v>
      </c>
    </row>
    <row r="13" spans="2:10" ht="15" customHeight="1">
      <c r="B13" s="512"/>
      <c r="C13" s="512"/>
      <c r="D13" s="518" t="s">
        <v>692</v>
      </c>
      <c r="E13" s="528" t="s">
        <v>693</v>
      </c>
      <c r="I13" s="529"/>
      <c r="J13" s="510" t="s">
        <v>694</v>
      </c>
    </row>
    <row r="14" spans="2:10" ht="15" customHeight="1">
      <c r="B14" s="512"/>
      <c r="C14" s="512"/>
      <c r="D14" s="530" t="s">
        <v>695</v>
      </c>
      <c r="E14" s="512">
        <f>INDEX({1;2;4;6;12;24;26;52},MATCH('FY26 Level-Payment'!$E$10,$J$6:$J$13,0))</f>
        <v>1</v>
      </c>
    </row>
    <row r="15" spans="2:10" ht="15" customHeight="1">
      <c r="B15" s="512"/>
      <c r="C15" s="512"/>
      <c r="D15" s="530" t="s">
        <v>687</v>
      </c>
      <c r="E15" s="512">
        <f>INDEX({1;2;4;6;12;24;26;52},MATCH('FY26 Level-Payment'!$E$11,$J$6:$J$13,0))</f>
        <v>1</v>
      </c>
    </row>
    <row r="16" spans="2:10" ht="15" customHeight="1">
      <c r="B16" s="512"/>
      <c r="C16" s="512"/>
      <c r="D16" s="530" t="s">
        <v>689</v>
      </c>
      <c r="E16" s="512">
        <f>IF('FY26 Level-Payment'!$E$12="End of Period",0,1)</f>
        <v>1</v>
      </c>
    </row>
    <row r="17" spans="2:12" ht="15" customHeight="1">
      <c r="B17" s="512"/>
      <c r="C17" s="512"/>
      <c r="D17" s="530" t="s">
        <v>696</v>
      </c>
      <c r="E17" s="512">
        <f>12/$E$14</f>
        <v>12</v>
      </c>
    </row>
    <row r="18" spans="2:12" ht="15" customHeight="1">
      <c r="B18" s="512"/>
      <c r="C18" s="512"/>
      <c r="D18" s="530" t="s">
        <v>697</v>
      </c>
      <c r="E18" s="512">
        <f>$E$8*$E$14</f>
        <v>30</v>
      </c>
    </row>
    <row r="19" spans="2:12" ht="15" customHeight="1">
      <c r="B19" s="512"/>
      <c r="C19" s="512"/>
      <c r="D19" s="530" t="s">
        <v>698</v>
      </c>
      <c r="E19" s="513" t="b">
        <f>(E13="On")</f>
        <v>1</v>
      </c>
    </row>
    <row r="20" spans="2:12">
      <c r="I20" s="531" t="s">
        <v>699</v>
      </c>
    </row>
    <row r="21" spans="2:12" ht="15.75">
      <c r="D21" s="532" t="str">
        <f>E10&amp;" Payment"</f>
        <v>annual Payment</v>
      </c>
      <c r="E21" s="533">
        <f>IF(roundOpt,ROUND(-PMT(rate,nper,$E$6,,pmtType),2),-PMT(rate,nper,$E$6,,pmtType))</f>
        <v>7653518.2000000002</v>
      </c>
      <c r="I21" s="531"/>
    </row>
    <row r="22" spans="2:12">
      <c r="I22" s="531"/>
    </row>
    <row r="23" spans="2:12" ht="15">
      <c r="B23" s="534" t="s">
        <v>700</v>
      </c>
      <c r="C23" s="534"/>
      <c r="D23" s="534"/>
      <c r="E23" s="534"/>
      <c r="F23" s="534"/>
      <c r="G23" s="534"/>
      <c r="H23" s="534"/>
      <c r="I23" s="534"/>
    </row>
    <row r="24" spans="2:12" ht="26.25" thickBot="1">
      <c r="B24" s="535"/>
      <c r="C24" s="536" t="s">
        <v>42</v>
      </c>
      <c r="D24" s="537" t="s">
        <v>701</v>
      </c>
      <c r="E24" s="537" t="s">
        <v>702</v>
      </c>
      <c r="F24" s="537"/>
      <c r="G24" s="537" t="s">
        <v>703</v>
      </c>
      <c r="H24" s="537" t="s">
        <v>704</v>
      </c>
      <c r="I24" s="537" t="s">
        <v>705</v>
      </c>
      <c r="K24" s="538" t="s">
        <v>706</v>
      </c>
    </row>
    <row r="25" spans="2:12">
      <c r="B25" s="539"/>
      <c r="C25" s="540"/>
      <c r="D25" s="539"/>
      <c r="E25" s="539"/>
      <c r="F25" s="539"/>
      <c r="G25" s="539"/>
      <c r="H25" s="541"/>
      <c r="I25" s="542">
        <f>loan_amount</f>
        <v>150000000</v>
      </c>
      <c r="K25" s="543">
        <f>loan_amount</f>
        <v>150000000</v>
      </c>
    </row>
    <row r="26" spans="2:12">
      <c r="B26" s="544"/>
      <c r="C26" s="544">
        <f>YEAR(fpdate)</f>
        <v>2025</v>
      </c>
      <c r="D26" s="545">
        <f>SUMIF($C$60:$C$841,"&lt;="&amp;DATE($C26,12,31),$D$60:$D$841)-SUM(D$25:D25)</f>
        <v>7653518.2000000002</v>
      </c>
      <c r="E26" s="545">
        <f>SUMIF($C$60:$C$841,"&lt;="&amp;DATE($C26,12,31),$E$60:$E$841)-SUM(E$25:E25)</f>
        <v>0</v>
      </c>
      <c r="F26" s="546"/>
      <c r="G26" s="545">
        <f>SUMIF($C$60:$C$841,"&lt;="&amp;DATE($C26,12,31),$G$60:$G$841)-SUM(G$25:G25)</f>
        <v>0</v>
      </c>
      <c r="H26" s="545">
        <f>SUMIF($C$60:$C$841,"&lt;="&amp;DATE($C26,12,31),$H$60:$H$841)-SUM(H$25:H25)</f>
        <v>7653518.2000000002</v>
      </c>
      <c r="I26" s="545">
        <f>I25-H26</f>
        <v>142346481.80000001</v>
      </c>
      <c r="K26" s="547">
        <f t="shared" ref="K26:K54" si="0">K25-H26</f>
        <v>142346481.80000001</v>
      </c>
    </row>
    <row r="27" spans="2:12">
      <c r="B27" s="548"/>
      <c r="C27" s="544">
        <f>C26+1</f>
        <v>2026</v>
      </c>
      <c r="D27" s="545">
        <f>SUMIF($C$60:$C$841,"&lt;="&amp;DATE($C27,12,31),$D$60:$D$841)-SUM(D$25:D26)</f>
        <v>7653518.2000000002</v>
      </c>
      <c r="E27" s="545">
        <f>SUMIF($C$60:$C$841,"&lt;="&amp;DATE($C27,12,31),$E$60:$E$841)-SUM(E$25:E26)</f>
        <v>0</v>
      </c>
      <c r="F27" s="546"/>
      <c r="G27" s="545">
        <f>SUMIF($C$60:$C$841,"&lt;="&amp;DATE($C27,12,31),$G$60:$G$841)-SUM(G$25:G26)</f>
        <v>4626260.66</v>
      </c>
      <c r="H27" s="545">
        <f>SUMIF($C$60:$C$841,"&lt;="&amp;DATE($C27,12,31),$H$60:$H$841)-SUM(H$25:H26)</f>
        <v>3027257.54</v>
      </c>
      <c r="I27" s="545">
        <f>I26-H27</f>
        <v>139319224.26000002</v>
      </c>
      <c r="K27" s="547">
        <f t="shared" si="0"/>
        <v>139319224.26000002</v>
      </c>
    </row>
    <row r="28" spans="2:12">
      <c r="B28" s="548"/>
      <c r="C28" s="544">
        <f>C27+1</f>
        <v>2027</v>
      </c>
      <c r="D28" s="545">
        <f>SUMIF($C$60:$C$841,"&lt;="&amp;DATE($C28,12,31),$D$60:$D$841)-SUM(D$25:D27)</f>
        <v>7653518.2000000011</v>
      </c>
      <c r="E28" s="545">
        <f>SUMIF($C$60:$C$841,"&lt;="&amp;DATE($C28,12,31),$E$60:$E$841)-SUM(E$25:E27)</f>
        <v>0</v>
      </c>
      <c r="F28" s="546"/>
      <c r="G28" s="545">
        <f>SUMIF($C$60:$C$841,"&lt;="&amp;DATE($C28,12,31),$G$60:$G$841)-SUM(G$25:G27)</f>
        <v>4527874.7899999991</v>
      </c>
      <c r="H28" s="545">
        <f>SUMIF($C$60:$C$841,"&lt;="&amp;DATE($C28,12,31),$H$60:$H$841)-SUM(H$25:H27)</f>
        <v>3125643.41</v>
      </c>
      <c r="I28" s="545">
        <f>I27-H28</f>
        <v>136193580.85000002</v>
      </c>
      <c r="K28" s="547">
        <f t="shared" si="0"/>
        <v>136193580.85000002</v>
      </c>
    </row>
    <row r="29" spans="2:12">
      <c r="B29" s="548"/>
      <c r="C29" s="544">
        <f>C28+1</f>
        <v>2028</v>
      </c>
      <c r="D29" s="545">
        <f>SUMIF($C$60:$C$841,"&lt;="&amp;DATE($C29,12,31),$D$60:$D$841)-SUM(D$25:D28)</f>
        <v>7653518.1999999993</v>
      </c>
      <c r="E29" s="545">
        <f>SUMIF($C$60:$C$841,"&lt;="&amp;DATE($C29,12,31),$E$60:$E$841)-SUM(E$25:E28)</f>
        <v>0</v>
      </c>
      <c r="F29" s="546"/>
      <c r="G29" s="545">
        <f>SUMIF($C$60:$C$841,"&lt;="&amp;DATE($C29,12,31),$G$60:$G$841)-SUM(G$25:G28)</f>
        <v>4426291.379999999</v>
      </c>
      <c r="H29" s="545">
        <f>SUMIF($C$60:$C$841,"&lt;="&amp;DATE($C29,12,31),$H$60:$H$841)-SUM(H$25:H28)</f>
        <v>3227226.8199999984</v>
      </c>
      <c r="I29" s="545">
        <f>I28-H29</f>
        <v>132966354.03000003</v>
      </c>
      <c r="K29" s="547">
        <f t="shared" si="0"/>
        <v>132966354.03000003</v>
      </c>
    </row>
    <row r="30" spans="2:12">
      <c r="B30" s="548"/>
      <c r="C30" s="544">
        <f t="shared" ref="C30:C56" si="1">C29+1</f>
        <v>2029</v>
      </c>
      <c r="D30" s="545">
        <f>SUMIF($C$60:$C$841,"&lt;="&amp;DATE($C30,12,31),$D$60:$D$841)-SUM(D$25:D29)</f>
        <v>7653518.1999999993</v>
      </c>
      <c r="E30" s="545">
        <f>SUMIF($C$60:$C$841,"&lt;="&amp;DATE($C30,12,31),$E$60:$E$841)-SUM(E$25:E29)</f>
        <v>0</v>
      </c>
      <c r="F30" s="546"/>
      <c r="G30" s="545">
        <f>SUMIF($C$60:$C$841,"&lt;="&amp;DATE($C30,12,31),$G$60:$G$841)-SUM(G$25:G29)</f>
        <v>4321406.5099999979</v>
      </c>
      <c r="H30" s="545">
        <f>SUMIF($C$60:$C$841,"&lt;="&amp;DATE($C30,12,31),$H$60:$H$841)-SUM(H$25:H29)</f>
        <v>3332111.6900000013</v>
      </c>
      <c r="I30" s="545">
        <f t="shared" ref="I30:I56" si="2">I29-H30</f>
        <v>129634242.34000003</v>
      </c>
      <c r="K30" s="547">
        <f t="shared" si="0"/>
        <v>129634242.34000003</v>
      </c>
    </row>
    <row r="31" spans="2:12">
      <c r="B31" s="548"/>
      <c r="C31" s="544">
        <f t="shared" si="1"/>
        <v>2030</v>
      </c>
      <c r="D31" s="545">
        <f>SUMIF($C$60:$C$841,"&lt;="&amp;DATE($C31,12,31),$D$60:$D$841)-SUM(D$25:D30)</f>
        <v>7653518.200000003</v>
      </c>
      <c r="E31" s="545">
        <f>SUMIF($C$60:$C$841,"&lt;="&amp;DATE($C31,12,31),$E$60:$E$841)-SUM(E$25:E30)</f>
        <v>0</v>
      </c>
      <c r="F31" s="546"/>
      <c r="G31" s="545">
        <f>SUMIF($C$60:$C$841,"&lt;="&amp;DATE($C31,12,31),$G$60:$G$841)-SUM(G$25:G30)</f>
        <v>4213112.879999999</v>
      </c>
      <c r="H31" s="545">
        <f>SUMIF($C$60:$C$841,"&lt;="&amp;DATE($C31,12,31),$H$60:$H$841)-SUM(H$25:H30)</f>
        <v>3440405.3200000003</v>
      </c>
      <c r="I31" s="545">
        <f t="shared" si="2"/>
        <v>126193837.02000004</v>
      </c>
      <c r="K31" s="547">
        <f t="shared" si="0"/>
        <v>126193837.02000004</v>
      </c>
      <c r="L31" s="538" t="s">
        <v>719</v>
      </c>
    </row>
    <row r="32" spans="2:12">
      <c r="B32" s="548"/>
      <c r="C32" s="544">
        <f t="shared" si="1"/>
        <v>2031</v>
      </c>
      <c r="D32" s="545">
        <f>SUMIF($C$60:$C$841,"&lt;="&amp;DATE($C32,12,31),$D$60:$D$841)-SUM(D$25:D31)</f>
        <v>7653518.200000003</v>
      </c>
      <c r="E32" s="545">
        <f>SUMIF($C$60:$C$841,"&lt;="&amp;DATE($C32,12,31),$E$60:$E$841)-SUM(E$25:E31)</f>
        <v>0</v>
      </c>
      <c r="F32" s="546"/>
      <c r="G32" s="545">
        <f>SUMIF($C$60:$C$841,"&lt;="&amp;DATE($C32,12,31),$G$60:$G$841)-SUM(G$25:G31)</f>
        <v>4101299.6999999993</v>
      </c>
      <c r="H32" s="545">
        <f>SUMIF($C$60:$C$841,"&lt;="&amp;DATE($C32,12,31),$H$60:$H$841)-SUM(H$25:H31)</f>
        <v>3552218.5</v>
      </c>
      <c r="I32" s="545">
        <f t="shared" si="2"/>
        <v>122641618.52000004</v>
      </c>
      <c r="K32" s="547">
        <f t="shared" si="0"/>
        <v>122641618.52000004</v>
      </c>
      <c r="L32" s="604">
        <f>SUM(D26:D32)</f>
        <v>53574627.400000006</v>
      </c>
    </row>
    <row r="33" spans="2:11">
      <c r="B33" s="548"/>
      <c r="C33" s="544">
        <f t="shared" si="1"/>
        <v>2032</v>
      </c>
      <c r="D33" s="545">
        <f>SUMIF($C$60:$C$841,"&lt;="&amp;DATE($C33,12,31),$D$60:$D$841)-SUM(D$25:D32)</f>
        <v>7653518.200000003</v>
      </c>
      <c r="E33" s="545">
        <f>SUMIF($C$60:$C$841,"&lt;="&amp;DATE($C33,12,31),$E$60:$E$841)-SUM(E$25:E32)</f>
        <v>0</v>
      </c>
      <c r="F33" s="546"/>
      <c r="G33" s="545">
        <f>SUMIF($C$60:$C$841,"&lt;="&amp;DATE($C33,12,31),$G$60:$G$841)-SUM(G$25:G32)</f>
        <v>3985852.6000000015</v>
      </c>
      <c r="H33" s="545">
        <f>SUMIF($C$60:$C$841,"&lt;="&amp;DATE($C33,12,31),$H$60:$H$841)-SUM(H$25:H32)</f>
        <v>3667665.6000000015</v>
      </c>
      <c r="I33" s="545">
        <f t="shared" si="2"/>
        <v>118973952.92000005</v>
      </c>
      <c r="K33" s="547">
        <f t="shared" si="0"/>
        <v>118973952.92000005</v>
      </c>
    </row>
    <row r="34" spans="2:11">
      <c r="B34" s="548"/>
      <c r="C34" s="544">
        <f t="shared" si="1"/>
        <v>2033</v>
      </c>
      <c r="D34" s="545">
        <f>SUMIF($C$60:$C$841,"&lt;="&amp;DATE($C34,12,31),$D$60:$D$841)-SUM(D$25:D33)</f>
        <v>7653518.200000003</v>
      </c>
      <c r="E34" s="545">
        <f>SUMIF($C$60:$C$841,"&lt;="&amp;DATE($C34,12,31),$E$60:$E$841)-SUM(E$25:E33)</f>
        <v>0</v>
      </c>
      <c r="F34" s="546"/>
      <c r="G34" s="545">
        <f>SUMIF($C$60:$C$841,"&lt;="&amp;DATE($C34,12,31),$G$60:$G$841)-SUM(G$25:G33)</f>
        <v>3866653.4699999988</v>
      </c>
      <c r="H34" s="545">
        <f>SUMIF($C$60:$C$841,"&lt;="&amp;DATE($C34,12,31),$H$60:$H$841)-SUM(H$25:H33)</f>
        <v>3786864.7300000004</v>
      </c>
      <c r="I34" s="545">
        <f t="shared" si="2"/>
        <v>115187088.19000004</v>
      </c>
      <c r="K34" s="547">
        <f t="shared" si="0"/>
        <v>115187088.19000004</v>
      </c>
    </row>
    <row r="35" spans="2:11">
      <c r="B35" s="548"/>
      <c r="C35" s="544">
        <f t="shared" si="1"/>
        <v>2034</v>
      </c>
      <c r="D35" s="545">
        <f>SUMIF($C$60:$C$841,"&lt;="&amp;DATE($C35,12,31),$D$60:$D$841)-SUM(D$25:D34)</f>
        <v>7653518.200000003</v>
      </c>
      <c r="E35" s="545">
        <f>SUMIF($C$60:$C$841,"&lt;="&amp;DATE($C35,12,31),$E$60:$E$841)-SUM(E$25:E34)</f>
        <v>0</v>
      </c>
      <c r="F35" s="546"/>
      <c r="G35" s="545">
        <f>SUMIF($C$60:$C$841,"&lt;="&amp;DATE($C35,12,31),$G$60:$G$841)-SUM(G$25:G34)</f>
        <v>3743580.3699999973</v>
      </c>
      <c r="H35" s="545">
        <f>SUMIF($C$60:$C$841,"&lt;="&amp;DATE($C35,12,31),$H$60:$H$841)-SUM(H$25:H34)</f>
        <v>3909937.8299999982</v>
      </c>
      <c r="I35" s="545">
        <f t="shared" si="2"/>
        <v>111277150.36000004</v>
      </c>
      <c r="K35" s="547">
        <f t="shared" si="0"/>
        <v>111277150.36000004</v>
      </c>
    </row>
    <row r="36" spans="2:11">
      <c r="B36" s="548"/>
      <c r="C36" s="544">
        <f t="shared" si="1"/>
        <v>2035</v>
      </c>
      <c r="D36" s="545">
        <f>SUMIF($C$60:$C$841,"&lt;="&amp;DATE($C36,12,31),$D$60:$D$841)-SUM(D$25:D35)</f>
        <v>7653518.200000003</v>
      </c>
      <c r="E36" s="545">
        <f>SUMIF($C$60:$C$841,"&lt;="&amp;DATE($C36,12,31),$E$60:$E$841)-SUM(E$25:E35)</f>
        <v>0</v>
      </c>
      <c r="F36" s="546"/>
      <c r="G36" s="545">
        <f>SUMIF($C$60:$C$841,"&lt;="&amp;DATE($C36,12,31),$G$60:$G$841)-SUM(G$25:G35)</f>
        <v>3616507.3900000006</v>
      </c>
      <c r="H36" s="545">
        <f>SUMIF($C$60:$C$841,"&lt;="&amp;DATE($C36,12,31),$H$60:$H$841)-SUM(H$25:H35)</f>
        <v>4037010.8100000024</v>
      </c>
      <c r="I36" s="545">
        <f t="shared" si="2"/>
        <v>107240139.55000004</v>
      </c>
      <c r="K36" s="547">
        <f t="shared" si="0"/>
        <v>107240139.55000004</v>
      </c>
    </row>
    <row r="37" spans="2:11">
      <c r="B37" s="548"/>
      <c r="C37" s="544">
        <f t="shared" si="1"/>
        <v>2036</v>
      </c>
      <c r="D37" s="545">
        <f>SUMIF($C$60:$C$841,"&lt;="&amp;DATE($C37,12,31),$D$60:$D$841)-SUM(D$25:D36)</f>
        <v>7653518.200000003</v>
      </c>
      <c r="E37" s="545">
        <f>SUMIF($C$60:$C$841,"&lt;="&amp;DATE($C37,12,31),$E$60:$E$841)-SUM(E$25:E36)</f>
        <v>0</v>
      </c>
      <c r="F37" s="546"/>
      <c r="G37" s="545">
        <f>SUMIF($C$60:$C$841,"&lt;="&amp;DATE($C37,12,31),$G$60:$G$841)-SUM(G$25:G36)</f>
        <v>3485304.5399999991</v>
      </c>
      <c r="H37" s="545">
        <f>SUMIF($C$60:$C$841,"&lt;="&amp;DATE($C37,12,31),$H$60:$H$841)-SUM(H$25:H36)</f>
        <v>4168213.6599999964</v>
      </c>
      <c r="I37" s="545">
        <f t="shared" si="2"/>
        <v>103071925.89000005</v>
      </c>
      <c r="K37" s="547">
        <f t="shared" si="0"/>
        <v>103071925.89000005</v>
      </c>
    </row>
    <row r="38" spans="2:11">
      <c r="B38" s="548"/>
      <c r="C38" s="544">
        <f t="shared" si="1"/>
        <v>2037</v>
      </c>
      <c r="D38" s="545">
        <f>SUMIF($C$60:$C$841,"&lt;="&amp;DATE($C38,12,31),$D$60:$D$841)-SUM(D$25:D37)</f>
        <v>7653518.200000003</v>
      </c>
      <c r="E38" s="545">
        <f>SUMIF($C$60:$C$841,"&lt;="&amp;DATE($C38,12,31),$E$60:$E$841)-SUM(E$25:E37)</f>
        <v>0</v>
      </c>
      <c r="F38" s="546"/>
      <c r="G38" s="545">
        <f>SUMIF($C$60:$C$841,"&lt;="&amp;DATE($C38,12,31),$G$60:$G$841)-SUM(G$25:G37)</f>
        <v>3349837.5900000036</v>
      </c>
      <c r="H38" s="545">
        <f>SUMIF($C$60:$C$841,"&lt;="&amp;DATE($C38,12,31),$H$60:$H$841)-SUM(H$25:H37)</f>
        <v>4303680.6099999994</v>
      </c>
      <c r="I38" s="545">
        <f t="shared" si="2"/>
        <v>98768245.280000046</v>
      </c>
      <c r="K38" s="547">
        <f t="shared" si="0"/>
        <v>98768245.280000046</v>
      </c>
    </row>
    <row r="39" spans="2:11">
      <c r="B39" s="548"/>
      <c r="C39" s="544">
        <f t="shared" si="1"/>
        <v>2038</v>
      </c>
      <c r="D39" s="545">
        <f>SUMIF($C$60:$C$841,"&lt;="&amp;DATE($C39,12,31),$D$60:$D$841)-SUM(D$25:D38)</f>
        <v>7653518.200000003</v>
      </c>
      <c r="E39" s="545">
        <f>SUMIF($C$60:$C$841,"&lt;="&amp;DATE($C39,12,31),$E$60:$E$841)-SUM(E$25:E38)</f>
        <v>0</v>
      </c>
      <c r="F39" s="546"/>
      <c r="G39" s="545">
        <f>SUMIF($C$60:$C$841,"&lt;="&amp;DATE($C39,12,31),$G$60:$G$841)-SUM(G$25:G38)</f>
        <v>3209967.9699999988</v>
      </c>
      <c r="H39" s="545">
        <f>SUMIF($C$60:$C$841,"&lt;="&amp;DATE($C39,12,31),$H$60:$H$841)-SUM(H$25:H38)</f>
        <v>4443550.2300000042</v>
      </c>
      <c r="I39" s="545">
        <f t="shared" si="2"/>
        <v>94324695.050000042</v>
      </c>
      <c r="K39" s="547">
        <f t="shared" si="0"/>
        <v>94324695.050000042</v>
      </c>
    </row>
    <row r="40" spans="2:11">
      <c r="B40" s="548"/>
      <c r="C40" s="544">
        <f t="shared" si="1"/>
        <v>2039</v>
      </c>
      <c r="D40" s="545">
        <f>SUMIF($C$60:$C$841,"&lt;="&amp;DATE($C40,12,31),$D$60:$D$841)-SUM(D$25:D39)</f>
        <v>7653518.200000003</v>
      </c>
      <c r="E40" s="545">
        <f>SUMIF($C$60:$C$841,"&lt;="&amp;DATE($C40,12,31),$E$60:$E$841)-SUM(E$25:E39)</f>
        <v>0</v>
      </c>
      <c r="F40" s="546"/>
      <c r="G40" s="545">
        <f>SUMIF($C$60:$C$841,"&lt;="&amp;DATE($C40,12,31),$G$60:$G$841)-SUM(G$25:G39)</f>
        <v>3065552.5900000036</v>
      </c>
      <c r="H40" s="545">
        <f>SUMIF($C$60:$C$841,"&lt;="&amp;DATE($C40,12,31),$H$60:$H$841)-SUM(H$25:H39)</f>
        <v>4587965.6099999994</v>
      </c>
      <c r="I40" s="545">
        <f t="shared" si="2"/>
        <v>89736729.440000042</v>
      </c>
      <c r="K40" s="547">
        <f t="shared" si="0"/>
        <v>89736729.440000042</v>
      </c>
    </row>
    <row r="41" spans="2:11">
      <c r="B41" s="548"/>
      <c r="C41" s="544">
        <f t="shared" si="1"/>
        <v>2040</v>
      </c>
      <c r="D41" s="545">
        <f>SUMIF($C$60:$C$841,"&lt;="&amp;DATE($C41,12,31),$D$60:$D$841)-SUM(D$25:D40)</f>
        <v>7653518.200000003</v>
      </c>
      <c r="E41" s="545">
        <f>SUMIF($C$60:$C$841,"&lt;="&amp;DATE($C41,12,31),$E$60:$E$841)-SUM(E$25:E40)</f>
        <v>0</v>
      </c>
      <c r="F41" s="546"/>
      <c r="G41" s="545">
        <f>SUMIF($C$60:$C$841,"&lt;="&amp;DATE($C41,12,31),$G$60:$G$841)-SUM(G$25:G40)</f>
        <v>2916443.7100000009</v>
      </c>
      <c r="H41" s="545">
        <f>SUMIF($C$60:$C$841,"&lt;="&amp;DATE($C41,12,31),$H$60:$H$841)-SUM(H$25:H40)</f>
        <v>4737074.4900000021</v>
      </c>
      <c r="I41" s="545">
        <f t="shared" si="2"/>
        <v>84999654.950000048</v>
      </c>
      <c r="K41" s="547">
        <f t="shared" si="0"/>
        <v>84999654.950000048</v>
      </c>
    </row>
    <row r="42" spans="2:11">
      <c r="B42" s="548"/>
      <c r="C42" s="544">
        <f t="shared" si="1"/>
        <v>2041</v>
      </c>
      <c r="D42" s="545">
        <f>SUMIF($C$60:$C$841,"&lt;="&amp;DATE($C42,12,31),$D$60:$D$841)-SUM(D$25:D41)</f>
        <v>7653518.200000003</v>
      </c>
      <c r="E42" s="545">
        <f>SUMIF($C$60:$C$841,"&lt;="&amp;DATE($C42,12,31),$E$60:$E$841)-SUM(E$25:E41)</f>
        <v>0</v>
      </c>
      <c r="F42" s="546"/>
      <c r="G42" s="545">
        <f>SUMIF($C$60:$C$841,"&lt;="&amp;DATE($C42,12,31),$G$60:$G$841)-SUM(G$25:G41)</f>
        <v>2762488.7899999991</v>
      </c>
      <c r="H42" s="545">
        <f>SUMIF($C$60:$C$841,"&lt;="&amp;DATE($C42,12,31),$H$60:$H$841)-SUM(H$25:H41)</f>
        <v>4891029.4100000039</v>
      </c>
      <c r="I42" s="545">
        <f t="shared" si="2"/>
        <v>80108625.540000051</v>
      </c>
      <c r="K42" s="547">
        <f t="shared" si="0"/>
        <v>80108625.540000051</v>
      </c>
    </row>
    <row r="43" spans="2:11">
      <c r="B43" s="548"/>
      <c r="C43" s="544">
        <f t="shared" si="1"/>
        <v>2042</v>
      </c>
      <c r="D43" s="545">
        <f>SUMIF($C$60:$C$841,"&lt;="&amp;DATE($C43,12,31),$D$60:$D$841)-SUM(D$25:D42)</f>
        <v>7653518.1999999881</v>
      </c>
      <c r="E43" s="545">
        <f>SUMIF($C$60:$C$841,"&lt;="&amp;DATE($C43,12,31),$E$60:$E$841)-SUM(E$25:E42)</f>
        <v>0</v>
      </c>
      <c r="F43" s="546"/>
      <c r="G43" s="545">
        <f>SUMIF($C$60:$C$841,"&lt;="&amp;DATE($C43,12,31),$G$60:$G$841)-SUM(G$25:G42)</f>
        <v>2603530.3299999982</v>
      </c>
      <c r="H43" s="545">
        <f>SUMIF($C$60:$C$841,"&lt;="&amp;DATE($C43,12,31),$H$60:$H$841)-SUM(H$25:H42)</f>
        <v>5049987.8700000048</v>
      </c>
      <c r="I43" s="545">
        <f t="shared" si="2"/>
        <v>75058637.670000046</v>
      </c>
      <c r="K43" s="547">
        <f t="shared" si="0"/>
        <v>75058637.670000046</v>
      </c>
    </row>
    <row r="44" spans="2:11">
      <c r="B44" s="548"/>
      <c r="C44" s="544">
        <f t="shared" si="1"/>
        <v>2043</v>
      </c>
      <c r="D44" s="545">
        <f>SUMIF($C$60:$C$841,"&lt;="&amp;DATE($C44,12,31),$D$60:$D$841)-SUM(D$25:D43)</f>
        <v>7653518.1999999881</v>
      </c>
      <c r="E44" s="545">
        <f>SUMIF($C$60:$C$841,"&lt;="&amp;DATE($C44,12,31),$E$60:$E$841)-SUM(E$25:E43)</f>
        <v>0</v>
      </c>
      <c r="F44" s="546"/>
      <c r="G44" s="545">
        <f>SUMIF($C$60:$C$841,"&lt;="&amp;DATE($C44,12,31),$G$60:$G$841)-SUM(G$25:G43)</f>
        <v>2439405.7199999988</v>
      </c>
      <c r="H44" s="545">
        <f>SUMIF($C$60:$C$841,"&lt;="&amp;DATE($C44,12,31),$H$60:$H$841)-SUM(H$25:H43)</f>
        <v>5214112.4800000042</v>
      </c>
      <c r="I44" s="545">
        <f t="shared" si="2"/>
        <v>69844525.190000042</v>
      </c>
      <c r="K44" s="547">
        <f t="shared" si="0"/>
        <v>69844525.190000042</v>
      </c>
    </row>
    <row r="45" spans="2:11">
      <c r="B45" s="548"/>
      <c r="C45" s="544">
        <f t="shared" si="1"/>
        <v>2044</v>
      </c>
      <c r="D45" s="545">
        <f>SUMIF($C$60:$C$841,"&lt;="&amp;DATE($C45,12,31),$D$60:$D$841)-SUM(D$25:D44)</f>
        <v>7653518.1999999881</v>
      </c>
      <c r="E45" s="545">
        <f>SUMIF($C$60:$C$841,"&lt;="&amp;DATE($C45,12,31),$E$60:$E$841)-SUM(E$25:E44)</f>
        <v>0</v>
      </c>
      <c r="F45" s="546"/>
      <c r="G45" s="545">
        <f>SUMIF($C$60:$C$841,"&lt;="&amp;DATE($C45,12,31),$G$60:$G$841)-SUM(G$25:G44)</f>
        <v>2269947.0699999928</v>
      </c>
      <c r="H45" s="545">
        <f>SUMIF($C$60:$C$841,"&lt;="&amp;DATE($C45,12,31),$H$60:$H$841)-SUM(H$25:H44)</f>
        <v>5383571.1299999952</v>
      </c>
      <c r="I45" s="545">
        <f t="shared" si="2"/>
        <v>64460954.060000047</v>
      </c>
      <c r="K45" s="547">
        <f t="shared" si="0"/>
        <v>64460954.060000047</v>
      </c>
    </row>
    <row r="46" spans="2:11">
      <c r="B46" s="548"/>
      <c r="C46" s="544">
        <f t="shared" si="1"/>
        <v>2045</v>
      </c>
      <c r="D46" s="545">
        <f>SUMIF($C$60:$C$841,"&lt;="&amp;DATE($C46,12,31),$D$60:$D$841)-SUM(D$25:D45)</f>
        <v>7653518.1999999881</v>
      </c>
      <c r="E46" s="545">
        <f>SUMIF($C$60:$C$841,"&lt;="&amp;DATE($C46,12,31),$E$60:$E$841)-SUM(E$25:E45)</f>
        <v>0</v>
      </c>
      <c r="F46" s="546"/>
      <c r="G46" s="545">
        <f>SUMIF($C$60:$C$841,"&lt;="&amp;DATE($C46,12,31),$G$60:$G$841)-SUM(G$25:G45)</f>
        <v>2094981.0100000054</v>
      </c>
      <c r="H46" s="545">
        <f>SUMIF($C$60:$C$841,"&lt;="&amp;DATE($C46,12,31),$H$60:$H$841)-SUM(H$25:H45)</f>
        <v>5558537.1899999976</v>
      </c>
      <c r="I46" s="545">
        <f t="shared" si="2"/>
        <v>58902416.870000049</v>
      </c>
      <c r="K46" s="547">
        <f t="shared" si="0"/>
        <v>58902416.870000049</v>
      </c>
    </row>
    <row r="47" spans="2:11">
      <c r="B47" s="548"/>
      <c r="C47" s="544">
        <f t="shared" si="1"/>
        <v>2046</v>
      </c>
      <c r="D47" s="545">
        <f>SUMIF($C$60:$C$841,"&lt;="&amp;DATE($C47,12,31),$D$60:$D$841)-SUM(D$25:D46)</f>
        <v>7653518.1999999881</v>
      </c>
      <c r="E47" s="545">
        <f>SUMIF($C$60:$C$841,"&lt;="&amp;DATE($C47,12,31),$E$60:$E$841)-SUM(E$25:E46)</f>
        <v>0</v>
      </c>
      <c r="F47" s="546"/>
      <c r="G47" s="545">
        <f>SUMIF($C$60:$C$841,"&lt;="&amp;DATE($C47,12,31),$G$60:$G$841)-SUM(G$25:G46)</f>
        <v>1914328.549999997</v>
      </c>
      <c r="H47" s="545">
        <f>SUMIF($C$60:$C$841,"&lt;="&amp;DATE($C47,12,31),$H$60:$H$841)-SUM(H$25:H46)</f>
        <v>5739189.650000006</v>
      </c>
      <c r="I47" s="545">
        <f t="shared" si="2"/>
        <v>53163227.220000044</v>
      </c>
      <c r="K47" s="547">
        <f t="shared" si="0"/>
        <v>53163227.220000044</v>
      </c>
    </row>
    <row r="48" spans="2:11">
      <c r="B48" s="548"/>
      <c r="C48" s="544">
        <f t="shared" si="1"/>
        <v>2047</v>
      </c>
      <c r="D48" s="545">
        <f>SUMIF($C$60:$C$841,"&lt;="&amp;DATE($C48,12,31),$D$60:$D$841)-SUM(D$25:D47)</f>
        <v>7653518.1999999881</v>
      </c>
      <c r="E48" s="545">
        <f>SUMIF($C$60:$C$841,"&lt;="&amp;DATE($C48,12,31),$E$60:$E$841)-SUM(E$25:E47)</f>
        <v>0</v>
      </c>
      <c r="F48" s="546"/>
      <c r="G48" s="545">
        <f>SUMIF($C$60:$C$841,"&lt;="&amp;DATE($C48,12,31),$G$60:$G$841)-SUM(G$25:G47)</f>
        <v>1727804.8799999952</v>
      </c>
      <c r="H48" s="545">
        <f>SUMIF($C$60:$C$841,"&lt;="&amp;DATE($C48,12,31),$H$60:$H$841)-SUM(H$25:H47)</f>
        <v>5925713.3200000077</v>
      </c>
      <c r="I48" s="545">
        <f t="shared" si="2"/>
        <v>47237513.900000036</v>
      </c>
      <c r="K48" s="547">
        <f t="shared" si="0"/>
        <v>47237513.900000036</v>
      </c>
    </row>
    <row r="49" spans="2:11">
      <c r="B49" s="548"/>
      <c r="C49" s="544">
        <f t="shared" si="1"/>
        <v>2048</v>
      </c>
      <c r="D49" s="545">
        <f>SUMIF($C$60:$C$841,"&lt;="&amp;DATE($C49,12,31),$D$60:$D$841)-SUM(D$25:D48)</f>
        <v>7653518.1999999881</v>
      </c>
      <c r="E49" s="545">
        <f>SUMIF($C$60:$C$841,"&lt;="&amp;DATE($C49,12,31),$E$60:$E$841)-SUM(E$25:E48)</f>
        <v>0</v>
      </c>
      <c r="F49" s="546"/>
      <c r="G49" s="545">
        <f>SUMIF($C$60:$C$841,"&lt;="&amp;DATE($C49,12,31),$G$60:$G$841)-SUM(G$25:G48)</f>
        <v>1535219.200000003</v>
      </c>
      <c r="H49" s="545">
        <f>SUMIF($C$60:$C$841,"&lt;="&amp;DATE($C49,12,31),$H$60:$H$841)-SUM(H$25:H48)</f>
        <v>6118299</v>
      </c>
      <c r="I49" s="545">
        <f t="shared" si="2"/>
        <v>41119214.900000036</v>
      </c>
      <c r="K49" s="547">
        <f t="shared" si="0"/>
        <v>41119214.900000036</v>
      </c>
    </row>
    <row r="50" spans="2:11">
      <c r="B50" s="548"/>
      <c r="C50" s="544">
        <f t="shared" si="1"/>
        <v>2049</v>
      </c>
      <c r="D50" s="545">
        <f>SUMIF($C$60:$C$841,"&lt;="&amp;DATE($C50,12,31),$D$60:$D$841)-SUM(D$25:D49)</f>
        <v>7653518.1999999881</v>
      </c>
      <c r="E50" s="545">
        <f>SUMIF($C$60:$C$841,"&lt;="&amp;DATE($C50,12,31),$E$60:$E$841)-SUM(E$25:E49)</f>
        <v>0</v>
      </c>
      <c r="F50" s="546"/>
      <c r="G50" s="545">
        <f>SUMIF($C$60:$C$841,"&lt;="&amp;DATE($C50,12,31),$G$60:$G$841)-SUM(G$25:G49)</f>
        <v>1336374.4800000042</v>
      </c>
      <c r="H50" s="545">
        <f>SUMIF($C$60:$C$841,"&lt;="&amp;DATE($C50,12,31),$H$60:$H$841)-SUM(H$25:H49)</f>
        <v>6317143.7199999988</v>
      </c>
      <c r="I50" s="545">
        <f t="shared" si="2"/>
        <v>34802071.180000037</v>
      </c>
      <c r="K50" s="547">
        <f t="shared" si="0"/>
        <v>34802071.180000037</v>
      </c>
    </row>
    <row r="51" spans="2:11">
      <c r="B51" s="548"/>
      <c r="C51" s="544">
        <f t="shared" si="1"/>
        <v>2050</v>
      </c>
      <c r="D51" s="545">
        <f>SUMIF($C$60:$C$841,"&lt;="&amp;DATE($C51,12,31),$D$60:$D$841)-SUM(D$25:D50)</f>
        <v>7653518.1999999881</v>
      </c>
      <c r="E51" s="545">
        <f>SUMIF($C$60:$C$841,"&lt;="&amp;DATE($C51,12,31),$E$60:$E$841)-SUM(E$25:E50)</f>
        <v>0</v>
      </c>
      <c r="F51" s="546"/>
      <c r="G51" s="545">
        <f>SUMIF($C$60:$C$841,"&lt;="&amp;DATE($C51,12,31),$G$60:$G$841)-SUM(G$25:G50)</f>
        <v>1131067.3100000024</v>
      </c>
      <c r="H51" s="545">
        <f>SUMIF($C$60:$C$841,"&lt;="&amp;DATE($C51,12,31),$H$60:$H$841)-SUM(H$25:H50)</f>
        <v>6522450.8900000006</v>
      </c>
      <c r="I51" s="545">
        <f t="shared" si="2"/>
        <v>28279620.290000036</v>
      </c>
      <c r="K51" s="547">
        <f t="shared" si="0"/>
        <v>28279620.290000036</v>
      </c>
    </row>
    <row r="52" spans="2:11">
      <c r="B52" s="548"/>
      <c r="C52" s="544">
        <f t="shared" si="1"/>
        <v>2051</v>
      </c>
      <c r="D52" s="545">
        <f>SUMIF($C$60:$C$841,"&lt;="&amp;DATE($C52,12,31),$D$60:$D$841)-SUM(D$25:D51)</f>
        <v>7653518.1999999881</v>
      </c>
      <c r="E52" s="545">
        <f>SUMIF($C$60:$C$841,"&lt;="&amp;DATE($C52,12,31),$E$60:$E$841)-SUM(E$25:E51)</f>
        <v>0</v>
      </c>
      <c r="F52" s="546"/>
      <c r="G52" s="545">
        <f>SUMIF($C$60:$C$841,"&lt;="&amp;DATE($C52,12,31),$G$60:$G$841)-SUM(G$25:G51)</f>
        <v>919087.65999999642</v>
      </c>
      <c r="H52" s="545">
        <f>SUMIF($C$60:$C$841,"&lt;="&amp;DATE($C52,12,31),$H$60:$H$841)-SUM(H$25:H51)</f>
        <v>6734430.5400000066</v>
      </c>
      <c r="I52" s="545">
        <f t="shared" si="2"/>
        <v>21545189.75000003</v>
      </c>
      <c r="K52" s="547">
        <f t="shared" si="0"/>
        <v>21545189.75000003</v>
      </c>
    </row>
    <row r="53" spans="2:11">
      <c r="B53" s="548"/>
      <c r="C53" s="544">
        <f t="shared" si="1"/>
        <v>2052</v>
      </c>
      <c r="D53" s="545">
        <f>SUMIF($C$60:$C$841,"&lt;="&amp;DATE($C53,12,31),$D$60:$D$841)-SUM(D$25:D52)</f>
        <v>7653518.1999999881</v>
      </c>
      <c r="E53" s="545">
        <f>SUMIF($C$60:$C$841,"&lt;="&amp;DATE($C53,12,31),$E$60:$E$841)-SUM(E$25:E52)</f>
        <v>0</v>
      </c>
      <c r="F53" s="546"/>
      <c r="G53" s="545">
        <f>SUMIF($C$60:$C$841,"&lt;="&amp;DATE($C53,12,31),$G$60:$G$841)-SUM(G$25:G52)</f>
        <v>700218.67000000179</v>
      </c>
      <c r="H53" s="545">
        <f>SUMIF($C$60:$C$841,"&lt;="&amp;DATE($C53,12,31),$H$60:$H$841)-SUM(H$25:H52)</f>
        <v>6953299.5300000012</v>
      </c>
      <c r="I53" s="545">
        <f t="shared" si="2"/>
        <v>14591890.220000029</v>
      </c>
      <c r="K53" s="547">
        <f t="shared" si="0"/>
        <v>14591890.220000029</v>
      </c>
    </row>
    <row r="54" spans="2:11">
      <c r="B54" s="548"/>
      <c r="C54" s="544">
        <f t="shared" si="1"/>
        <v>2053</v>
      </c>
      <c r="D54" s="545">
        <f>SUMIF($C$60:$C$841,"&lt;="&amp;DATE($C54,12,31),$D$60:$D$841)-SUM(D$25:D53)</f>
        <v>7653518.1999999881</v>
      </c>
      <c r="E54" s="545">
        <f>SUMIF($C$60:$C$841,"&lt;="&amp;DATE($C54,12,31),$E$60:$E$841)-SUM(E$25:E53)</f>
        <v>0</v>
      </c>
      <c r="F54" s="546"/>
      <c r="G54" s="545">
        <f>SUMIF($C$60:$C$841,"&lt;="&amp;DATE($C54,12,31),$G$60:$G$841)-SUM(G$25:G53)</f>
        <v>474236.43000000715</v>
      </c>
      <c r="H54" s="545">
        <f>SUMIF($C$60:$C$841,"&lt;="&amp;DATE($C54,12,31),$H$60:$H$841)-SUM(H$25:H53)</f>
        <v>7179281.7700000107</v>
      </c>
      <c r="I54" s="545">
        <f t="shared" si="2"/>
        <v>7412608.4500000179</v>
      </c>
      <c r="K54" s="547">
        <f t="shared" si="0"/>
        <v>7412608.4500000179</v>
      </c>
    </row>
    <row r="55" spans="2:11">
      <c r="B55" s="548"/>
      <c r="C55" s="544">
        <f t="shared" si="1"/>
        <v>2054</v>
      </c>
      <c r="D55" s="545">
        <f>SUMIF($C$60:$C$841,"&lt;="&amp;DATE($C55,12,31),$D$60:$D$841)-SUM(D$25:D54)</f>
        <v>7653518.2199999988</v>
      </c>
      <c r="E55" s="545">
        <f>SUMIF($C$60:$C$841,"&lt;="&amp;DATE($C55,12,31),$E$60:$E$841)-SUM(E$25:E54)</f>
        <v>0</v>
      </c>
      <c r="F55" s="546"/>
      <c r="G55" s="545">
        <f>SUMIF($C$60:$C$841,"&lt;="&amp;DATE($C55,12,31),$G$60:$G$841)-SUM(G$25:G54)</f>
        <v>240909.76999999583</v>
      </c>
      <c r="H55" s="545">
        <f>SUMIF($C$60:$C$841,"&lt;="&amp;DATE($C55,12,31),$H$60:$H$841)-SUM(H$25:H54)</f>
        <v>7412608.4499999881</v>
      </c>
      <c r="I55" s="545">
        <f t="shared" si="2"/>
        <v>2.9802322387695313E-8</v>
      </c>
      <c r="K55" s="547"/>
    </row>
    <row r="56" spans="2:11">
      <c r="B56" s="548"/>
      <c r="C56" s="544">
        <f t="shared" si="1"/>
        <v>2055</v>
      </c>
      <c r="D56" s="545">
        <f>SUMIF($C$60:$C$841,"&lt;="&amp;DATE($C56,12,31),$D$60:$D$841)-SUM(D$25:D55)</f>
        <v>0</v>
      </c>
      <c r="E56" s="545">
        <f>SUMIF($C$60:$C$841,"&lt;="&amp;DATE($C56,12,31),$E$60:$E$841)-SUM(E$25:E55)</f>
        <v>0</v>
      </c>
      <c r="F56" s="546"/>
      <c r="G56" s="545">
        <f>SUMIF($C$60:$C$841,"&lt;="&amp;DATE($C56,12,31),$G$60:$G$841)-SUM(G$25:G55)</f>
        <v>0</v>
      </c>
      <c r="H56" s="545">
        <f>SUMIF($C$60:$C$841,"&lt;="&amp;DATE($C56,12,31),$H$60:$H$841)-SUM(H$25:H55)</f>
        <v>0</v>
      </c>
      <c r="I56" s="545">
        <f t="shared" si="2"/>
        <v>2.9802322387695313E-8</v>
      </c>
    </row>
    <row r="57" spans="2:11">
      <c r="I57" s="531"/>
    </row>
    <row r="58" spans="2:11" ht="15">
      <c r="B58" s="534" t="s">
        <v>707</v>
      </c>
      <c r="C58" s="534"/>
      <c r="D58" s="534"/>
      <c r="E58" s="534"/>
      <c r="F58" s="534"/>
      <c r="G58" s="534"/>
      <c r="H58" s="534"/>
    </row>
    <row r="59" spans="2:11" ht="26.25" thickBot="1">
      <c r="B59" s="549" t="s">
        <v>708</v>
      </c>
      <c r="C59" s="550" t="s">
        <v>709</v>
      </c>
      <c r="D59" s="550" t="s">
        <v>710</v>
      </c>
      <c r="E59" s="550" t="s">
        <v>711</v>
      </c>
      <c r="F59" s="537"/>
      <c r="G59" s="551" t="s">
        <v>45</v>
      </c>
      <c r="H59" s="551" t="s">
        <v>44</v>
      </c>
      <c r="I59" s="551" t="s">
        <v>492</v>
      </c>
    </row>
    <row r="60" spans="2:11">
      <c r="B60" s="552"/>
      <c r="C60" s="553"/>
      <c r="D60" s="552"/>
      <c r="E60" s="552"/>
      <c r="F60" s="552"/>
      <c r="G60" s="554"/>
      <c r="H60" s="554"/>
      <c r="I60" s="554">
        <f>$E$6</f>
        <v>150000000</v>
      </c>
    </row>
    <row r="61" spans="2:11">
      <c r="B61" s="555">
        <f t="shared" ref="B61:B124" si="3">IF(I60="","",IF(roundOpt,IF(OR(B60&gt;=nper,ROUND(I60,2)&lt;=0),"",B60+1),IF(OR(B60&gt;=nper,I60&lt;=0),"",B60+1)))</f>
        <v>1</v>
      </c>
      <c r="C61" s="556">
        <f t="shared" ref="C61:C124" si="4">IF(B61="","",IF(OR(periods_per_year=26,periods_per_year=52),IF(periods_per_year=26,IF(B61=1,fpdate,C60+14),IF(periods_per_year=52,IF(B61=1,fpdate,C60+7),"n/a")),IF(periods_per_year=24,DATE(YEAR(fpdate),MONTH(fpdate)+(B61-1)/2+IF(AND(DAY(fpdate)&gt;=15,MOD(B61,2)=0),1,0),IF(MOD(B61,2)=0,IF(DAY(fpdate)&gt;=15,DAY(fpdate)-14,DAY(fpdate)+14),DAY(fpdate))),IF(DAY(DATE(YEAR(fpdate),MONTH(fpdate)+(B61-1)*months_per_period,DAY(fpdate)))&lt;&gt;DAY(fpdate),DATE(YEAR(fpdate),MONTH(fpdate)+(B61-1)*months_per_period+1,0),DATE(YEAR(fpdate),MONTH(fpdate)+(B61-1)*months_per_period,DAY(fpdate))))))</f>
        <v>45839</v>
      </c>
      <c r="D61" s="557">
        <f t="shared" ref="D61:D124" si="5">IF(B61="","",IF(roundOpt,IF(OR(B61=nper,payment&gt;ROUND((1+rate)*I60,2)),ROUND((1+rate)*I60,2),payment),IF(OR(B61=nper,payment&gt;(1+rate)*I60),(1+rate)*I60,payment)))</f>
        <v>7653518.2000000002</v>
      </c>
      <c r="E61" s="558"/>
      <c r="F61" s="559"/>
      <c r="G61" s="559">
        <f t="shared" ref="G61:G124" si="6">IF(B61="","",IF(AND(B61=1,pmtType=1),0,IF(roundOpt,ROUND(rate*I60,2),rate*I60)))</f>
        <v>0</v>
      </c>
      <c r="H61" s="559">
        <f t="shared" ref="H61:H124" si="7">IF(B61="","",D61-G61+E61)</f>
        <v>7653518.2000000002</v>
      </c>
      <c r="I61" s="559">
        <f t="shared" ref="I61:I124" si="8">IF(B61="","",I60-H61)</f>
        <v>142346481.80000001</v>
      </c>
    </row>
    <row r="62" spans="2:11">
      <c r="B62" s="555">
        <f t="shared" si="3"/>
        <v>2</v>
      </c>
      <c r="C62" s="556">
        <f t="shared" si="4"/>
        <v>46204</v>
      </c>
      <c r="D62" s="557">
        <f t="shared" si="5"/>
        <v>7653518.2000000002</v>
      </c>
      <c r="E62" s="560"/>
      <c r="F62" s="559"/>
      <c r="G62" s="559">
        <f t="shared" si="6"/>
        <v>4626260.66</v>
      </c>
      <c r="H62" s="559">
        <f t="shared" si="7"/>
        <v>3027257.54</v>
      </c>
      <c r="I62" s="559">
        <f t="shared" si="8"/>
        <v>139319224.26000002</v>
      </c>
    </row>
    <row r="63" spans="2:11">
      <c r="B63" s="555">
        <f t="shared" si="3"/>
        <v>3</v>
      </c>
      <c r="C63" s="556">
        <f t="shared" si="4"/>
        <v>46569</v>
      </c>
      <c r="D63" s="557">
        <f t="shared" si="5"/>
        <v>7653518.2000000002</v>
      </c>
      <c r="E63" s="560"/>
      <c r="F63" s="559"/>
      <c r="G63" s="559">
        <f t="shared" si="6"/>
        <v>4527874.79</v>
      </c>
      <c r="H63" s="559">
        <f t="shared" si="7"/>
        <v>3125643.41</v>
      </c>
      <c r="I63" s="559">
        <f t="shared" si="8"/>
        <v>136193580.85000002</v>
      </c>
    </row>
    <row r="64" spans="2:11">
      <c r="B64" s="555">
        <f t="shared" si="3"/>
        <v>4</v>
      </c>
      <c r="C64" s="556">
        <f t="shared" si="4"/>
        <v>46935</v>
      </c>
      <c r="D64" s="557">
        <f t="shared" si="5"/>
        <v>7653518.2000000002</v>
      </c>
      <c r="E64" s="560"/>
      <c r="F64" s="559"/>
      <c r="G64" s="559">
        <f t="shared" si="6"/>
        <v>4426291.38</v>
      </c>
      <c r="H64" s="559">
        <f t="shared" si="7"/>
        <v>3227226.8200000003</v>
      </c>
      <c r="I64" s="559">
        <f t="shared" si="8"/>
        <v>132966354.03000003</v>
      </c>
    </row>
    <row r="65" spans="2:10" ht="15">
      <c r="B65" s="555">
        <f t="shared" si="3"/>
        <v>5</v>
      </c>
      <c r="C65" s="556">
        <f t="shared" si="4"/>
        <v>47300</v>
      </c>
      <c r="D65" s="557">
        <f t="shared" si="5"/>
        <v>7653518.2000000002</v>
      </c>
      <c r="E65" s="560"/>
      <c r="F65" s="559"/>
      <c r="G65" s="559">
        <f t="shared" si="6"/>
        <v>4321406.51</v>
      </c>
      <c r="H65" s="559">
        <f t="shared" si="7"/>
        <v>3332111.6900000004</v>
      </c>
      <c r="I65" s="559">
        <f t="shared" si="8"/>
        <v>129634242.34000003</v>
      </c>
      <c r="J65" s="561"/>
    </row>
    <row r="66" spans="2:10" ht="15">
      <c r="B66" s="555">
        <f t="shared" si="3"/>
        <v>6</v>
      </c>
      <c r="C66" s="556">
        <f t="shared" si="4"/>
        <v>47665</v>
      </c>
      <c r="D66" s="557">
        <f t="shared" si="5"/>
        <v>7653518.2000000002</v>
      </c>
      <c r="E66" s="560"/>
      <c r="F66" s="559"/>
      <c r="G66" s="559">
        <f t="shared" si="6"/>
        <v>4213112.88</v>
      </c>
      <c r="H66" s="559">
        <f t="shared" si="7"/>
        <v>3440405.3200000003</v>
      </c>
      <c r="I66" s="559">
        <f t="shared" si="8"/>
        <v>126193837.02000004</v>
      </c>
      <c r="J66" s="561"/>
    </row>
    <row r="67" spans="2:10" ht="15">
      <c r="B67" s="555">
        <f t="shared" si="3"/>
        <v>7</v>
      </c>
      <c r="C67" s="556">
        <f t="shared" si="4"/>
        <v>48030</v>
      </c>
      <c r="D67" s="557">
        <f t="shared" si="5"/>
        <v>7653518.2000000002</v>
      </c>
      <c r="E67" s="560"/>
      <c r="F67" s="559"/>
      <c r="G67" s="559">
        <f t="shared" si="6"/>
        <v>4101299.7</v>
      </c>
      <c r="H67" s="559">
        <f t="shared" si="7"/>
        <v>3552218.5</v>
      </c>
      <c r="I67" s="559">
        <f t="shared" si="8"/>
        <v>122641618.52000004</v>
      </c>
      <c r="J67" s="562"/>
    </row>
    <row r="68" spans="2:10">
      <c r="B68" s="555">
        <f t="shared" si="3"/>
        <v>8</v>
      </c>
      <c r="C68" s="556">
        <f t="shared" si="4"/>
        <v>48396</v>
      </c>
      <c r="D68" s="557">
        <f t="shared" si="5"/>
        <v>7653518.2000000002</v>
      </c>
      <c r="E68" s="560"/>
      <c r="F68" s="559"/>
      <c r="G68" s="559">
        <f t="shared" si="6"/>
        <v>3985852.6</v>
      </c>
      <c r="H68" s="559">
        <f t="shared" si="7"/>
        <v>3667665.6</v>
      </c>
      <c r="I68" s="559">
        <f t="shared" si="8"/>
        <v>118973952.92000005</v>
      </c>
    </row>
    <row r="69" spans="2:10">
      <c r="B69" s="555">
        <f t="shared" si="3"/>
        <v>9</v>
      </c>
      <c r="C69" s="556">
        <f t="shared" si="4"/>
        <v>48761</v>
      </c>
      <c r="D69" s="557">
        <f t="shared" si="5"/>
        <v>7653518.2000000002</v>
      </c>
      <c r="E69" s="560"/>
      <c r="F69" s="559"/>
      <c r="G69" s="559">
        <f t="shared" si="6"/>
        <v>3866653.47</v>
      </c>
      <c r="H69" s="559">
        <f t="shared" si="7"/>
        <v>3786864.73</v>
      </c>
      <c r="I69" s="559">
        <f t="shared" si="8"/>
        <v>115187088.19000004</v>
      </c>
    </row>
    <row r="70" spans="2:10">
      <c r="B70" s="555">
        <f t="shared" si="3"/>
        <v>10</v>
      </c>
      <c r="C70" s="556">
        <f t="shared" si="4"/>
        <v>49126</v>
      </c>
      <c r="D70" s="557">
        <f t="shared" si="5"/>
        <v>7653518.2000000002</v>
      </c>
      <c r="E70" s="560"/>
      <c r="F70" s="559"/>
      <c r="G70" s="559">
        <f t="shared" si="6"/>
        <v>3743580.37</v>
      </c>
      <c r="H70" s="559">
        <f t="shared" si="7"/>
        <v>3909937.83</v>
      </c>
      <c r="I70" s="559">
        <f t="shared" si="8"/>
        <v>111277150.36000004</v>
      </c>
    </row>
    <row r="71" spans="2:10">
      <c r="B71" s="555">
        <f t="shared" si="3"/>
        <v>11</v>
      </c>
      <c r="C71" s="556">
        <f t="shared" si="4"/>
        <v>49491</v>
      </c>
      <c r="D71" s="557">
        <f t="shared" si="5"/>
        <v>7653518.2000000002</v>
      </c>
      <c r="E71" s="560"/>
      <c r="F71" s="559"/>
      <c r="G71" s="559">
        <f t="shared" si="6"/>
        <v>3616507.39</v>
      </c>
      <c r="H71" s="559">
        <f t="shared" si="7"/>
        <v>4037010.81</v>
      </c>
      <c r="I71" s="559">
        <f t="shared" si="8"/>
        <v>107240139.55000004</v>
      </c>
    </row>
    <row r="72" spans="2:10">
      <c r="B72" s="555">
        <f t="shared" si="3"/>
        <v>12</v>
      </c>
      <c r="C72" s="556">
        <f t="shared" si="4"/>
        <v>49857</v>
      </c>
      <c r="D72" s="557">
        <f t="shared" si="5"/>
        <v>7653518.2000000002</v>
      </c>
      <c r="E72" s="560"/>
      <c r="F72" s="559"/>
      <c r="G72" s="559">
        <f t="shared" si="6"/>
        <v>3485304.54</v>
      </c>
      <c r="H72" s="559">
        <f t="shared" si="7"/>
        <v>4168213.66</v>
      </c>
      <c r="I72" s="559">
        <f t="shared" si="8"/>
        <v>103071925.89000005</v>
      </c>
    </row>
    <row r="73" spans="2:10">
      <c r="B73" s="555">
        <f t="shared" si="3"/>
        <v>13</v>
      </c>
      <c r="C73" s="556">
        <f t="shared" si="4"/>
        <v>50222</v>
      </c>
      <c r="D73" s="557">
        <f t="shared" si="5"/>
        <v>7653518.2000000002</v>
      </c>
      <c r="E73" s="560"/>
      <c r="F73" s="559"/>
      <c r="G73" s="559">
        <f t="shared" si="6"/>
        <v>3349837.59</v>
      </c>
      <c r="H73" s="559">
        <f t="shared" si="7"/>
        <v>4303680.6100000003</v>
      </c>
      <c r="I73" s="559">
        <f t="shared" si="8"/>
        <v>98768245.280000046</v>
      </c>
    </row>
    <row r="74" spans="2:10">
      <c r="B74" s="555">
        <f t="shared" si="3"/>
        <v>14</v>
      </c>
      <c r="C74" s="556">
        <f t="shared" si="4"/>
        <v>50587</v>
      </c>
      <c r="D74" s="557">
        <f t="shared" si="5"/>
        <v>7653518.2000000002</v>
      </c>
      <c r="E74" s="560"/>
      <c r="F74" s="559"/>
      <c r="G74" s="559">
        <f t="shared" si="6"/>
        <v>3209967.97</v>
      </c>
      <c r="H74" s="559">
        <f t="shared" si="7"/>
        <v>4443550.2300000004</v>
      </c>
      <c r="I74" s="559">
        <f t="shared" si="8"/>
        <v>94324695.050000042</v>
      </c>
    </row>
    <row r="75" spans="2:10">
      <c r="B75" s="555">
        <f t="shared" si="3"/>
        <v>15</v>
      </c>
      <c r="C75" s="556">
        <f t="shared" si="4"/>
        <v>50952</v>
      </c>
      <c r="D75" s="557">
        <f t="shared" si="5"/>
        <v>7653518.2000000002</v>
      </c>
      <c r="E75" s="560"/>
      <c r="F75" s="559"/>
      <c r="G75" s="559">
        <f t="shared" si="6"/>
        <v>3065552.59</v>
      </c>
      <c r="H75" s="559">
        <f t="shared" si="7"/>
        <v>4587965.6100000003</v>
      </c>
      <c r="I75" s="559">
        <f t="shared" si="8"/>
        <v>89736729.440000042</v>
      </c>
    </row>
    <row r="76" spans="2:10">
      <c r="B76" s="555">
        <f t="shared" si="3"/>
        <v>16</v>
      </c>
      <c r="C76" s="556">
        <f t="shared" si="4"/>
        <v>51318</v>
      </c>
      <c r="D76" s="557">
        <f t="shared" si="5"/>
        <v>7653518.2000000002</v>
      </c>
      <c r="E76" s="560"/>
      <c r="F76" s="559"/>
      <c r="G76" s="559">
        <f t="shared" si="6"/>
        <v>2916443.71</v>
      </c>
      <c r="H76" s="559">
        <f t="shared" si="7"/>
        <v>4737074.49</v>
      </c>
      <c r="I76" s="559">
        <f t="shared" si="8"/>
        <v>84999654.950000048</v>
      </c>
    </row>
    <row r="77" spans="2:10">
      <c r="B77" s="555">
        <f t="shared" si="3"/>
        <v>17</v>
      </c>
      <c r="C77" s="556">
        <f t="shared" si="4"/>
        <v>51683</v>
      </c>
      <c r="D77" s="557">
        <f t="shared" si="5"/>
        <v>7653518.2000000002</v>
      </c>
      <c r="E77" s="560"/>
      <c r="F77" s="559"/>
      <c r="G77" s="559">
        <f t="shared" si="6"/>
        <v>2762488.79</v>
      </c>
      <c r="H77" s="559">
        <f t="shared" si="7"/>
        <v>4891029.41</v>
      </c>
      <c r="I77" s="559">
        <f t="shared" si="8"/>
        <v>80108625.540000051</v>
      </c>
    </row>
    <row r="78" spans="2:10">
      <c r="B78" s="555">
        <f t="shared" si="3"/>
        <v>18</v>
      </c>
      <c r="C78" s="556">
        <f t="shared" si="4"/>
        <v>52048</v>
      </c>
      <c r="D78" s="557">
        <f t="shared" si="5"/>
        <v>7653518.2000000002</v>
      </c>
      <c r="E78" s="560"/>
      <c r="F78" s="559"/>
      <c r="G78" s="559">
        <f t="shared" si="6"/>
        <v>2603530.33</v>
      </c>
      <c r="H78" s="559">
        <f t="shared" si="7"/>
        <v>5049987.87</v>
      </c>
      <c r="I78" s="559">
        <f t="shared" si="8"/>
        <v>75058637.670000046</v>
      </c>
    </row>
    <row r="79" spans="2:10">
      <c r="B79" s="555">
        <f t="shared" si="3"/>
        <v>19</v>
      </c>
      <c r="C79" s="556">
        <f t="shared" si="4"/>
        <v>52413</v>
      </c>
      <c r="D79" s="557">
        <f t="shared" si="5"/>
        <v>7653518.2000000002</v>
      </c>
      <c r="E79" s="560"/>
      <c r="F79" s="559"/>
      <c r="G79" s="559">
        <f t="shared" si="6"/>
        <v>2439405.7200000002</v>
      </c>
      <c r="H79" s="559">
        <f t="shared" si="7"/>
        <v>5214112.4800000004</v>
      </c>
      <c r="I79" s="559">
        <f t="shared" si="8"/>
        <v>69844525.190000042</v>
      </c>
    </row>
    <row r="80" spans="2:10">
      <c r="B80" s="555">
        <f t="shared" si="3"/>
        <v>20</v>
      </c>
      <c r="C80" s="556">
        <f t="shared" si="4"/>
        <v>52779</v>
      </c>
      <c r="D80" s="557">
        <f t="shared" si="5"/>
        <v>7653518.2000000002</v>
      </c>
      <c r="E80" s="560"/>
      <c r="F80" s="559"/>
      <c r="G80" s="559">
        <f t="shared" si="6"/>
        <v>2269947.0699999998</v>
      </c>
      <c r="H80" s="559">
        <f t="shared" si="7"/>
        <v>5383571.1300000008</v>
      </c>
      <c r="I80" s="559">
        <f t="shared" si="8"/>
        <v>64460954.06000004</v>
      </c>
    </row>
    <row r="81" spans="2:9">
      <c r="B81" s="555">
        <f t="shared" si="3"/>
        <v>21</v>
      </c>
      <c r="C81" s="556">
        <f t="shared" si="4"/>
        <v>53144</v>
      </c>
      <c r="D81" s="557">
        <f t="shared" si="5"/>
        <v>7653518.2000000002</v>
      </c>
      <c r="E81" s="560"/>
      <c r="F81" s="559"/>
      <c r="G81" s="559">
        <f t="shared" si="6"/>
        <v>2094981.01</v>
      </c>
      <c r="H81" s="559">
        <f t="shared" si="7"/>
        <v>5558537.1900000004</v>
      </c>
      <c r="I81" s="559">
        <f t="shared" si="8"/>
        <v>58902416.870000042</v>
      </c>
    </row>
    <row r="82" spans="2:9">
      <c r="B82" s="555">
        <f t="shared" si="3"/>
        <v>22</v>
      </c>
      <c r="C82" s="556">
        <f t="shared" si="4"/>
        <v>53509</v>
      </c>
      <c r="D82" s="557">
        <f t="shared" si="5"/>
        <v>7653518.2000000002</v>
      </c>
      <c r="E82" s="560"/>
      <c r="F82" s="559"/>
      <c r="G82" s="559">
        <f t="shared" si="6"/>
        <v>1914328.55</v>
      </c>
      <c r="H82" s="559">
        <f t="shared" si="7"/>
        <v>5739189.6500000004</v>
      </c>
      <c r="I82" s="559">
        <f t="shared" si="8"/>
        <v>53163227.220000044</v>
      </c>
    </row>
    <row r="83" spans="2:9">
      <c r="B83" s="555">
        <f t="shared" si="3"/>
        <v>23</v>
      </c>
      <c r="C83" s="556">
        <f t="shared" si="4"/>
        <v>53874</v>
      </c>
      <c r="D83" s="557">
        <f t="shared" si="5"/>
        <v>7653518.2000000002</v>
      </c>
      <c r="E83" s="560"/>
      <c r="F83" s="559"/>
      <c r="G83" s="559">
        <f t="shared" si="6"/>
        <v>1727804.88</v>
      </c>
      <c r="H83" s="559">
        <f t="shared" si="7"/>
        <v>5925713.3200000003</v>
      </c>
      <c r="I83" s="559">
        <f t="shared" si="8"/>
        <v>47237513.900000043</v>
      </c>
    </row>
    <row r="84" spans="2:9">
      <c r="B84" s="555">
        <f t="shared" si="3"/>
        <v>24</v>
      </c>
      <c r="C84" s="556">
        <f t="shared" si="4"/>
        <v>54240</v>
      </c>
      <c r="D84" s="557">
        <f t="shared" si="5"/>
        <v>7653518.2000000002</v>
      </c>
      <c r="E84" s="560"/>
      <c r="F84" s="559"/>
      <c r="G84" s="559">
        <f t="shared" si="6"/>
        <v>1535219.2</v>
      </c>
      <c r="H84" s="559">
        <f t="shared" si="7"/>
        <v>6118299</v>
      </c>
      <c r="I84" s="559">
        <f t="shared" si="8"/>
        <v>41119214.900000043</v>
      </c>
    </row>
    <row r="85" spans="2:9">
      <c r="B85" s="555">
        <f t="shared" si="3"/>
        <v>25</v>
      </c>
      <c r="C85" s="556">
        <f t="shared" si="4"/>
        <v>54605</v>
      </c>
      <c r="D85" s="557">
        <f t="shared" si="5"/>
        <v>7653518.2000000002</v>
      </c>
      <c r="E85" s="560"/>
      <c r="F85" s="559"/>
      <c r="G85" s="559">
        <f t="shared" si="6"/>
        <v>1336374.48</v>
      </c>
      <c r="H85" s="559">
        <f t="shared" si="7"/>
        <v>6317143.7200000007</v>
      </c>
      <c r="I85" s="559">
        <f t="shared" si="8"/>
        <v>34802071.180000044</v>
      </c>
    </row>
    <row r="86" spans="2:9">
      <c r="B86" s="555">
        <f t="shared" si="3"/>
        <v>26</v>
      </c>
      <c r="C86" s="556">
        <f t="shared" si="4"/>
        <v>54970</v>
      </c>
      <c r="D86" s="557">
        <f t="shared" si="5"/>
        <v>7653518.2000000002</v>
      </c>
      <c r="E86" s="560"/>
      <c r="F86" s="559"/>
      <c r="G86" s="559">
        <f t="shared" si="6"/>
        <v>1131067.31</v>
      </c>
      <c r="H86" s="559">
        <f t="shared" si="7"/>
        <v>6522450.8900000006</v>
      </c>
      <c r="I86" s="559">
        <f t="shared" si="8"/>
        <v>28279620.290000044</v>
      </c>
    </row>
    <row r="87" spans="2:9">
      <c r="B87" s="555">
        <f t="shared" si="3"/>
        <v>27</v>
      </c>
      <c r="C87" s="556">
        <f t="shared" si="4"/>
        <v>55335</v>
      </c>
      <c r="D87" s="557">
        <f t="shared" si="5"/>
        <v>7653518.2000000002</v>
      </c>
      <c r="E87" s="560"/>
      <c r="F87" s="559"/>
      <c r="G87" s="559">
        <f t="shared" si="6"/>
        <v>919087.66</v>
      </c>
      <c r="H87" s="559">
        <f t="shared" si="7"/>
        <v>6734430.54</v>
      </c>
      <c r="I87" s="559">
        <f t="shared" si="8"/>
        <v>21545189.750000045</v>
      </c>
    </row>
    <row r="88" spans="2:9">
      <c r="B88" s="555">
        <f t="shared" si="3"/>
        <v>28</v>
      </c>
      <c r="C88" s="556">
        <f t="shared" si="4"/>
        <v>55701</v>
      </c>
      <c r="D88" s="557">
        <f t="shared" si="5"/>
        <v>7653518.2000000002</v>
      </c>
      <c r="E88" s="560"/>
      <c r="F88" s="559"/>
      <c r="G88" s="559">
        <f t="shared" si="6"/>
        <v>700218.67</v>
      </c>
      <c r="H88" s="559">
        <f t="shared" si="7"/>
        <v>6953299.5300000003</v>
      </c>
      <c r="I88" s="559">
        <f t="shared" si="8"/>
        <v>14591890.220000044</v>
      </c>
    </row>
    <row r="89" spans="2:9">
      <c r="B89" s="555">
        <f t="shared" si="3"/>
        <v>29</v>
      </c>
      <c r="C89" s="556">
        <f t="shared" si="4"/>
        <v>56066</v>
      </c>
      <c r="D89" s="557">
        <f t="shared" si="5"/>
        <v>7653518.2000000002</v>
      </c>
      <c r="E89" s="560"/>
      <c r="F89" s="559"/>
      <c r="G89" s="559">
        <f t="shared" si="6"/>
        <v>474236.43</v>
      </c>
      <c r="H89" s="559">
        <f t="shared" si="7"/>
        <v>7179281.7700000005</v>
      </c>
      <c r="I89" s="559">
        <f t="shared" si="8"/>
        <v>7412608.450000043</v>
      </c>
    </row>
    <row r="90" spans="2:9">
      <c r="B90" s="555">
        <f t="shared" si="3"/>
        <v>30</v>
      </c>
      <c r="C90" s="556">
        <f t="shared" si="4"/>
        <v>56431</v>
      </c>
      <c r="D90" s="557">
        <f t="shared" si="5"/>
        <v>7653518.2199999997</v>
      </c>
      <c r="E90" s="560"/>
      <c r="F90" s="559"/>
      <c r="G90" s="559">
        <f t="shared" si="6"/>
        <v>240909.77</v>
      </c>
      <c r="H90" s="559">
        <f t="shared" si="7"/>
        <v>7412608.4500000002</v>
      </c>
      <c r="I90" s="559">
        <f t="shared" si="8"/>
        <v>4.2840838432312012E-8</v>
      </c>
    </row>
    <row r="91" spans="2:9">
      <c r="B91" s="555"/>
      <c r="C91" s="556"/>
      <c r="D91" s="557"/>
      <c r="E91" s="560"/>
      <c r="F91" s="559"/>
      <c r="G91" s="559"/>
      <c r="H91" s="559"/>
      <c r="I91" s="559"/>
    </row>
    <row r="92" spans="2:9" ht="15.75">
      <c r="B92" s="555"/>
      <c r="C92" s="556"/>
      <c r="D92" s="596" t="s">
        <v>718</v>
      </c>
      <c r="E92" s="597">
        <f>SUM(D33:D56)</f>
        <v>176030918.61999989</v>
      </c>
      <c r="F92" s="559"/>
      <c r="G92" s="559"/>
      <c r="H92" s="559"/>
      <c r="I92" s="559"/>
    </row>
    <row r="93" spans="2:9">
      <c r="B93" s="555"/>
      <c r="C93" s="556"/>
      <c r="D93" s="557"/>
      <c r="E93" s="560"/>
      <c r="F93" s="559"/>
      <c r="G93" s="559"/>
      <c r="H93" s="559"/>
      <c r="I93" s="559"/>
    </row>
    <row r="94" spans="2:9">
      <c r="B94" s="555"/>
      <c r="C94" s="556"/>
      <c r="D94" s="557"/>
      <c r="E94" s="560"/>
      <c r="F94" s="559"/>
      <c r="G94" s="559"/>
      <c r="H94" s="559"/>
      <c r="I94" s="559"/>
    </row>
    <row r="95" spans="2:9">
      <c r="B95" s="555"/>
      <c r="C95" s="556"/>
      <c r="D95" s="557"/>
      <c r="E95" s="560"/>
      <c r="F95" s="559"/>
      <c r="G95" s="559"/>
      <c r="H95" s="559"/>
      <c r="I95" s="559"/>
    </row>
    <row r="96" spans="2:9">
      <c r="B96" s="555"/>
      <c r="C96" s="556"/>
      <c r="D96" s="557"/>
      <c r="E96" s="560"/>
      <c r="F96" s="559"/>
      <c r="G96" s="559"/>
      <c r="H96" s="559"/>
      <c r="I96" s="559"/>
    </row>
    <row r="97" spans="2:9">
      <c r="B97" s="555"/>
      <c r="C97" s="556"/>
      <c r="D97" s="557"/>
      <c r="E97" s="560"/>
      <c r="F97" s="559"/>
      <c r="G97" s="559"/>
      <c r="H97" s="559"/>
      <c r="I97" s="559"/>
    </row>
    <row r="98" spans="2:9">
      <c r="B98" s="555" t="str">
        <f t="shared" si="3"/>
        <v/>
      </c>
      <c r="C98" s="556" t="str">
        <f t="shared" si="4"/>
        <v/>
      </c>
      <c r="D98" s="557" t="str">
        <f t="shared" si="5"/>
        <v/>
      </c>
      <c r="E98" s="560"/>
      <c r="F98" s="559"/>
      <c r="G98" s="559" t="str">
        <f t="shared" si="6"/>
        <v/>
      </c>
      <c r="H98" s="559" t="str">
        <f t="shared" si="7"/>
        <v/>
      </c>
      <c r="I98" s="559" t="str">
        <f t="shared" si="8"/>
        <v/>
      </c>
    </row>
    <row r="99" spans="2:9">
      <c r="B99" s="555" t="str">
        <f t="shared" si="3"/>
        <v/>
      </c>
      <c r="C99" s="556" t="str">
        <f t="shared" si="4"/>
        <v/>
      </c>
      <c r="D99" s="557" t="str">
        <f t="shared" si="5"/>
        <v/>
      </c>
      <c r="E99" s="560"/>
      <c r="F99" s="559"/>
      <c r="G99" s="559" t="str">
        <f t="shared" si="6"/>
        <v/>
      </c>
      <c r="H99" s="559" t="str">
        <f t="shared" si="7"/>
        <v/>
      </c>
      <c r="I99" s="559" t="str">
        <f t="shared" si="8"/>
        <v/>
      </c>
    </row>
    <row r="100" spans="2:9">
      <c r="B100" s="555" t="str">
        <f t="shared" si="3"/>
        <v/>
      </c>
      <c r="C100" s="556" t="str">
        <f t="shared" si="4"/>
        <v/>
      </c>
      <c r="D100" s="557" t="str">
        <f t="shared" si="5"/>
        <v/>
      </c>
      <c r="E100" s="560"/>
      <c r="F100" s="559"/>
      <c r="G100" s="559" t="str">
        <f t="shared" si="6"/>
        <v/>
      </c>
      <c r="H100" s="559" t="str">
        <f t="shared" si="7"/>
        <v/>
      </c>
      <c r="I100" s="559" t="str">
        <f t="shared" si="8"/>
        <v/>
      </c>
    </row>
    <row r="101" spans="2:9">
      <c r="B101" s="555" t="str">
        <f t="shared" si="3"/>
        <v/>
      </c>
      <c r="C101" s="556" t="str">
        <f t="shared" si="4"/>
        <v/>
      </c>
      <c r="D101" s="557" t="str">
        <f t="shared" si="5"/>
        <v/>
      </c>
      <c r="E101" s="560"/>
      <c r="F101" s="559"/>
      <c r="G101" s="559" t="str">
        <f t="shared" si="6"/>
        <v/>
      </c>
      <c r="H101" s="559" t="str">
        <f t="shared" si="7"/>
        <v/>
      </c>
      <c r="I101" s="559" t="str">
        <f t="shared" si="8"/>
        <v/>
      </c>
    </row>
    <row r="102" spans="2:9">
      <c r="B102" s="555" t="str">
        <f t="shared" si="3"/>
        <v/>
      </c>
      <c r="C102" s="556" t="str">
        <f t="shared" si="4"/>
        <v/>
      </c>
      <c r="D102" s="557" t="str">
        <f t="shared" si="5"/>
        <v/>
      </c>
      <c r="E102" s="560"/>
      <c r="F102" s="559"/>
      <c r="G102" s="559" t="str">
        <f t="shared" si="6"/>
        <v/>
      </c>
      <c r="H102" s="559" t="str">
        <f t="shared" si="7"/>
        <v/>
      </c>
      <c r="I102" s="559" t="str">
        <f t="shared" si="8"/>
        <v/>
      </c>
    </row>
    <row r="103" spans="2:9">
      <c r="B103" s="555" t="str">
        <f t="shared" si="3"/>
        <v/>
      </c>
      <c r="C103" s="556" t="str">
        <f t="shared" si="4"/>
        <v/>
      </c>
      <c r="D103" s="557" t="str">
        <f t="shared" si="5"/>
        <v/>
      </c>
      <c r="E103" s="560"/>
      <c r="F103" s="559"/>
      <c r="G103" s="559" t="str">
        <f t="shared" si="6"/>
        <v/>
      </c>
      <c r="H103" s="559" t="str">
        <f t="shared" si="7"/>
        <v/>
      </c>
      <c r="I103" s="559" t="str">
        <f t="shared" si="8"/>
        <v/>
      </c>
    </row>
    <row r="104" spans="2:9">
      <c r="B104" s="555" t="str">
        <f t="shared" si="3"/>
        <v/>
      </c>
      <c r="C104" s="556" t="str">
        <f t="shared" si="4"/>
        <v/>
      </c>
      <c r="D104" s="557" t="str">
        <f t="shared" si="5"/>
        <v/>
      </c>
      <c r="E104" s="560"/>
      <c r="F104" s="559"/>
      <c r="G104" s="559" t="str">
        <f t="shared" si="6"/>
        <v/>
      </c>
      <c r="H104" s="559" t="str">
        <f t="shared" si="7"/>
        <v/>
      </c>
      <c r="I104" s="559" t="str">
        <f t="shared" si="8"/>
        <v/>
      </c>
    </row>
    <row r="105" spans="2:9">
      <c r="B105" s="555" t="str">
        <f t="shared" si="3"/>
        <v/>
      </c>
      <c r="C105" s="556" t="str">
        <f t="shared" si="4"/>
        <v/>
      </c>
      <c r="D105" s="557" t="str">
        <f t="shared" si="5"/>
        <v/>
      </c>
      <c r="E105" s="560"/>
      <c r="F105" s="559"/>
      <c r="G105" s="559" t="str">
        <f t="shared" si="6"/>
        <v/>
      </c>
      <c r="H105" s="559" t="str">
        <f t="shared" si="7"/>
        <v/>
      </c>
      <c r="I105" s="559" t="str">
        <f t="shared" si="8"/>
        <v/>
      </c>
    </row>
    <row r="106" spans="2:9">
      <c r="B106" s="555" t="str">
        <f t="shared" si="3"/>
        <v/>
      </c>
      <c r="C106" s="556" t="str">
        <f t="shared" si="4"/>
        <v/>
      </c>
      <c r="D106" s="557" t="str">
        <f t="shared" si="5"/>
        <v/>
      </c>
      <c r="E106" s="560"/>
      <c r="F106" s="559"/>
      <c r="G106" s="559" t="str">
        <f t="shared" si="6"/>
        <v/>
      </c>
      <c r="H106" s="559" t="str">
        <f t="shared" si="7"/>
        <v/>
      </c>
      <c r="I106" s="559" t="str">
        <f t="shared" si="8"/>
        <v/>
      </c>
    </row>
    <row r="107" spans="2:9">
      <c r="B107" s="555" t="str">
        <f t="shared" si="3"/>
        <v/>
      </c>
      <c r="C107" s="556" t="str">
        <f t="shared" si="4"/>
        <v/>
      </c>
      <c r="D107" s="557" t="str">
        <f t="shared" si="5"/>
        <v/>
      </c>
      <c r="E107" s="560"/>
      <c r="F107" s="559"/>
      <c r="G107" s="559" t="str">
        <f t="shared" si="6"/>
        <v/>
      </c>
      <c r="H107" s="559" t="str">
        <f t="shared" si="7"/>
        <v/>
      </c>
      <c r="I107" s="559" t="str">
        <f t="shared" si="8"/>
        <v/>
      </c>
    </row>
    <row r="108" spans="2:9">
      <c r="B108" s="555" t="str">
        <f t="shared" si="3"/>
        <v/>
      </c>
      <c r="C108" s="556" t="str">
        <f t="shared" si="4"/>
        <v/>
      </c>
      <c r="D108" s="557" t="str">
        <f t="shared" si="5"/>
        <v/>
      </c>
      <c r="E108" s="560"/>
      <c r="F108" s="559"/>
      <c r="G108" s="559" t="str">
        <f t="shared" si="6"/>
        <v/>
      </c>
      <c r="H108" s="559" t="str">
        <f t="shared" si="7"/>
        <v/>
      </c>
      <c r="I108" s="559" t="str">
        <f t="shared" si="8"/>
        <v/>
      </c>
    </row>
    <row r="109" spans="2:9">
      <c r="B109" s="555" t="str">
        <f t="shared" si="3"/>
        <v/>
      </c>
      <c r="C109" s="556" t="str">
        <f t="shared" si="4"/>
        <v/>
      </c>
      <c r="D109" s="557" t="str">
        <f t="shared" si="5"/>
        <v/>
      </c>
      <c r="E109" s="560"/>
      <c r="F109" s="559"/>
      <c r="G109" s="559" t="str">
        <f t="shared" si="6"/>
        <v/>
      </c>
      <c r="H109" s="559" t="str">
        <f t="shared" si="7"/>
        <v/>
      </c>
      <c r="I109" s="559" t="str">
        <f t="shared" si="8"/>
        <v/>
      </c>
    </row>
    <row r="110" spans="2:9">
      <c r="B110" s="555" t="str">
        <f t="shared" si="3"/>
        <v/>
      </c>
      <c r="C110" s="556" t="str">
        <f t="shared" si="4"/>
        <v/>
      </c>
      <c r="D110" s="557" t="str">
        <f t="shared" si="5"/>
        <v/>
      </c>
      <c r="E110" s="560"/>
      <c r="F110" s="559"/>
      <c r="G110" s="559" t="str">
        <f t="shared" si="6"/>
        <v/>
      </c>
      <c r="H110" s="559" t="str">
        <f t="shared" si="7"/>
        <v/>
      </c>
      <c r="I110" s="559" t="str">
        <f t="shared" si="8"/>
        <v/>
      </c>
    </row>
    <row r="111" spans="2:9">
      <c r="B111" s="555" t="str">
        <f t="shared" si="3"/>
        <v/>
      </c>
      <c r="C111" s="556" t="str">
        <f t="shared" si="4"/>
        <v/>
      </c>
      <c r="D111" s="557" t="str">
        <f t="shared" si="5"/>
        <v/>
      </c>
      <c r="E111" s="560"/>
      <c r="F111" s="559"/>
      <c r="G111" s="559" t="str">
        <f t="shared" si="6"/>
        <v/>
      </c>
      <c r="H111" s="559" t="str">
        <f t="shared" si="7"/>
        <v/>
      </c>
      <c r="I111" s="559" t="str">
        <f t="shared" si="8"/>
        <v/>
      </c>
    </row>
    <row r="112" spans="2:9">
      <c r="B112" s="555" t="str">
        <f t="shared" si="3"/>
        <v/>
      </c>
      <c r="C112" s="556" t="str">
        <f t="shared" si="4"/>
        <v/>
      </c>
      <c r="D112" s="557" t="str">
        <f t="shared" si="5"/>
        <v/>
      </c>
      <c r="E112" s="560"/>
      <c r="F112" s="559"/>
      <c r="G112" s="559" t="str">
        <f t="shared" si="6"/>
        <v/>
      </c>
      <c r="H112" s="559" t="str">
        <f t="shared" si="7"/>
        <v/>
      </c>
      <c r="I112" s="559" t="str">
        <f t="shared" si="8"/>
        <v/>
      </c>
    </row>
    <row r="113" spans="2:9">
      <c r="B113" s="555" t="str">
        <f t="shared" si="3"/>
        <v/>
      </c>
      <c r="C113" s="556" t="str">
        <f t="shared" si="4"/>
        <v/>
      </c>
      <c r="D113" s="557" t="str">
        <f t="shared" si="5"/>
        <v/>
      </c>
      <c r="E113" s="560"/>
      <c r="F113" s="559"/>
      <c r="G113" s="559" t="str">
        <f t="shared" si="6"/>
        <v/>
      </c>
      <c r="H113" s="559" t="str">
        <f t="shared" si="7"/>
        <v/>
      </c>
      <c r="I113" s="559" t="str">
        <f t="shared" si="8"/>
        <v/>
      </c>
    </row>
    <row r="114" spans="2:9">
      <c r="B114" s="555" t="str">
        <f t="shared" si="3"/>
        <v/>
      </c>
      <c r="C114" s="556" t="str">
        <f t="shared" si="4"/>
        <v/>
      </c>
      <c r="D114" s="557" t="str">
        <f t="shared" si="5"/>
        <v/>
      </c>
      <c r="E114" s="560"/>
      <c r="F114" s="559"/>
      <c r="G114" s="559" t="str">
        <f t="shared" si="6"/>
        <v/>
      </c>
      <c r="H114" s="559" t="str">
        <f t="shared" si="7"/>
        <v/>
      </c>
      <c r="I114" s="559" t="str">
        <f t="shared" si="8"/>
        <v/>
      </c>
    </row>
    <row r="115" spans="2:9">
      <c r="B115" s="555" t="str">
        <f t="shared" si="3"/>
        <v/>
      </c>
      <c r="C115" s="556" t="str">
        <f t="shared" si="4"/>
        <v/>
      </c>
      <c r="D115" s="557" t="str">
        <f t="shared" si="5"/>
        <v/>
      </c>
      <c r="E115" s="560"/>
      <c r="F115" s="559"/>
      <c r="G115" s="559" t="str">
        <f t="shared" si="6"/>
        <v/>
      </c>
      <c r="H115" s="559" t="str">
        <f t="shared" si="7"/>
        <v/>
      </c>
      <c r="I115" s="559" t="str">
        <f t="shared" si="8"/>
        <v/>
      </c>
    </row>
    <row r="116" spans="2:9">
      <c r="B116" s="555" t="str">
        <f t="shared" si="3"/>
        <v/>
      </c>
      <c r="C116" s="556" t="str">
        <f t="shared" si="4"/>
        <v/>
      </c>
      <c r="D116" s="557" t="str">
        <f t="shared" si="5"/>
        <v/>
      </c>
      <c r="E116" s="560"/>
      <c r="F116" s="559"/>
      <c r="G116" s="559" t="str">
        <f t="shared" si="6"/>
        <v/>
      </c>
      <c r="H116" s="559" t="str">
        <f t="shared" si="7"/>
        <v/>
      </c>
      <c r="I116" s="559" t="str">
        <f t="shared" si="8"/>
        <v/>
      </c>
    </row>
    <row r="117" spans="2:9">
      <c r="B117" s="555" t="str">
        <f t="shared" si="3"/>
        <v/>
      </c>
      <c r="C117" s="556" t="str">
        <f t="shared" si="4"/>
        <v/>
      </c>
      <c r="D117" s="557" t="str">
        <f t="shared" si="5"/>
        <v/>
      </c>
      <c r="E117" s="560"/>
      <c r="F117" s="559"/>
      <c r="G117" s="559" t="str">
        <f t="shared" si="6"/>
        <v/>
      </c>
      <c r="H117" s="559" t="str">
        <f t="shared" si="7"/>
        <v/>
      </c>
      <c r="I117" s="559" t="str">
        <f t="shared" si="8"/>
        <v/>
      </c>
    </row>
    <row r="118" spans="2:9">
      <c r="B118" s="555" t="str">
        <f t="shared" si="3"/>
        <v/>
      </c>
      <c r="C118" s="556" t="str">
        <f t="shared" si="4"/>
        <v/>
      </c>
      <c r="D118" s="557" t="str">
        <f t="shared" si="5"/>
        <v/>
      </c>
      <c r="E118" s="560"/>
      <c r="F118" s="559"/>
      <c r="G118" s="559" t="str">
        <f t="shared" si="6"/>
        <v/>
      </c>
      <c r="H118" s="559" t="str">
        <f t="shared" si="7"/>
        <v/>
      </c>
      <c r="I118" s="559" t="str">
        <f t="shared" si="8"/>
        <v/>
      </c>
    </row>
    <row r="119" spans="2:9">
      <c r="B119" s="555" t="str">
        <f t="shared" si="3"/>
        <v/>
      </c>
      <c r="C119" s="556" t="str">
        <f t="shared" si="4"/>
        <v/>
      </c>
      <c r="D119" s="557" t="str">
        <f t="shared" si="5"/>
        <v/>
      </c>
      <c r="E119" s="560"/>
      <c r="F119" s="559"/>
      <c r="G119" s="559" t="str">
        <f t="shared" si="6"/>
        <v/>
      </c>
      <c r="H119" s="559" t="str">
        <f t="shared" si="7"/>
        <v/>
      </c>
      <c r="I119" s="559" t="str">
        <f t="shared" si="8"/>
        <v/>
      </c>
    </row>
    <row r="120" spans="2:9">
      <c r="B120" s="555" t="str">
        <f t="shared" si="3"/>
        <v/>
      </c>
      <c r="C120" s="556" t="str">
        <f t="shared" si="4"/>
        <v/>
      </c>
      <c r="D120" s="557" t="str">
        <f t="shared" si="5"/>
        <v/>
      </c>
      <c r="E120" s="560"/>
      <c r="F120" s="559"/>
      <c r="G120" s="559" t="str">
        <f t="shared" si="6"/>
        <v/>
      </c>
      <c r="H120" s="559" t="str">
        <f t="shared" si="7"/>
        <v/>
      </c>
      <c r="I120" s="559" t="str">
        <f t="shared" si="8"/>
        <v/>
      </c>
    </row>
    <row r="121" spans="2:9">
      <c r="B121" s="555" t="str">
        <f t="shared" si="3"/>
        <v/>
      </c>
      <c r="C121" s="556" t="str">
        <f t="shared" si="4"/>
        <v/>
      </c>
      <c r="D121" s="557" t="str">
        <f t="shared" si="5"/>
        <v/>
      </c>
      <c r="E121" s="560"/>
      <c r="F121" s="559"/>
      <c r="G121" s="559" t="str">
        <f t="shared" si="6"/>
        <v/>
      </c>
      <c r="H121" s="559" t="str">
        <f t="shared" si="7"/>
        <v/>
      </c>
      <c r="I121" s="559" t="str">
        <f t="shared" si="8"/>
        <v/>
      </c>
    </row>
    <row r="122" spans="2:9">
      <c r="B122" s="555" t="str">
        <f t="shared" si="3"/>
        <v/>
      </c>
      <c r="C122" s="556" t="str">
        <f t="shared" si="4"/>
        <v/>
      </c>
      <c r="D122" s="557" t="str">
        <f t="shared" si="5"/>
        <v/>
      </c>
      <c r="E122" s="560"/>
      <c r="F122" s="559"/>
      <c r="G122" s="559" t="str">
        <f t="shared" si="6"/>
        <v/>
      </c>
      <c r="H122" s="559" t="str">
        <f t="shared" si="7"/>
        <v/>
      </c>
      <c r="I122" s="559" t="str">
        <f t="shared" si="8"/>
        <v/>
      </c>
    </row>
    <row r="123" spans="2:9">
      <c r="B123" s="555" t="str">
        <f t="shared" si="3"/>
        <v/>
      </c>
      <c r="C123" s="556" t="str">
        <f t="shared" si="4"/>
        <v/>
      </c>
      <c r="D123" s="557" t="str">
        <f t="shared" si="5"/>
        <v/>
      </c>
      <c r="E123" s="560"/>
      <c r="F123" s="559"/>
      <c r="G123" s="559" t="str">
        <f t="shared" si="6"/>
        <v/>
      </c>
      <c r="H123" s="559" t="str">
        <f t="shared" si="7"/>
        <v/>
      </c>
      <c r="I123" s="559" t="str">
        <f t="shared" si="8"/>
        <v/>
      </c>
    </row>
    <row r="124" spans="2:9">
      <c r="B124" s="555" t="str">
        <f t="shared" si="3"/>
        <v/>
      </c>
      <c r="C124" s="556" t="str">
        <f t="shared" si="4"/>
        <v/>
      </c>
      <c r="D124" s="557" t="str">
        <f t="shared" si="5"/>
        <v/>
      </c>
      <c r="E124" s="560"/>
      <c r="F124" s="559"/>
      <c r="G124" s="559" t="str">
        <f t="shared" si="6"/>
        <v/>
      </c>
      <c r="H124" s="559" t="str">
        <f t="shared" si="7"/>
        <v/>
      </c>
      <c r="I124" s="559" t="str">
        <f t="shared" si="8"/>
        <v/>
      </c>
    </row>
    <row r="125" spans="2:9">
      <c r="B125" s="555" t="str">
        <f t="shared" ref="B125:B188" si="9">IF(I124="","",IF(roundOpt,IF(OR(B124&gt;=nper,ROUND(I124,2)&lt;=0),"",B124+1),IF(OR(B124&gt;=nper,I124&lt;=0),"",B124+1)))</f>
        <v/>
      </c>
      <c r="C125" s="556" t="str">
        <f t="shared" ref="C125:C188" si="10">IF(B125="","",IF(OR(periods_per_year=26,periods_per_year=52),IF(periods_per_year=26,IF(B125=1,fpdate,C124+14),IF(periods_per_year=52,IF(B125=1,fpdate,C124+7),"n/a")),IF(periods_per_year=24,DATE(YEAR(fpdate),MONTH(fpdate)+(B125-1)/2+IF(AND(DAY(fpdate)&gt;=15,MOD(B125,2)=0),1,0),IF(MOD(B125,2)=0,IF(DAY(fpdate)&gt;=15,DAY(fpdate)-14,DAY(fpdate)+14),DAY(fpdate))),IF(DAY(DATE(YEAR(fpdate),MONTH(fpdate)+(B125-1)*months_per_period,DAY(fpdate)))&lt;&gt;DAY(fpdate),DATE(YEAR(fpdate),MONTH(fpdate)+(B125-1)*months_per_period+1,0),DATE(YEAR(fpdate),MONTH(fpdate)+(B125-1)*months_per_period,DAY(fpdate))))))</f>
        <v/>
      </c>
      <c r="D125" s="557" t="str">
        <f t="shared" ref="D125:D188" si="11">IF(B125="","",IF(roundOpt,IF(OR(B125=nper,payment&gt;ROUND((1+rate)*I124,2)),ROUND((1+rate)*I124,2),payment),IF(OR(B125=nper,payment&gt;(1+rate)*I124),(1+rate)*I124,payment)))</f>
        <v/>
      </c>
      <c r="E125" s="560"/>
      <c r="F125" s="559"/>
      <c r="G125" s="559" t="str">
        <f t="shared" ref="G125:G188" si="12">IF(B125="","",IF(AND(B125=1,pmtType=1),0,IF(roundOpt,ROUND(rate*I124,2),rate*I124)))</f>
        <v/>
      </c>
      <c r="H125" s="559" t="str">
        <f t="shared" ref="H125:H188" si="13">IF(B125="","",D125-G125+E125)</f>
        <v/>
      </c>
      <c r="I125" s="559" t="str">
        <f t="shared" ref="I125:I188" si="14">IF(B125="","",I124-H125)</f>
        <v/>
      </c>
    </row>
    <row r="126" spans="2:9">
      <c r="B126" s="555" t="str">
        <f t="shared" si="9"/>
        <v/>
      </c>
      <c r="C126" s="556" t="str">
        <f t="shared" si="10"/>
        <v/>
      </c>
      <c r="D126" s="557" t="str">
        <f t="shared" si="11"/>
        <v/>
      </c>
      <c r="E126" s="560"/>
      <c r="F126" s="559"/>
      <c r="G126" s="559" t="str">
        <f t="shared" si="12"/>
        <v/>
      </c>
      <c r="H126" s="559" t="str">
        <f t="shared" si="13"/>
        <v/>
      </c>
      <c r="I126" s="559" t="str">
        <f t="shared" si="14"/>
        <v/>
      </c>
    </row>
    <row r="127" spans="2:9">
      <c r="B127" s="555" t="str">
        <f t="shared" si="9"/>
        <v/>
      </c>
      <c r="C127" s="556" t="str">
        <f t="shared" si="10"/>
        <v/>
      </c>
      <c r="D127" s="557" t="str">
        <f t="shared" si="11"/>
        <v/>
      </c>
      <c r="E127" s="560"/>
      <c r="F127" s="559"/>
      <c r="G127" s="559" t="str">
        <f t="shared" si="12"/>
        <v/>
      </c>
      <c r="H127" s="559" t="str">
        <f t="shared" si="13"/>
        <v/>
      </c>
      <c r="I127" s="559" t="str">
        <f t="shared" si="14"/>
        <v/>
      </c>
    </row>
    <row r="128" spans="2:9">
      <c r="B128" s="555" t="str">
        <f t="shared" si="9"/>
        <v/>
      </c>
      <c r="C128" s="556" t="str">
        <f t="shared" si="10"/>
        <v/>
      </c>
      <c r="D128" s="557" t="str">
        <f t="shared" si="11"/>
        <v/>
      </c>
      <c r="E128" s="560"/>
      <c r="F128" s="559"/>
      <c r="G128" s="559" t="str">
        <f t="shared" si="12"/>
        <v/>
      </c>
      <c r="H128" s="559" t="str">
        <f t="shared" si="13"/>
        <v/>
      </c>
      <c r="I128" s="559" t="str">
        <f t="shared" si="14"/>
        <v/>
      </c>
    </row>
    <row r="129" spans="2:9">
      <c r="B129" s="555" t="str">
        <f t="shared" si="9"/>
        <v/>
      </c>
      <c r="C129" s="556" t="str">
        <f t="shared" si="10"/>
        <v/>
      </c>
      <c r="D129" s="557" t="str">
        <f t="shared" si="11"/>
        <v/>
      </c>
      <c r="E129" s="560"/>
      <c r="F129" s="559"/>
      <c r="G129" s="559" t="str">
        <f t="shared" si="12"/>
        <v/>
      </c>
      <c r="H129" s="559" t="str">
        <f t="shared" si="13"/>
        <v/>
      </c>
      <c r="I129" s="559" t="str">
        <f t="shared" si="14"/>
        <v/>
      </c>
    </row>
    <row r="130" spans="2:9">
      <c r="B130" s="555" t="str">
        <f t="shared" si="9"/>
        <v/>
      </c>
      <c r="C130" s="556" t="str">
        <f t="shared" si="10"/>
        <v/>
      </c>
      <c r="D130" s="557" t="str">
        <f t="shared" si="11"/>
        <v/>
      </c>
      <c r="E130" s="560"/>
      <c r="F130" s="559"/>
      <c r="G130" s="559" t="str">
        <f t="shared" si="12"/>
        <v/>
      </c>
      <c r="H130" s="559" t="str">
        <f t="shared" si="13"/>
        <v/>
      </c>
      <c r="I130" s="559" t="str">
        <f t="shared" si="14"/>
        <v/>
      </c>
    </row>
    <row r="131" spans="2:9">
      <c r="B131" s="555" t="str">
        <f t="shared" si="9"/>
        <v/>
      </c>
      <c r="C131" s="556" t="str">
        <f t="shared" si="10"/>
        <v/>
      </c>
      <c r="D131" s="557" t="str">
        <f t="shared" si="11"/>
        <v/>
      </c>
      <c r="E131" s="560"/>
      <c r="F131" s="559"/>
      <c r="G131" s="559" t="str">
        <f t="shared" si="12"/>
        <v/>
      </c>
      <c r="H131" s="559" t="str">
        <f t="shared" si="13"/>
        <v/>
      </c>
      <c r="I131" s="559" t="str">
        <f t="shared" si="14"/>
        <v/>
      </c>
    </row>
    <row r="132" spans="2:9">
      <c r="B132" s="555" t="str">
        <f t="shared" si="9"/>
        <v/>
      </c>
      <c r="C132" s="556" t="str">
        <f t="shared" si="10"/>
        <v/>
      </c>
      <c r="D132" s="557" t="str">
        <f t="shared" si="11"/>
        <v/>
      </c>
      <c r="E132" s="560"/>
      <c r="F132" s="559"/>
      <c r="G132" s="559" t="str">
        <f t="shared" si="12"/>
        <v/>
      </c>
      <c r="H132" s="559" t="str">
        <f t="shared" si="13"/>
        <v/>
      </c>
      <c r="I132" s="559" t="str">
        <f t="shared" si="14"/>
        <v/>
      </c>
    </row>
    <row r="133" spans="2:9">
      <c r="B133" s="555" t="str">
        <f t="shared" si="9"/>
        <v/>
      </c>
      <c r="C133" s="556" t="str">
        <f t="shared" si="10"/>
        <v/>
      </c>
      <c r="D133" s="557" t="str">
        <f t="shared" si="11"/>
        <v/>
      </c>
      <c r="E133" s="560"/>
      <c r="F133" s="559"/>
      <c r="G133" s="559" t="str">
        <f t="shared" si="12"/>
        <v/>
      </c>
      <c r="H133" s="559" t="str">
        <f t="shared" si="13"/>
        <v/>
      </c>
      <c r="I133" s="559" t="str">
        <f t="shared" si="14"/>
        <v/>
      </c>
    </row>
    <row r="134" spans="2:9">
      <c r="B134" s="555" t="str">
        <f t="shared" si="9"/>
        <v/>
      </c>
      <c r="C134" s="556" t="str">
        <f t="shared" si="10"/>
        <v/>
      </c>
      <c r="D134" s="557" t="str">
        <f t="shared" si="11"/>
        <v/>
      </c>
      <c r="E134" s="560"/>
      <c r="F134" s="559"/>
      <c r="G134" s="559" t="str">
        <f t="shared" si="12"/>
        <v/>
      </c>
      <c r="H134" s="559" t="str">
        <f t="shared" si="13"/>
        <v/>
      </c>
      <c r="I134" s="559" t="str">
        <f t="shared" si="14"/>
        <v/>
      </c>
    </row>
    <row r="135" spans="2:9">
      <c r="B135" s="555" t="str">
        <f t="shared" si="9"/>
        <v/>
      </c>
      <c r="C135" s="556" t="str">
        <f t="shared" si="10"/>
        <v/>
      </c>
      <c r="D135" s="557" t="str">
        <f t="shared" si="11"/>
        <v/>
      </c>
      <c r="E135" s="560"/>
      <c r="F135" s="559"/>
      <c r="G135" s="559" t="str">
        <f t="shared" si="12"/>
        <v/>
      </c>
      <c r="H135" s="559" t="str">
        <f t="shared" si="13"/>
        <v/>
      </c>
      <c r="I135" s="559" t="str">
        <f t="shared" si="14"/>
        <v/>
      </c>
    </row>
    <row r="136" spans="2:9">
      <c r="B136" s="555" t="str">
        <f t="shared" si="9"/>
        <v/>
      </c>
      <c r="C136" s="556" t="str">
        <f t="shared" si="10"/>
        <v/>
      </c>
      <c r="D136" s="557" t="str">
        <f t="shared" si="11"/>
        <v/>
      </c>
      <c r="E136" s="560"/>
      <c r="F136" s="559"/>
      <c r="G136" s="559" t="str">
        <f t="shared" si="12"/>
        <v/>
      </c>
      <c r="H136" s="559" t="str">
        <f t="shared" si="13"/>
        <v/>
      </c>
      <c r="I136" s="559" t="str">
        <f t="shared" si="14"/>
        <v/>
      </c>
    </row>
    <row r="137" spans="2:9">
      <c r="B137" s="555" t="str">
        <f t="shared" si="9"/>
        <v/>
      </c>
      <c r="C137" s="556" t="str">
        <f t="shared" si="10"/>
        <v/>
      </c>
      <c r="D137" s="557" t="str">
        <f t="shared" si="11"/>
        <v/>
      </c>
      <c r="E137" s="560"/>
      <c r="F137" s="559"/>
      <c r="G137" s="559" t="str">
        <f t="shared" si="12"/>
        <v/>
      </c>
      <c r="H137" s="559" t="str">
        <f t="shared" si="13"/>
        <v/>
      </c>
      <c r="I137" s="559" t="str">
        <f t="shared" si="14"/>
        <v/>
      </c>
    </row>
    <row r="138" spans="2:9">
      <c r="B138" s="555" t="str">
        <f t="shared" si="9"/>
        <v/>
      </c>
      <c r="C138" s="556" t="str">
        <f t="shared" si="10"/>
        <v/>
      </c>
      <c r="D138" s="557" t="str">
        <f t="shared" si="11"/>
        <v/>
      </c>
      <c r="E138" s="560"/>
      <c r="F138" s="559"/>
      <c r="G138" s="559" t="str">
        <f t="shared" si="12"/>
        <v/>
      </c>
      <c r="H138" s="559" t="str">
        <f t="shared" si="13"/>
        <v/>
      </c>
      <c r="I138" s="559" t="str">
        <f t="shared" si="14"/>
        <v/>
      </c>
    </row>
    <row r="139" spans="2:9">
      <c r="B139" s="555" t="str">
        <f t="shared" si="9"/>
        <v/>
      </c>
      <c r="C139" s="556" t="str">
        <f t="shared" si="10"/>
        <v/>
      </c>
      <c r="D139" s="557" t="str">
        <f t="shared" si="11"/>
        <v/>
      </c>
      <c r="E139" s="560"/>
      <c r="F139" s="559"/>
      <c r="G139" s="559" t="str">
        <f t="shared" si="12"/>
        <v/>
      </c>
      <c r="H139" s="559" t="str">
        <f t="shared" si="13"/>
        <v/>
      </c>
      <c r="I139" s="559" t="str">
        <f t="shared" si="14"/>
        <v/>
      </c>
    </row>
    <row r="140" spans="2:9">
      <c r="B140" s="555" t="str">
        <f t="shared" si="9"/>
        <v/>
      </c>
      <c r="C140" s="556" t="str">
        <f t="shared" si="10"/>
        <v/>
      </c>
      <c r="D140" s="557" t="str">
        <f t="shared" si="11"/>
        <v/>
      </c>
      <c r="E140" s="560"/>
      <c r="F140" s="559"/>
      <c r="G140" s="559" t="str">
        <f t="shared" si="12"/>
        <v/>
      </c>
      <c r="H140" s="559" t="str">
        <f t="shared" si="13"/>
        <v/>
      </c>
      <c r="I140" s="559" t="str">
        <f t="shared" si="14"/>
        <v/>
      </c>
    </row>
    <row r="141" spans="2:9">
      <c r="B141" s="555" t="str">
        <f t="shared" si="9"/>
        <v/>
      </c>
      <c r="C141" s="556" t="str">
        <f t="shared" si="10"/>
        <v/>
      </c>
      <c r="D141" s="557" t="str">
        <f t="shared" si="11"/>
        <v/>
      </c>
      <c r="E141" s="560"/>
      <c r="F141" s="559"/>
      <c r="G141" s="559" t="str">
        <f t="shared" si="12"/>
        <v/>
      </c>
      <c r="H141" s="559" t="str">
        <f t="shared" si="13"/>
        <v/>
      </c>
      <c r="I141" s="559" t="str">
        <f t="shared" si="14"/>
        <v/>
      </c>
    </row>
    <row r="142" spans="2:9">
      <c r="B142" s="555" t="str">
        <f t="shared" si="9"/>
        <v/>
      </c>
      <c r="C142" s="556" t="str">
        <f t="shared" si="10"/>
        <v/>
      </c>
      <c r="D142" s="557" t="str">
        <f t="shared" si="11"/>
        <v/>
      </c>
      <c r="E142" s="560"/>
      <c r="F142" s="559"/>
      <c r="G142" s="559" t="str">
        <f t="shared" si="12"/>
        <v/>
      </c>
      <c r="H142" s="559" t="str">
        <f t="shared" si="13"/>
        <v/>
      </c>
      <c r="I142" s="559" t="str">
        <f t="shared" si="14"/>
        <v/>
      </c>
    </row>
    <row r="143" spans="2:9">
      <c r="B143" s="555" t="str">
        <f t="shared" si="9"/>
        <v/>
      </c>
      <c r="C143" s="556" t="str">
        <f t="shared" si="10"/>
        <v/>
      </c>
      <c r="D143" s="557" t="str">
        <f t="shared" si="11"/>
        <v/>
      </c>
      <c r="E143" s="560"/>
      <c r="F143" s="559"/>
      <c r="G143" s="559" t="str">
        <f t="shared" si="12"/>
        <v/>
      </c>
      <c r="H143" s="559" t="str">
        <f t="shared" si="13"/>
        <v/>
      </c>
      <c r="I143" s="559" t="str">
        <f t="shared" si="14"/>
        <v/>
      </c>
    </row>
    <row r="144" spans="2:9">
      <c r="B144" s="555" t="str">
        <f t="shared" si="9"/>
        <v/>
      </c>
      <c r="C144" s="556" t="str">
        <f t="shared" si="10"/>
        <v/>
      </c>
      <c r="D144" s="557" t="str">
        <f t="shared" si="11"/>
        <v/>
      </c>
      <c r="E144" s="560"/>
      <c r="F144" s="559"/>
      <c r="G144" s="559" t="str">
        <f t="shared" si="12"/>
        <v/>
      </c>
      <c r="H144" s="559" t="str">
        <f t="shared" si="13"/>
        <v/>
      </c>
      <c r="I144" s="559" t="str">
        <f t="shared" si="14"/>
        <v/>
      </c>
    </row>
    <row r="145" spans="2:9">
      <c r="B145" s="555" t="str">
        <f t="shared" si="9"/>
        <v/>
      </c>
      <c r="C145" s="556" t="str">
        <f t="shared" si="10"/>
        <v/>
      </c>
      <c r="D145" s="557" t="str">
        <f t="shared" si="11"/>
        <v/>
      </c>
      <c r="E145" s="560"/>
      <c r="F145" s="559"/>
      <c r="G145" s="559" t="str">
        <f t="shared" si="12"/>
        <v/>
      </c>
      <c r="H145" s="559" t="str">
        <f t="shared" si="13"/>
        <v/>
      </c>
      <c r="I145" s="559" t="str">
        <f t="shared" si="14"/>
        <v/>
      </c>
    </row>
    <row r="146" spans="2:9">
      <c r="B146" s="555" t="str">
        <f t="shared" si="9"/>
        <v/>
      </c>
      <c r="C146" s="556" t="str">
        <f t="shared" si="10"/>
        <v/>
      </c>
      <c r="D146" s="557" t="str">
        <f t="shared" si="11"/>
        <v/>
      </c>
      <c r="E146" s="560"/>
      <c r="F146" s="559"/>
      <c r="G146" s="559" t="str">
        <f t="shared" si="12"/>
        <v/>
      </c>
      <c r="H146" s="559" t="str">
        <f t="shared" si="13"/>
        <v/>
      </c>
      <c r="I146" s="559" t="str">
        <f t="shared" si="14"/>
        <v/>
      </c>
    </row>
    <row r="147" spans="2:9">
      <c r="B147" s="555" t="str">
        <f t="shared" si="9"/>
        <v/>
      </c>
      <c r="C147" s="556" t="str">
        <f t="shared" si="10"/>
        <v/>
      </c>
      <c r="D147" s="557" t="str">
        <f t="shared" si="11"/>
        <v/>
      </c>
      <c r="E147" s="560"/>
      <c r="F147" s="559"/>
      <c r="G147" s="559" t="str">
        <f t="shared" si="12"/>
        <v/>
      </c>
      <c r="H147" s="559" t="str">
        <f t="shared" si="13"/>
        <v/>
      </c>
      <c r="I147" s="559" t="str">
        <f t="shared" si="14"/>
        <v/>
      </c>
    </row>
    <row r="148" spans="2:9">
      <c r="B148" s="555" t="str">
        <f t="shared" si="9"/>
        <v/>
      </c>
      <c r="C148" s="556" t="str">
        <f t="shared" si="10"/>
        <v/>
      </c>
      <c r="D148" s="557" t="str">
        <f t="shared" si="11"/>
        <v/>
      </c>
      <c r="E148" s="560"/>
      <c r="F148" s="559"/>
      <c r="G148" s="559" t="str">
        <f t="shared" si="12"/>
        <v/>
      </c>
      <c r="H148" s="559" t="str">
        <f t="shared" si="13"/>
        <v/>
      </c>
      <c r="I148" s="559" t="str">
        <f t="shared" si="14"/>
        <v/>
      </c>
    </row>
    <row r="149" spans="2:9">
      <c r="B149" s="555" t="str">
        <f t="shared" si="9"/>
        <v/>
      </c>
      <c r="C149" s="556" t="str">
        <f t="shared" si="10"/>
        <v/>
      </c>
      <c r="D149" s="557" t="str">
        <f t="shared" si="11"/>
        <v/>
      </c>
      <c r="E149" s="560"/>
      <c r="F149" s="559"/>
      <c r="G149" s="559" t="str">
        <f t="shared" si="12"/>
        <v/>
      </c>
      <c r="H149" s="559" t="str">
        <f t="shared" si="13"/>
        <v/>
      </c>
      <c r="I149" s="559" t="str">
        <f t="shared" si="14"/>
        <v/>
      </c>
    </row>
    <row r="150" spans="2:9">
      <c r="B150" s="555" t="str">
        <f t="shared" si="9"/>
        <v/>
      </c>
      <c r="C150" s="556" t="str">
        <f t="shared" si="10"/>
        <v/>
      </c>
      <c r="D150" s="557" t="str">
        <f t="shared" si="11"/>
        <v/>
      </c>
      <c r="E150" s="560"/>
      <c r="F150" s="559"/>
      <c r="G150" s="559" t="str">
        <f t="shared" si="12"/>
        <v/>
      </c>
      <c r="H150" s="559" t="str">
        <f t="shared" si="13"/>
        <v/>
      </c>
      <c r="I150" s="559" t="str">
        <f t="shared" si="14"/>
        <v/>
      </c>
    </row>
    <row r="151" spans="2:9">
      <c r="B151" s="555" t="str">
        <f t="shared" si="9"/>
        <v/>
      </c>
      <c r="C151" s="556" t="str">
        <f t="shared" si="10"/>
        <v/>
      </c>
      <c r="D151" s="557" t="str">
        <f t="shared" si="11"/>
        <v/>
      </c>
      <c r="E151" s="560"/>
      <c r="F151" s="559"/>
      <c r="G151" s="559" t="str">
        <f t="shared" si="12"/>
        <v/>
      </c>
      <c r="H151" s="559" t="str">
        <f t="shared" si="13"/>
        <v/>
      </c>
      <c r="I151" s="559" t="str">
        <f t="shared" si="14"/>
        <v/>
      </c>
    </row>
    <row r="152" spans="2:9">
      <c r="B152" s="555" t="str">
        <f t="shared" si="9"/>
        <v/>
      </c>
      <c r="C152" s="556" t="str">
        <f t="shared" si="10"/>
        <v/>
      </c>
      <c r="D152" s="557" t="str">
        <f t="shared" si="11"/>
        <v/>
      </c>
      <c r="E152" s="560"/>
      <c r="F152" s="559"/>
      <c r="G152" s="559" t="str">
        <f t="shared" si="12"/>
        <v/>
      </c>
      <c r="H152" s="559" t="str">
        <f t="shared" si="13"/>
        <v/>
      </c>
      <c r="I152" s="559" t="str">
        <f t="shared" si="14"/>
        <v/>
      </c>
    </row>
    <row r="153" spans="2:9">
      <c r="B153" s="555" t="str">
        <f t="shared" si="9"/>
        <v/>
      </c>
      <c r="C153" s="556" t="str">
        <f t="shared" si="10"/>
        <v/>
      </c>
      <c r="D153" s="557" t="str">
        <f t="shared" si="11"/>
        <v/>
      </c>
      <c r="E153" s="560"/>
      <c r="F153" s="559"/>
      <c r="G153" s="559" t="str">
        <f t="shared" si="12"/>
        <v/>
      </c>
      <c r="H153" s="559" t="str">
        <f t="shared" si="13"/>
        <v/>
      </c>
      <c r="I153" s="559" t="str">
        <f t="shared" si="14"/>
        <v/>
      </c>
    </row>
    <row r="154" spans="2:9">
      <c r="B154" s="555" t="str">
        <f t="shared" si="9"/>
        <v/>
      </c>
      <c r="C154" s="556" t="str">
        <f t="shared" si="10"/>
        <v/>
      </c>
      <c r="D154" s="557" t="str">
        <f t="shared" si="11"/>
        <v/>
      </c>
      <c r="E154" s="560"/>
      <c r="F154" s="559"/>
      <c r="G154" s="559" t="str">
        <f t="shared" si="12"/>
        <v/>
      </c>
      <c r="H154" s="559" t="str">
        <f t="shared" si="13"/>
        <v/>
      </c>
      <c r="I154" s="559" t="str">
        <f t="shared" si="14"/>
        <v/>
      </c>
    </row>
    <row r="155" spans="2:9">
      <c r="B155" s="555" t="str">
        <f t="shared" si="9"/>
        <v/>
      </c>
      <c r="C155" s="556" t="str">
        <f t="shared" si="10"/>
        <v/>
      </c>
      <c r="D155" s="557" t="str">
        <f t="shared" si="11"/>
        <v/>
      </c>
      <c r="E155" s="560"/>
      <c r="F155" s="559"/>
      <c r="G155" s="559" t="str">
        <f t="shared" si="12"/>
        <v/>
      </c>
      <c r="H155" s="559" t="str">
        <f t="shared" si="13"/>
        <v/>
      </c>
      <c r="I155" s="559" t="str">
        <f t="shared" si="14"/>
        <v/>
      </c>
    </row>
    <row r="156" spans="2:9">
      <c r="B156" s="555" t="str">
        <f t="shared" si="9"/>
        <v/>
      </c>
      <c r="C156" s="556" t="str">
        <f t="shared" si="10"/>
        <v/>
      </c>
      <c r="D156" s="557" t="str">
        <f t="shared" si="11"/>
        <v/>
      </c>
      <c r="E156" s="560"/>
      <c r="F156" s="559"/>
      <c r="G156" s="559" t="str">
        <f t="shared" si="12"/>
        <v/>
      </c>
      <c r="H156" s="559" t="str">
        <f t="shared" si="13"/>
        <v/>
      </c>
      <c r="I156" s="559" t="str">
        <f t="shared" si="14"/>
        <v/>
      </c>
    </row>
    <row r="157" spans="2:9">
      <c r="B157" s="555" t="str">
        <f t="shared" si="9"/>
        <v/>
      </c>
      <c r="C157" s="556" t="str">
        <f t="shared" si="10"/>
        <v/>
      </c>
      <c r="D157" s="557" t="str">
        <f t="shared" si="11"/>
        <v/>
      </c>
      <c r="E157" s="560"/>
      <c r="F157" s="559"/>
      <c r="G157" s="559" t="str">
        <f t="shared" si="12"/>
        <v/>
      </c>
      <c r="H157" s="559" t="str">
        <f t="shared" si="13"/>
        <v/>
      </c>
      <c r="I157" s="559" t="str">
        <f t="shared" si="14"/>
        <v/>
      </c>
    </row>
    <row r="158" spans="2:9">
      <c r="B158" s="555" t="str">
        <f t="shared" si="9"/>
        <v/>
      </c>
      <c r="C158" s="556" t="str">
        <f t="shared" si="10"/>
        <v/>
      </c>
      <c r="D158" s="557" t="str">
        <f t="shared" si="11"/>
        <v/>
      </c>
      <c r="E158" s="560"/>
      <c r="F158" s="559"/>
      <c r="G158" s="559" t="str">
        <f t="shared" si="12"/>
        <v/>
      </c>
      <c r="H158" s="559" t="str">
        <f t="shared" si="13"/>
        <v/>
      </c>
      <c r="I158" s="559" t="str">
        <f t="shared" si="14"/>
        <v/>
      </c>
    </row>
    <row r="159" spans="2:9">
      <c r="B159" s="555" t="str">
        <f t="shared" si="9"/>
        <v/>
      </c>
      <c r="C159" s="556" t="str">
        <f t="shared" si="10"/>
        <v/>
      </c>
      <c r="D159" s="557" t="str">
        <f t="shared" si="11"/>
        <v/>
      </c>
      <c r="E159" s="560"/>
      <c r="F159" s="559"/>
      <c r="G159" s="559" t="str">
        <f t="shared" si="12"/>
        <v/>
      </c>
      <c r="H159" s="559" t="str">
        <f t="shared" si="13"/>
        <v/>
      </c>
      <c r="I159" s="559" t="str">
        <f t="shared" si="14"/>
        <v/>
      </c>
    </row>
    <row r="160" spans="2:9">
      <c r="B160" s="555" t="str">
        <f t="shared" si="9"/>
        <v/>
      </c>
      <c r="C160" s="556" t="str">
        <f t="shared" si="10"/>
        <v/>
      </c>
      <c r="D160" s="557" t="str">
        <f t="shared" si="11"/>
        <v/>
      </c>
      <c r="E160" s="560"/>
      <c r="F160" s="559"/>
      <c r="G160" s="559" t="str">
        <f t="shared" si="12"/>
        <v/>
      </c>
      <c r="H160" s="559" t="str">
        <f t="shared" si="13"/>
        <v/>
      </c>
      <c r="I160" s="559" t="str">
        <f t="shared" si="14"/>
        <v/>
      </c>
    </row>
    <row r="161" spans="2:9">
      <c r="B161" s="555" t="str">
        <f t="shared" si="9"/>
        <v/>
      </c>
      <c r="C161" s="556" t="str">
        <f t="shared" si="10"/>
        <v/>
      </c>
      <c r="D161" s="557" t="str">
        <f t="shared" si="11"/>
        <v/>
      </c>
      <c r="E161" s="560"/>
      <c r="F161" s="559"/>
      <c r="G161" s="559" t="str">
        <f t="shared" si="12"/>
        <v/>
      </c>
      <c r="H161" s="559" t="str">
        <f t="shared" si="13"/>
        <v/>
      </c>
      <c r="I161" s="559" t="str">
        <f t="shared" si="14"/>
        <v/>
      </c>
    </row>
    <row r="162" spans="2:9">
      <c r="B162" s="555" t="str">
        <f t="shared" si="9"/>
        <v/>
      </c>
      <c r="C162" s="556" t="str">
        <f t="shared" si="10"/>
        <v/>
      </c>
      <c r="D162" s="557" t="str">
        <f t="shared" si="11"/>
        <v/>
      </c>
      <c r="E162" s="560"/>
      <c r="F162" s="559"/>
      <c r="G162" s="559" t="str">
        <f t="shared" si="12"/>
        <v/>
      </c>
      <c r="H162" s="559" t="str">
        <f t="shared" si="13"/>
        <v/>
      </c>
      <c r="I162" s="559" t="str">
        <f t="shared" si="14"/>
        <v/>
      </c>
    </row>
    <row r="163" spans="2:9">
      <c r="B163" s="555" t="str">
        <f t="shared" si="9"/>
        <v/>
      </c>
      <c r="C163" s="556" t="str">
        <f t="shared" si="10"/>
        <v/>
      </c>
      <c r="D163" s="557" t="str">
        <f t="shared" si="11"/>
        <v/>
      </c>
      <c r="E163" s="560"/>
      <c r="F163" s="559"/>
      <c r="G163" s="559" t="str">
        <f t="shared" si="12"/>
        <v/>
      </c>
      <c r="H163" s="559" t="str">
        <f t="shared" si="13"/>
        <v/>
      </c>
      <c r="I163" s="559" t="str">
        <f t="shared" si="14"/>
        <v/>
      </c>
    </row>
    <row r="164" spans="2:9">
      <c r="B164" s="555" t="str">
        <f t="shared" si="9"/>
        <v/>
      </c>
      <c r="C164" s="556" t="str">
        <f t="shared" si="10"/>
        <v/>
      </c>
      <c r="D164" s="557" t="str">
        <f t="shared" si="11"/>
        <v/>
      </c>
      <c r="E164" s="560"/>
      <c r="F164" s="559"/>
      <c r="G164" s="559" t="str">
        <f t="shared" si="12"/>
        <v/>
      </c>
      <c r="H164" s="559" t="str">
        <f t="shared" si="13"/>
        <v/>
      </c>
      <c r="I164" s="559" t="str">
        <f t="shared" si="14"/>
        <v/>
      </c>
    </row>
    <row r="165" spans="2:9">
      <c r="B165" s="555" t="str">
        <f t="shared" si="9"/>
        <v/>
      </c>
      <c r="C165" s="556" t="str">
        <f t="shared" si="10"/>
        <v/>
      </c>
      <c r="D165" s="557" t="str">
        <f t="shared" si="11"/>
        <v/>
      </c>
      <c r="E165" s="560"/>
      <c r="F165" s="559"/>
      <c r="G165" s="559" t="str">
        <f t="shared" si="12"/>
        <v/>
      </c>
      <c r="H165" s="559" t="str">
        <f t="shared" si="13"/>
        <v/>
      </c>
      <c r="I165" s="559" t="str">
        <f t="shared" si="14"/>
        <v/>
      </c>
    </row>
    <row r="166" spans="2:9">
      <c r="B166" s="555" t="str">
        <f t="shared" si="9"/>
        <v/>
      </c>
      <c r="C166" s="556" t="str">
        <f t="shared" si="10"/>
        <v/>
      </c>
      <c r="D166" s="557" t="str">
        <f t="shared" si="11"/>
        <v/>
      </c>
      <c r="E166" s="560"/>
      <c r="F166" s="559"/>
      <c r="G166" s="559" t="str">
        <f t="shared" si="12"/>
        <v/>
      </c>
      <c r="H166" s="559" t="str">
        <f t="shared" si="13"/>
        <v/>
      </c>
      <c r="I166" s="559" t="str">
        <f t="shared" si="14"/>
        <v/>
      </c>
    </row>
    <row r="167" spans="2:9">
      <c r="B167" s="555" t="str">
        <f t="shared" si="9"/>
        <v/>
      </c>
      <c r="C167" s="556" t="str">
        <f t="shared" si="10"/>
        <v/>
      </c>
      <c r="D167" s="557" t="str">
        <f t="shared" si="11"/>
        <v/>
      </c>
      <c r="E167" s="560"/>
      <c r="F167" s="559"/>
      <c r="G167" s="559" t="str">
        <f t="shared" si="12"/>
        <v/>
      </c>
      <c r="H167" s="559" t="str">
        <f t="shared" si="13"/>
        <v/>
      </c>
      <c r="I167" s="559" t="str">
        <f t="shared" si="14"/>
        <v/>
      </c>
    </row>
    <row r="168" spans="2:9">
      <c r="B168" s="555" t="str">
        <f t="shared" si="9"/>
        <v/>
      </c>
      <c r="C168" s="556" t="str">
        <f t="shared" si="10"/>
        <v/>
      </c>
      <c r="D168" s="557" t="str">
        <f t="shared" si="11"/>
        <v/>
      </c>
      <c r="E168" s="560"/>
      <c r="F168" s="559"/>
      <c r="G168" s="559" t="str">
        <f t="shared" si="12"/>
        <v/>
      </c>
      <c r="H168" s="559" t="str">
        <f t="shared" si="13"/>
        <v/>
      </c>
      <c r="I168" s="559" t="str">
        <f t="shared" si="14"/>
        <v/>
      </c>
    </row>
    <row r="169" spans="2:9">
      <c r="B169" s="555" t="str">
        <f t="shared" si="9"/>
        <v/>
      </c>
      <c r="C169" s="556" t="str">
        <f t="shared" si="10"/>
        <v/>
      </c>
      <c r="D169" s="557" t="str">
        <f t="shared" si="11"/>
        <v/>
      </c>
      <c r="E169" s="560"/>
      <c r="F169" s="559"/>
      <c r="G169" s="559" t="str">
        <f t="shared" si="12"/>
        <v/>
      </c>
      <c r="H169" s="559" t="str">
        <f t="shared" si="13"/>
        <v/>
      </c>
      <c r="I169" s="559" t="str">
        <f t="shared" si="14"/>
        <v/>
      </c>
    </row>
    <row r="170" spans="2:9">
      <c r="B170" s="555" t="str">
        <f t="shared" si="9"/>
        <v/>
      </c>
      <c r="C170" s="556" t="str">
        <f t="shared" si="10"/>
        <v/>
      </c>
      <c r="D170" s="557" t="str">
        <f t="shared" si="11"/>
        <v/>
      </c>
      <c r="E170" s="560"/>
      <c r="F170" s="559"/>
      <c r="G170" s="559" t="str">
        <f t="shared" si="12"/>
        <v/>
      </c>
      <c r="H170" s="559" t="str">
        <f t="shared" si="13"/>
        <v/>
      </c>
      <c r="I170" s="559" t="str">
        <f t="shared" si="14"/>
        <v/>
      </c>
    </row>
    <row r="171" spans="2:9">
      <c r="B171" s="555" t="str">
        <f t="shared" si="9"/>
        <v/>
      </c>
      <c r="C171" s="556" t="str">
        <f t="shared" si="10"/>
        <v/>
      </c>
      <c r="D171" s="557" t="str">
        <f t="shared" si="11"/>
        <v/>
      </c>
      <c r="E171" s="560"/>
      <c r="F171" s="559"/>
      <c r="G171" s="559" t="str">
        <f t="shared" si="12"/>
        <v/>
      </c>
      <c r="H171" s="559" t="str">
        <f t="shared" si="13"/>
        <v/>
      </c>
      <c r="I171" s="559" t="str">
        <f t="shared" si="14"/>
        <v/>
      </c>
    </row>
    <row r="172" spans="2:9">
      <c r="B172" s="555" t="str">
        <f t="shared" si="9"/>
        <v/>
      </c>
      <c r="C172" s="556" t="str">
        <f t="shared" si="10"/>
        <v/>
      </c>
      <c r="D172" s="557" t="str">
        <f t="shared" si="11"/>
        <v/>
      </c>
      <c r="E172" s="560"/>
      <c r="F172" s="559"/>
      <c r="G172" s="559" t="str">
        <f t="shared" si="12"/>
        <v/>
      </c>
      <c r="H172" s="559" t="str">
        <f t="shared" si="13"/>
        <v/>
      </c>
      <c r="I172" s="559" t="str">
        <f t="shared" si="14"/>
        <v/>
      </c>
    </row>
    <row r="173" spans="2:9">
      <c r="B173" s="555" t="str">
        <f t="shared" si="9"/>
        <v/>
      </c>
      <c r="C173" s="556" t="str">
        <f t="shared" si="10"/>
        <v/>
      </c>
      <c r="D173" s="557" t="str">
        <f t="shared" si="11"/>
        <v/>
      </c>
      <c r="E173" s="560"/>
      <c r="F173" s="559"/>
      <c r="G173" s="559" t="str">
        <f t="shared" si="12"/>
        <v/>
      </c>
      <c r="H173" s="559" t="str">
        <f t="shared" si="13"/>
        <v/>
      </c>
      <c r="I173" s="559" t="str">
        <f t="shared" si="14"/>
        <v/>
      </c>
    </row>
    <row r="174" spans="2:9">
      <c r="B174" s="555" t="str">
        <f t="shared" si="9"/>
        <v/>
      </c>
      <c r="C174" s="556" t="str">
        <f t="shared" si="10"/>
        <v/>
      </c>
      <c r="D174" s="557" t="str">
        <f t="shared" si="11"/>
        <v/>
      </c>
      <c r="E174" s="560"/>
      <c r="F174" s="559"/>
      <c r="G174" s="559" t="str">
        <f t="shared" si="12"/>
        <v/>
      </c>
      <c r="H174" s="559" t="str">
        <f t="shared" si="13"/>
        <v/>
      </c>
      <c r="I174" s="559" t="str">
        <f t="shared" si="14"/>
        <v/>
      </c>
    </row>
    <row r="175" spans="2:9">
      <c r="B175" s="555" t="str">
        <f t="shared" si="9"/>
        <v/>
      </c>
      <c r="C175" s="556" t="str">
        <f t="shared" si="10"/>
        <v/>
      </c>
      <c r="D175" s="557" t="str">
        <f t="shared" si="11"/>
        <v/>
      </c>
      <c r="E175" s="560"/>
      <c r="F175" s="559"/>
      <c r="G175" s="559" t="str">
        <f t="shared" si="12"/>
        <v/>
      </c>
      <c r="H175" s="559" t="str">
        <f t="shared" si="13"/>
        <v/>
      </c>
      <c r="I175" s="559" t="str">
        <f t="shared" si="14"/>
        <v/>
      </c>
    </row>
    <row r="176" spans="2:9">
      <c r="B176" s="555" t="str">
        <f t="shared" si="9"/>
        <v/>
      </c>
      <c r="C176" s="556" t="str">
        <f t="shared" si="10"/>
        <v/>
      </c>
      <c r="D176" s="557" t="str">
        <f t="shared" si="11"/>
        <v/>
      </c>
      <c r="E176" s="560"/>
      <c r="F176" s="559"/>
      <c r="G176" s="559" t="str">
        <f t="shared" si="12"/>
        <v/>
      </c>
      <c r="H176" s="559" t="str">
        <f t="shared" si="13"/>
        <v/>
      </c>
      <c r="I176" s="559" t="str">
        <f t="shared" si="14"/>
        <v/>
      </c>
    </row>
    <row r="177" spans="2:9">
      <c r="B177" s="555" t="str">
        <f t="shared" si="9"/>
        <v/>
      </c>
      <c r="C177" s="556" t="str">
        <f t="shared" si="10"/>
        <v/>
      </c>
      <c r="D177" s="557" t="str">
        <f t="shared" si="11"/>
        <v/>
      </c>
      <c r="E177" s="560"/>
      <c r="F177" s="559"/>
      <c r="G177" s="559" t="str">
        <f t="shared" si="12"/>
        <v/>
      </c>
      <c r="H177" s="559" t="str">
        <f t="shared" si="13"/>
        <v/>
      </c>
      <c r="I177" s="559" t="str">
        <f t="shared" si="14"/>
        <v/>
      </c>
    </row>
    <row r="178" spans="2:9">
      <c r="B178" s="555" t="str">
        <f t="shared" si="9"/>
        <v/>
      </c>
      <c r="C178" s="556" t="str">
        <f t="shared" si="10"/>
        <v/>
      </c>
      <c r="D178" s="557" t="str">
        <f t="shared" si="11"/>
        <v/>
      </c>
      <c r="E178" s="560"/>
      <c r="F178" s="559"/>
      <c r="G178" s="559" t="str">
        <f t="shared" si="12"/>
        <v/>
      </c>
      <c r="H178" s="559" t="str">
        <f t="shared" si="13"/>
        <v/>
      </c>
      <c r="I178" s="559" t="str">
        <f t="shared" si="14"/>
        <v/>
      </c>
    </row>
    <row r="179" spans="2:9">
      <c r="B179" s="555" t="str">
        <f t="shared" si="9"/>
        <v/>
      </c>
      <c r="C179" s="556" t="str">
        <f t="shared" si="10"/>
        <v/>
      </c>
      <c r="D179" s="557" t="str">
        <f t="shared" si="11"/>
        <v/>
      </c>
      <c r="E179" s="560"/>
      <c r="F179" s="559"/>
      <c r="G179" s="559" t="str">
        <f t="shared" si="12"/>
        <v/>
      </c>
      <c r="H179" s="559" t="str">
        <f t="shared" si="13"/>
        <v/>
      </c>
      <c r="I179" s="559" t="str">
        <f t="shared" si="14"/>
        <v/>
      </c>
    </row>
    <row r="180" spans="2:9">
      <c r="B180" s="555" t="str">
        <f t="shared" si="9"/>
        <v/>
      </c>
      <c r="C180" s="556" t="str">
        <f t="shared" si="10"/>
        <v/>
      </c>
      <c r="D180" s="557" t="str">
        <f t="shared" si="11"/>
        <v/>
      </c>
      <c r="E180" s="560"/>
      <c r="F180" s="559"/>
      <c r="G180" s="559" t="str">
        <f t="shared" si="12"/>
        <v/>
      </c>
      <c r="H180" s="559" t="str">
        <f t="shared" si="13"/>
        <v/>
      </c>
      <c r="I180" s="559" t="str">
        <f t="shared" si="14"/>
        <v/>
      </c>
    </row>
    <row r="181" spans="2:9">
      <c r="B181" s="555" t="str">
        <f t="shared" si="9"/>
        <v/>
      </c>
      <c r="C181" s="556" t="str">
        <f t="shared" si="10"/>
        <v/>
      </c>
      <c r="D181" s="557" t="str">
        <f t="shared" si="11"/>
        <v/>
      </c>
      <c r="E181" s="560"/>
      <c r="F181" s="559"/>
      <c r="G181" s="559" t="str">
        <f t="shared" si="12"/>
        <v/>
      </c>
      <c r="H181" s="559" t="str">
        <f t="shared" si="13"/>
        <v/>
      </c>
      <c r="I181" s="559" t="str">
        <f t="shared" si="14"/>
        <v/>
      </c>
    </row>
    <row r="182" spans="2:9">
      <c r="B182" s="555" t="str">
        <f t="shared" si="9"/>
        <v/>
      </c>
      <c r="C182" s="556" t="str">
        <f t="shared" si="10"/>
        <v/>
      </c>
      <c r="D182" s="557" t="str">
        <f t="shared" si="11"/>
        <v/>
      </c>
      <c r="E182" s="560"/>
      <c r="F182" s="559"/>
      <c r="G182" s="559" t="str">
        <f t="shared" si="12"/>
        <v/>
      </c>
      <c r="H182" s="559" t="str">
        <f t="shared" si="13"/>
        <v/>
      </c>
      <c r="I182" s="559" t="str">
        <f t="shared" si="14"/>
        <v/>
      </c>
    </row>
    <row r="183" spans="2:9">
      <c r="B183" s="555" t="str">
        <f t="shared" si="9"/>
        <v/>
      </c>
      <c r="C183" s="556" t="str">
        <f t="shared" si="10"/>
        <v/>
      </c>
      <c r="D183" s="557" t="str">
        <f t="shared" si="11"/>
        <v/>
      </c>
      <c r="E183" s="560"/>
      <c r="F183" s="559"/>
      <c r="G183" s="559" t="str">
        <f t="shared" si="12"/>
        <v/>
      </c>
      <c r="H183" s="559" t="str">
        <f t="shared" si="13"/>
        <v/>
      </c>
      <c r="I183" s="559" t="str">
        <f t="shared" si="14"/>
        <v/>
      </c>
    </row>
    <row r="184" spans="2:9">
      <c r="B184" s="555" t="str">
        <f t="shared" si="9"/>
        <v/>
      </c>
      <c r="C184" s="556" t="str">
        <f t="shared" si="10"/>
        <v/>
      </c>
      <c r="D184" s="557" t="str">
        <f t="shared" si="11"/>
        <v/>
      </c>
      <c r="E184" s="560"/>
      <c r="F184" s="559"/>
      <c r="G184" s="559" t="str">
        <f t="shared" si="12"/>
        <v/>
      </c>
      <c r="H184" s="559" t="str">
        <f t="shared" si="13"/>
        <v/>
      </c>
      <c r="I184" s="559" t="str">
        <f t="shared" si="14"/>
        <v/>
      </c>
    </row>
    <row r="185" spans="2:9">
      <c r="B185" s="555" t="str">
        <f t="shared" si="9"/>
        <v/>
      </c>
      <c r="C185" s="556" t="str">
        <f t="shared" si="10"/>
        <v/>
      </c>
      <c r="D185" s="557" t="str">
        <f t="shared" si="11"/>
        <v/>
      </c>
      <c r="E185" s="560"/>
      <c r="F185" s="559"/>
      <c r="G185" s="559" t="str">
        <f t="shared" si="12"/>
        <v/>
      </c>
      <c r="H185" s="559" t="str">
        <f t="shared" si="13"/>
        <v/>
      </c>
      <c r="I185" s="559" t="str">
        <f t="shared" si="14"/>
        <v/>
      </c>
    </row>
    <row r="186" spans="2:9">
      <c r="B186" s="555" t="str">
        <f t="shared" si="9"/>
        <v/>
      </c>
      <c r="C186" s="556" t="str">
        <f t="shared" si="10"/>
        <v/>
      </c>
      <c r="D186" s="557" t="str">
        <f t="shared" si="11"/>
        <v/>
      </c>
      <c r="E186" s="560"/>
      <c r="F186" s="559"/>
      <c r="G186" s="559" t="str">
        <f t="shared" si="12"/>
        <v/>
      </c>
      <c r="H186" s="559" t="str">
        <f t="shared" si="13"/>
        <v/>
      </c>
      <c r="I186" s="559" t="str">
        <f t="shared" si="14"/>
        <v/>
      </c>
    </row>
    <row r="187" spans="2:9">
      <c r="B187" s="555" t="str">
        <f t="shared" si="9"/>
        <v/>
      </c>
      <c r="C187" s="556" t="str">
        <f t="shared" si="10"/>
        <v/>
      </c>
      <c r="D187" s="557" t="str">
        <f t="shared" si="11"/>
        <v/>
      </c>
      <c r="E187" s="560"/>
      <c r="F187" s="559"/>
      <c r="G187" s="559" t="str">
        <f t="shared" si="12"/>
        <v/>
      </c>
      <c r="H187" s="559" t="str">
        <f t="shared" si="13"/>
        <v/>
      </c>
      <c r="I187" s="559" t="str">
        <f t="shared" si="14"/>
        <v/>
      </c>
    </row>
    <row r="188" spans="2:9">
      <c r="B188" s="555" t="str">
        <f t="shared" si="9"/>
        <v/>
      </c>
      <c r="C188" s="556" t="str">
        <f t="shared" si="10"/>
        <v/>
      </c>
      <c r="D188" s="557" t="str">
        <f t="shared" si="11"/>
        <v/>
      </c>
      <c r="E188" s="560"/>
      <c r="F188" s="559"/>
      <c r="G188" s="559" t="str">
        <f t="shared" si="12"/>
        <v/>
      </c>
      <c r="H188" s="559" t="str">
        <f t="shared" si="13"/>
        <v/>
      </c>
      <c r="I188" s="559" t="str">
        <f t="shared" si="14"/>
        <v/>
      </c>
    </row>
    <row r="189" spans="2:9">
      <c r="B189" s="555" t="str">
        <f t="shared" ref="B189:B252" si="15">IF(I188="","",IF(roundOpt,IF(OR(B188&gt;=nper,ROUND(I188,2)&lt;=0),"",B188+1),IF(OR(B188&gt;=nper,I188&lt;=0),"",B188+1)))</f>
        <v/>
      </c>
      <c r="C189" s="556" t="str">
        <f t="shared" ref="C189:C252" si="16">IF(B189="","",IF(OR(periods_per_year=26,periods_per_year=52),IF(periods_per_year=26,IF(B189=1,fpdate,C188+14),IF(periods_per_year=52,IF(B189=1,fpdate,C188+7),"n/a")),IF(periods_per_year=24,DATE(YEAR(fpdate),MONTH(fpdate)+(B189-1)/2+IF(AND(DAY(fpdate)&gt;=15,MOD(B189,2)=0),1,0),IF(MOD(B189,2)=0,IF(DAY(fpdate)&gt;=15,DAY(fpdate)-14,DAY(fpdate)+14),DAY(fpdate))),IF(DAY(DATE(YEAR(fpdate),MONTH(fpdate)+(B189-1)*months_per_period,DAY(fpdate)))&lt;&gt;DAY(fpdate),DATE(YEAR(fpdate),MONTH(fpdate)+(B189-1)*months_per_period+1,0),DATE(YEAR(fpdate),MONTH(fpdate)+(B189-1)*months_per_period,DAY(fpdate))))))</f>
        <v/>
      </c>
      <c r="D189" s="557" t="str">
        <f t="shared" ref="D189:D252" si="17">IF(B189="","",IF(roundOpt,IF(OR(B189=nper,payment&gt;ROUND((1+rate)*I188,2)),ROUND((1+rate)*I188,2),payment),IF(OR(B189=nper,payment&gt;(1+rate)*I188),(1+rate)*I188,payment)))</f>
        <v/>
      </c>
      <c r="E189" s="560"/>
      <c r="F189" s="559"/>
      <c r="G189" s="559" t="str">
        <f t="shared" ref="G189:G252" si="18">IF(B189="","",IF(AND(B189=1,pmtType=1),0,IF(roundOpt,ROUND(rate*I188,2),rate*I188)))</f>
        <v/>
      </c>
      <c r="H189" s="559" t="str">
        <f t="shared" ref="H189:H252" si="19">IF(B189="","",D189-G189+E189)</f>
        <v/>
      </c>
      <c r="I189" s="559" t="str">
        <f t="shared" ref="I189:I252" si="20">IF(B189="","",I188-H189)</f>
        <v/>
      </c>
    </row>
    <row r="190" spans="2:9">
      <c r="B190" s="555" t="str">
        <f t="shared" si="15"/>
        <v/>
      </c>
      <c r="C190" s="556" t="str">
        <f t="shared" si="16"/>
        <v/>
      </c>
      <c r="D190" s="557" t="str">
        <f t="shared" si="17"/>
        <v/>
      </c>
      <c r="E190" s="560"/>
      <c r="F190" s="559"/>
      <c r="G190" s="559" t="str">
        <f t="shared" si="18"/>
        <v/>
      </c>
      <c r="H190" s="559" t="str">
        <f t="shared" si="19"/>
        <v/>
      </c>
      <c r="I190" s="559" t="str">
        <f t="shared" si="20"/>
        <v/>
      </c>
    </row>
    <row r="191" spans="2:9">
      <c r="B191" s="555" t="str">
        <f t="shared" si="15"/>
        <v/>
      </c>
      <c r="C191" s="556" t="str">
        <f t="shared" si="16"/>
        <v/>
      </c>
      <c r="D191" s="557" t="str">
        <f t="shared" si="17"/>
        <v/>
      </c>
      <c r="E191" s="560"/>
      <c r="F191" s="559"/>
      <c r="G191" s="559" t="str">
        <f t="shared" si="18"/>
        <v/>
      </c>
      <c r="H191" s="559" t="str">
        <f t="shared" si="19"/>
        <v/>
      </c>
      <c r="I191" s="559" t="str">
        <f t="shared" si="20"/>
        <v/>
      </c>
    </row>
    <row r="192" spans="2:9">
      <c r="B192" s="555" t="str">
        <f t="shared" si="15"/>
        <v/>
      </c>
      <c r="C192" s="556" t="str">
        <f t="shared" si="16"/>
        <v/>
      </c>
      <c r="D192" s="557" t="str">
        <f t="shared" si="17"/>
        <v/>
      </c>
      <c r="E192" s="560"/>
      <c r="F192" s="559"/>
      <c r="G192" s="559" t="str">
        <f t="shared" si="18"/>
        <v/>
      </c>
      <c r="H192" s="559" t="str">
        <f t="shared" si="19"/>
        <v/>
      </c>
      <c r="I192" s="559" t="str">
        <f t="shared" si="20"/>
        <v/>
      </c>
    </row>
    <row r="193" spans="2:9">
      <c r="B193" s="555" t="str">
        <f t="shared" si="15"/>
        <v/>
      </c>
      <c r="C193" s="556" t="str">
        <f t="shared" si="16"/>
        <v/>
      </c>
      <c r="D193" s="557" t="str">
        <f t="shared" si="17"/>
        <v/>
      </c>
      <c r="E193" s="560"/>
      <c r="F193" s="559"/>
      <c r="G193" s="559" t="str">
        <f t="shared" si="18"/>
        <v/>
      </c>
      <c r="H193" s="559" t="str">
        <f t="shared" si="19"/>
        <v/>
      </c>
      <c r="I193" s="559" t="str">
        <f t="shared" si="20"/>
        <v/>
      </c>
    </row>
    <row r="194" spans="2:9">
      <c r="B194" s="555" t="str">
        <f t="shared" si="15"/>
        <v/>
      </c>
      <c r="C194" s="556" t="str">
        <f t="shared" si="16"/>
        <v/>
      </c>
      <c r="D194" s="557" t="str">
        <f t="shared" si="17"/>
        <v/>
      </c>
      <c r="E194" s="560"/>
      <c r="F194" s="559"/>
      <c r="G194" s="559" t="str">
        <f t="shared" si="18"/>
        <v/>
      </c>
      <c r="H194" s="559" t="str">
        <f t="shared" si="19"/>
        <v/>
      </c>
      <c r="I194" s="559" t="str">
        <f t="shared" si="20"/>
        <v/>
      </c>
    </row>
    <row r="195" spans="2:9">
      <c r="B195" s="555" t="str">
        <f t="shared" si="15"/>
        <v/>
      </c>
      <c r="C195" s="556" t="str">
        <f t="shared" si="16"/>
        <v/>
      </c>
      <c r="D195" s="557" t="str">
        <f t="shared" si="17"/>
        <v/>
      </c>
      <c r="E195" s="560"/>
      <c r="F195" s="559"/>
      <c r="G195" s="559" t="str">
        <f t="shared" si="18"/>
        <v/>
      </c>
      <c r="H195" s="559" t="str">
        <f t="shared" si="19"/>
        <v/>
      </c>
      <c r="I195" s="559" t="str">
        <f t="shared" si="20"/>
        <v/>
      </c>
    </row>
    <row r="196" spans="2:9">
      <c r="B196" s="555" t="str">
        <f t="shared" si="15"/>
        <v/>
      </c>
      <c r="C196" s="556" t="str">
        <f t="shared" si="16"/>
        <v/>
      </c>
      <c r="D196" s="557" t="str">
        <f t="shared" si="17"/>
        <v/>
      </c>
      <c r="E196" s="560"/>
      <c r="F196" s="559"/>
      <c r="G196" s="559" t="str">
        <f t="shared" si="18"/>
        <v/>
      </c>
      <c r="H196" s="559" t="str">
        <f t="shared" si="19"/>
        <v/>
      </c>
      <c r="I196" s="559" t="str">
        <f t="shared" si="20"/>
        <v/>
      </c>
    </row>
    <row r="197" spans="2:9">
      <c r="B197" s="555" t="str">
        <f t="shared" si="15"/>
        <v/>
      </c>
      <c r="C197" s="556" t="str">
        <f t="shared" si="16"/>
        <v/>
      </c>
      <c r="D197" s="557" t="str">
        <f t="shared" si="17"/>
        <v/>
      </c>
      <c r="E197" s="560"/>
      <c r="F197" s="559"/>
      <c r="G197" s="559" t="str">
        <f t="shared" si="18"/>
        <v/>
      </c>
      <c r="H197" s="559" t="str">
        <f t="shared" si="19"/>
        <v/>
      </c>
      <c r="I197" s="559" t="str">
        <f t="shared" si="20"/>
        <v/>
      </c>
    </row>
    <row r="198" spans="2:9">
      <c r="B198" s="555" t="str">
        <f t="shared" si="15"/>
        <v/>
      </c>
      <c r="C198" s="556" t="str">
        <f t="shared" si="16"/>
        <v/>
      </c>
      <c r="D198" s="557" t="str">
        <f t="shared" si="17"/>
        <v/>
      </c>
      <c r="E198" s="560"/>
      <c r="F198" s="559"/>
      <c r="G198" s="559" t="str">
        <f t="shared" si="18"/>
        <v/>
      </c>
      <c r="H198" s="559" t="str">
        <f t="shared" si="19"/>
        <v/>
      </c>
      <c r="I198" s="559" t="str">
        <f t="shared" si="20"/>
        <v/>
      </c>
    </row>
    <row r="199" spans="2:9">
      <c r="B199" s="555" t="str">
        <f t="shared" si="15"/>
        <v/>
      </c>
      <c r="C199" s="556" t="str">
        <f t="shared" si="16"/>
        <v/>
      </c>
      <c r="D199" s="557" t="str">
        <f t="shared" si="17"/>
        <v/>
      </c>
      <c r="E199" s="560"/>
      <c r="F199" s="559"/>
      <c r="G199" s="559" t="str">
        <f t="shared" si="18"/>
        <v/>
      </c>
      <c r="H199" s="559" t="str">
        <f t="shared" si="19"/>
        <v/>
      </c>
      <c r="I199" s="559" t="str">
        <f t="shared" si="20"/>
        <v/>
      </c>
    </row>
    <row r="200" spans="2:9">
      <c r="B200" s="555" t="str">
        <f t="shared" si="15"/>
        <v/>
      </c>
      <c r="C200" s="556" t="str">
        <f t="shared" si="16"/>
        <v/>
      </c>
      <c r="D200" s="557" t="str">
        <f t="shared" si="17"/>
        <v/>
      </c>
      <c r="E200" s="560"/>
      <c r="F200" s="559"/>
      <c r="G200" s="559" t="str">
        <f t="shared" si="18"/>
        <v/>
      </c>
      <c r="H200" s="559" t="str">
        <f t="shared" si="19"/>
        <v/>
      </c>
      <c r="I200" s="559" t="str">
        <f t="shared" si="20"/>
        <v/>
      </c>
    </row>
    <row r="201" spans="2:9">
      <c r="B201" s="555" t="str">
        <f t="shared" si="15"/>
        <v/>
      </c>
      <c r="C201" s="556" t="str">
        <f t="shared" si="16"/>
        <v/>
      </c>
      <c r="D201" s="557" t="str">
        <f t="shared" si="17"/>
        <v/>
      </c>
      <c r="E201" s="560"/>
      <c r="F201" s="559"/>
      <c r="G201" s="559" t="str">
        <f t="shared" si="18"/>
        <v/>
      </c>
      <c r="H201" s="559" t="str">
        <f t="shared" si="19"/>
        <v/>
      </c>
      <c r="I201" s="559" t="str">
        <f t="shared" si="20"/>
        <v/>
      </c>
    </row>
    <row r="202" spans="2:9">
      <c r="B202" s="555" t="str">
        <f t="shared" si="15"/>
        <v/>
      </c>
      <c r="C202" s="556" t="str">
        <f t="shared" si="16"/>
        <v/>
      </c>
      <c r="D202" s="557" t="str">
        <f t="shared" si="17"/>
        <v/>
      </c>
      <c r="E202" s="560"/>
      <c r="F202" s="559"/>
      <c r="G202" s="559" t="str">
        <f t="shared" si="18"/>
        <v/>
      </c>
      <c r="H202" s="559" t="str">
        <f t="shared" si="19"/>
        <v/>
      </c>
      <c r="I202" s="559" t="str">
        <f t="shared" si="20"/>
        <v/>
      </c>
    </row>
    <row r="203" spans="2:9">
      <c r="B203" s="555" t="str">
        <f t="shared" si="15"/>
        <v/>
      </c>
      <c r="C203" s="556" t="str">
        <f t="shared" si="16"/>
        <v/>
      </c>
      <c r="D203" s="557" t="str">
        <f t="shared" si="17"/>
        <v/>
      </c>
      <c r="E203" s="560"/>
      <c r="F203" s="559"/>
      <c r="G203" s="559" t="str">
        <f t="shared" si="18"/>
        <v/>
      </c>
      <c r="H203" s="559" t="str">
        <f t="shared" si="19"/>
        <v/>
      </c>
      <c r="I203" s="559" t="str">
        <f t="shared" si="20"/>
        <v/>
      </c>
    </row>
    <row r="204" spans="2:9">
      <c r="B204" s="555" t="str">
        <f t="shared" si="15"/>
        <v/>
      </c>
      <c r="C204" s="556" t="str">
        <f t="shared" si="16"/>
        <v/>
      </c>
      <c r="D204" s="557" t="str">
        <f t="shared" si="17"/>
        <v/>
      </c>
      <c r="E204" s="560"/>
      <c r="F204" s="559"/>
      <c r="G204" s="559" t="str">
        <f t="shared" si="18"/>
        <v/>
      </c>
      <c r="H204" s="559" t="str">
        <f t="shared" si="19"/>
        <v/>
      </c>
      <c r="I204" s="559" t="str">
        <f t="shared" si="20"/>
        <v/>
      </c>
    </row>
    <row r="205" spans="2:9">
      <c r="B205" s="555" t="str">
        <f t="shared" si="15"/>
        <v/>
      </c>
      <c r="C205" s="556" t="str">
        <f t="shared" si="16"/>
        <v/>
      </c>
      <c r="D205" s="557" t="str">
        <f t="shared" si="17"/>
        <v/>
      </c>
      <c r="E205" s="560"/>
      <c r="F205" s="559"/>
      <c r="G205" s="559" t="str">
        <f t="shared" si="18"/>
        <v/>
      </c>
      <c r="H205" s="559" t="str">
        <f t="shared" si="19"/>
        <v/>
      </c>
      <c r="I205" s="559" t="str">
        <f t="shared" si="20"/>
        <v/>
      </c>
    </row>
    <row r="206" spans="2:9">
      <c r="B206" s="555" t="str">
        <f t="shared" si="15"/>
        <v/>
      </c>
      <c r="C206" s="556" t="str">
        <f t="shared" si="16"/>
        <v/>
      </c>
      <c r="D206" s="557" t="str">
        <f t="shared" si="17"/>
        <v/>
      </c>
      <c r="E206" s="560"/>
      <c r="F206" s="559"/>
      <c r="G206" s="559" t="str">
        <f t="shared" si="18"/>
        <v/>
      </c>
      <c r="H206" s="559" t="str">
        <f t="shared" si="19"/>
        <v/>
      </c>
      <c r="I206" s="559" t="str">
        <f t="shared" si="20"/>
        <v/>
      </c>
    </row>
    <row r="207" spans="2:9">
      <c r="B207" s="555" t="str">
        <f t="shared" si="15"/>
        <v/>
      </c>
      <c r="C207" s="556" t="str">
        <f t="shared" si="16"/>
        <v/>
      </c>
      <c r="D207" s="557" t="str">
        <f t="shared" si="17"/>
        <v/>
      </c>
      <c r="E207" s="560"/>
      <c r="F207" s="559"/>
      <c r="G207" s="559" t="str">
        <f t="shared" si="18"/>
        <v/>
      </c>
      <c r="H207" s="559" t="str">
        <f t="shared" si="19"/>
        <v/>
      </c>
      <c r="I207" s="559" t="str">
        <f t="shared" si="20"/>
        <v/>
      </c>
    </row>
    <row r="208" spans="2:9">
      <c r="B208" s="555" t="str">
        <f t="shared" si="15"/>
        <v/>
      </c>
      <c r="C208" s="556" t="str">
        <f t="shared" si="16"/>
        <v/>
      </c>
      <c r="D208" s="557" t="str">
        <f t="shared" si="17"/>
        <v/>
      </c>
      <c r="E208" s="560"/>
      <c r="F208" s="559"/>
      <c r="G208" s="559" t="str">
        <f t="shared" si="18"/>
        <v/>
      </c>
      <c r="H208" s="559" t="str">
        <f t="shared" si="19"/>
        <v/>
      </c>
      <c r="I208" s="559" t="str">
        <f t="shared" si="20"/>
        <v/>
      </c>
    </row>
    <row r="209" spans="2:9">
      <c r="B209" s="555" t="str">
        <f t="shared" si="15"/>
        <v/>
      </c>
      <c r="C209" s="556" t="str">
        <f t="shared" si="16"/>
        <v/>
      </c>
      <c r="D209" s="557" t="str">
        <f t="shared" si="17"/>
        <v/>
      </c>
      <c r="E209" s="560"/>
      <c r="F209" s="559"/>
      <c r="G209" s="559" t="str">
        <f t="shared" si="18"/>
        <v/>
      </c>
      <c r="H209" s="559" t="str">
        <f t="shared" si="19"/>
        <v/>
      </c>
      <c r="I209" s="559" t="str">
        <f t="shared" si="20"/>
        <v/>
      </c>
    </row>
    <row r="210" spans="2:9">
      <c r="B210" s="555" t="str">
        <f t="shared" si="15"/>
        <v/>
      </c>
      <c r="C210" s="556" t="str">
        <f t="shared" si="16"/>
        <v/>
      </c>
      <c r="D210" s="557" t="str">
        <f t="shared" si="17"/>
        <v/>
      </c>
      <c r="E210" s="560"/>
      <c r="F210" s="559"/>
      <c r="G210" s="559" t="str">
        <f t="shared" si="18"/>
        <v/>
      </c>
      <c r="H210" s="559" t="str">
        <f t="shared" si="19"/>
        <v/>
      </c>
      <c r="I210" s="559" t="str">
        <f t="shared" si="20"/>
        <v/>
      </c>
    </row>
    <row r="211" spans="2:9">
      <c r="B211" s="555" t="str">
        <f t="shared" si="15"/>
        <v/>
      </c>
      <c r="C211" s="556" t="str">
        <f t="shared" si="16"/>
        <v/>
      </c>
      <c r="D211" s="557" t="str">
        <f t="shared" si="17"/>
        <v/>
      </c>
      <c r="E211" s="560"/>
      <c r="F211" s="559"/>
      <c r="G211" s="559" t="str">
        <f t="shared" si="18"/>
        <v/>
      </c>
      <c r="H211" s="559" t="str">
        <f t="shared" si="19"/>
        <v/>
      </c>
      <c r="I211" s="559" t="str">
        <f t="shared" si="20"/>
        <v/>
      </c>
    </row>
    <row r="212" spans="2:9">
      <c r="B212" s="555" t="str">
        <f t="shared" si="15"/>
        <v/>
      </c>
      <c r="C212" s="556" t="str">
        <f t="shared" si="16"/>
        <v/>
      </c>
      <c r="D212" s="557" t="str">
        <f t="shared" si="17"/>
        <v/>
      </c>
      <c r="E212" s="560"/>
      <c r="F212" s="559"/>
      <c r="G212" s="559" t="str">
        <f t="shared" si="18"/>
        <v/>
      </c>
      <c r="H212" s="559" t="str">
        <f t="shared" si="19"/>
        <v/>
      </c>
      <c r="I212" s="559" t="str">
        <f t="shared" si="20"/>
        <v/>
      </c>
    </row>
    <row r="213" spans="2:9">
      <c r="B213" s="555" t="str">
        <f t="shared" si="15"/>
        <v/>
      </c>
      <c r="C213" s="556" t="str">
        <f t="shared" si="16"/>
        <v/>
      </c>
      <c r="D213" s="557" t="str">
        <f t="shared" si="17"/>
        <v/>
      </c>
      <c r="E213" s="560"/>
      <c r="F213" s="559"/>
      <c r="G213" s="559" t="str">
        <f t="shared" si="18"/>
        <v/>
      </c>
      <c r="H213" s="559" t="str">
        <f t="shared" si="19"/>
        <v/>
      </c>
      <c r="I213" s="559" t="str">
        <f t="shared" si="20"/>
        <v/>
      </c>
    </row>
    <row r="214" spans="2:9">
      <c r="B214" s="555" t="str">
        <f t="shared" si="15"/>
        <v/>
      </c>
      <c r="C214" s="556" t="str">
        <f t="shared" si="16"/>
        <v/>
      </c>
      <c r="D214" s="557" t="str">
        <f t="shared" si="17"/>
        <v/>
      </c>
      <c r="E214" s="560"/>
      <c r="F214" s="559"/>
      <c r="G214" s="559" t="str">
        <f t="shared" si="18"/>
        <v/>
      </c>
      <c r="H214" s="559" t="str">
        <f t="shared" si="19"/>
        <v/>
      </c>
      <c r="I214" s="559" t="str">
        <f t="shared" si="20"/>
        <v/>
      </c>
    </row>
    <row r="215" spans="2:9">
      <c r="B215" s="555" t="str">
        <f t="shared" si="15"/>
        <v/>
      </c>
      <c r="C215" s="556" t="str">
        <f t="shared" si="16"/>
        <v/>
      </c>
      <c r="D215" s="557" t="str">
        <f t="shared" si="17"/>
        <v/>
      </c>
      <c r="E215" s="560"/>
      <c r="F215" s="559"/>
      <c r="G215" s="559" t="str">
        <f t="shared" si="18"/>
        <v/>
      </c>
      <c r="H215" s="559" t="str">
        <f t="shared" si="19"/>
        <v/>
      </c>
      <c r="I215" s="559" t="str">
        <f t="shared" si="20"/>
        <v/>
      </c>
    </row>
    <row r="216" spans="2:9">
      <c r="B216" s="555" t="str">
        <f t="shared" si="15"/>
        <v/>
      </c>
      <c r="C216" s="556" t="str">
        <f t="shared" si="16"/>
        <v/>
      </c>
      <c r="D216" s="557" t="str">
        <f t="shared" si="17"/>
        <v/>
      </c>
      <c r="E216" s="560"/>
      <c r="F216" s="559"/>
      <c r="G216" s="559" t="str">
        <f t="shared" si="18"/>
        <v/>
      </c>
      <c r="H216" s="559" t="str">
        <f t="shared" si="19"/>
        <v/>
      </c>
      <c r="I216" s="559" t="str">
        <f t="shared" si="20"/>
        <v/>
      </c>
    </row>
    <row r="217" spans="2:9">
      <c r="B217" s="555" t="str">
        <f t="shared" si="15"/>
        <v/>
      </c>
      <c r="C217" s="556" t="str">
        <f t="shared" si="16"/>
        <v/>
      </c>
      <c r="D217" s="557" t="str">
        <f t="shared" si="17"/>
        <v/>
      </c>
      <c r="E217" s="560"/>
      <c r="F217" s="559"/>
      <c r="G217" s="559" t="str">
        <f t="shared" si="18"/>
        <v/>
      </c>
      <c r="H217" s="559" t="str">
        <f t="shared" si="19"/>
        <v/>
      </c>
      <c r="I217" s="559" t="str">
        <f t="shared" si="20"/>
        <v/>
      </c>
    </row>
    <row r="218" spans="2:9">
      <c r="B218" s="555" t="str">
        <f t="shared" si="15"/>
        <v/>
      </c>
      <c r="C218" s="556" t="str">
        <f t="shared" si="16"/>
        <v/>
      </c>
      <c r="D218" s="557" t="str">
        <f t="shared" si="17"/>
        <v/>
      </c>
      <c r="E218" s="560"/>
      <c r="F218" s="559"/>
      <c r="G218" s="559" t="str">
        <f t="shared" si="18"/>
        <v/>
      </c>
      <c r="H218" s="559" t="str">
        <f t="shared" si="19"/>
        <v/>
      </c>
      <c r="I218" s="559" t="str">
        <f t="shared" si="20"/>
        <v/>
      </c>
    </row>
    <row r="219" spans="2:9">
      <c r="B219" s="555" t="str">
        <f t="shared" si="15"/>
        <v/>
      </c>
      <c r="C219" s="556" t="str">
        <f t="shared" si="16"/>
        <v/>
      </c>
      <c r="D219" s="557" t="str">
        <f t="shared" si="17"/>
        <v/>
      </c>
      <c r="E219" s="560"/>
      <c r="F219" s="559"/>
      <c r="G219" s="559" t="str">
        <f t="shared" si="18"/>
        <v/>
      </c>
      <c r="H219" s="559" t="str">
        <f t="shared" si="19"/>
        <v/>
      </c>
      <c r="I219" s="559" t="str">
        <f t="shared" si="20"/>
        <v/>
      </c>
    </row>
    <row r="220" spans="2:9">
      <c r="B220" s="555" t="str">
        <f t="shared" si="15"/>
        <v/>
      </c>
      <c r="C220" s="556" t="str">
        <f t="shared" si="16"/>
        <v/>
      </c>
      <c r="D220" s="557" t="str">
        <f t="shared" si="17"/>
        <v/>
      </c>
      <c r="E220" s="560"/>
      <c r="F220" s="559"/>
      <c r="G220" s="559" t="str">
        <f t="shared" si="18"/>
        <v/>
      </c>
      <c r="H220" s="559" t="str">
        <f t="shared" si="19"/>
        <v/>
      </c>
      <c r="I220" s="559" t="str">
        <f t="shared" si="20"/>
        <v/>
      </c>
    </row>
    <row r="221" spans="2:9">
      <c r="B221" s="555" t="str">
        <f t="shared" si="15"/>
        <v/>
      </c>
      <c r="C221" s="556" t="str">
        <f t="shared" si="16"/>
        <v/>
      </c>
      <c r="D221" s="557" t="str">
        <f t="shared" si="17"/>
        <v/>
      </c>
      <c r="E221" s="560"/>
      <c r="F221" s="559"/>
      <c r="G221" s="559" t="str">
        <f t="shared" si="18"/>
        <v/>
      </c>
      <c r="H221" s="559" t="str">
        <f t="shared" si="19"/>
        <v/>
      </c>
      <c r="I221" s="559" t="str">
        <f t="shared" si="20"/>
        <v/>
      </c>
    </row>
    <row r="222" spans="2:9">
      <c r="B222" s="555" t="str">
        <f t="shared" si="15"/>
        <v/>
      </c>
      <c r="C222" s="556" t="str">
        <f t="shared" si="16"/>
        <v/>
      </c>
      <c r="D222" s="557" t="str">
        <f t="shared" si="17"/>
        <v/>
      </c>
      <c r="E222" s="560"/>
      <c r="F222" s="559"/>
      <c r="G222" s="559" t="str">
        <f t="shared" si="18"/>
        <v/>
      </c>
      <c r="H222" s="559" t="str">
        <f t="shared" si="19"/>
        <v/>
      </c>
      <c r="I222" s="559" t="str">
        <f t="shared" si="20"/>
        <v/>
      </c>
    </row>
    <row r="223" spans="2:9">
      <c r="B223" s="555" t="str">
        <f t="shared" si="15"/>
        <v/>
      </c>
      <c r="C223" s="556" t="str">
        <f t="shared" si="16"/>
        <v/>
      </c>
      <c r="D223" s="557" t="str">
        <f t="shared" si="17"/>
        <v/>
      </c>
      <c r="E223" s="560"/>
      <c r="F223" s="559"/>
      <c r="G223" s="559" t="str">
        <f t="shared" si="18"/>
        <v/>
      </c>
      <c r="H223" s="559" t="str">
        <f t="shared" si="19"/>
        <v/>
      </c>
      <c r="I223" s="559" t="str">
        <f t="shared" si="20"/>
        <v/>
      </c>
    </row>
    <row r="224" spans="2:9">
      <c r="B224" s="555" t="str">
        <f t="shared" si="15"/>
        <v/>
      </c>
      <c r="C224" s="556" t="str">
        <f t="shared" si="16"/>
        <v/>
      </c>
      <c r="D224" s="557" t="str">
        <f t="shared" si="17"/>
        <v/>
      </c>
      <c r="E224" s="560"/>
      <c r="F224" s="559"/>
      <c r="G224" s="559" t="str">
        <f t="shared" si="18"/>
        <v/>
      </c>
      <c r="H224" s="559" t="str">
        <f t="shared" si="19"/>
        <v/>
      </c>
      <c r="I224" s="559" t="str">
        <f t="shared" si="20"/>
        <v/>
      </c>
    </row>
    <row r="225" spans="2:9">
      <c r="B225" s="555" t="str">
        <f t="shared" si="15"/>
        <v/>
      </c>
      <c r="C225" s="556" t="str">
        <f t="shared" si="16"/>
        <v/>
      </c>
      <c r="D225" s="557" t="str">
        <f t="shared" si="17"/>
        <v/>
      </c>
      <c r="E225" s="560"/>
      <c r="F225" s="559"/>
      <c r="G225" s="559" t="str">
        <f t="shared" si="18"/>
        <v/>
      </c>
      <c r="H225" s="559" t="str">
        <f t="shared" si="19"/>
        <v/>
      </c>
      <c r="I225" s="559" t="str">
        <f t="shared" si="20"/>
        <v/>
      </c>
    </row>
    <row r="226" spans="2:9">
      <c r="B226" s="555" t="str">
        <f t="shared" si="15"/>
        <v/>
      </c>
      <c r="C226" s="556" t="str">
        <f t="shared" si="16"/>
        <v/>
      </c>
      <c r="D226" s="557" t="str">
        <f t="shared" si="17"/>
        <v/>
      </c>
      <c r="E226" s="560"/>
      <c r="F226" s="559"/>
      <c r="G226" s="559" t="str">
        <f t="shared" si="18"/>
        <v/>
      </c>
      <c r="H226" s="559" t="str">
        <f t="shared" si="19"/>
        <v/>
      </c>
      <c r="I226" s="559" t="str">
        <f t="shared" si="20"/>
        <v/>
      </c>
    </row>
    <row r="227" spans="2:9">
      <c r="B227" s="555" t="str">
        <f t="shared" si="15"/>
        <v/>
      </c>
      <c r="C227" s="556" t="str">
        <f t="shared" si="16"/>
        <v/>
      </c>
      <c r="D227" s="557" t="str">
        <f t="shared" si="17"/>
        <v/>
      </c>
      <c r="E227" s="560"/>
      <c r="F227" s="559"/>
      <c r="G227" s="559" t="str">
        <f t="shared" si="18"/>
        <v/>
      </c>
      <c r="H227" s="559" t="str">
        <f t="shared" si="19"/>
        <v/>
      </c>
      <c r="I227" s="559" t="str">
        <f t="shared" si="20"/>
        <v/>
      </c>
    </row>
    <row r="228" spans="2:9">
      <c r="B228" s="555" t="str">
        <f t="shared" si="15"/>
        <v/>
      </c>
      <c r="C228" s="556" t="str">
        <f t="shared" si="16"/>
        <v/>
      </c>
      <c r="D228" s="557" t="str">
        <f t="shared" si="17"/>
        <v/>
      </c>
      <c r="E228" s="560"/>
      <c r="F228" s="559"/>
      <c r="G228" s="559" t="str">
        <f t="shared" si="18"/>
        <v/>
      </c>
      <c r="H228" s="559" t="str">
        <f t="shared" si="19"/>
        <v/>
      </c>
      <c r="I228" s="559" t="str">
        <f t="shared" si="20"/>
        <v/>
      </c>
    </row>
    <row r="229" spans="2:9">
      <c r="B229" s="555" t="str">
        <f t="shared" si="15"/>
        <v/>
      </c>
      <c r="C229" s="556" t="str">
        <f t="shared" si="16"/>
        <v/>
      </c>
      <c r="D229" s="557" t="str">
        <f t="shared" si="17"/>
        <v/>
      </c>
      <c r="E229" s="560"/>
      <c r="F229" s="559"/>
      <c r="G229" s="559" t="str">
        <f t="shared" si="18"/>
        <v/>
      </c>
      <c r="H229" s="559" t="str">
        <f t="shared" si="19"/>
        <v/>
      </c>
      <c r="I229" s="559" t="str">
        <f t="shared" si="20"/>
        <v/>
      </c>
    </row>
    <row r="230" spans="2:9">
      <c r="B230" s="555" t="str">
        <f t="shared" si="15"/>
        <v/>
      </c>
      <c r="C230" s="556" t="str">
        <f t="shared" si="16"/>
        <v/>
      </c>
      <c r="D230" s="557" t="str">
        <f t="shared" si="17"/>
        <v/>
      </c>
      <c r="E230" s="560"/>
      <c r="F230" s="559"/>
      <c r="G230" s="559" t="str">
        <f t="shared" si="18"/>
        <v/>
      </c>
      <c r="H230" s="559" t="str">
        <f t="shared" si="19"/>
        <v/>
      </c>
      <c r="I230" s="559" t="str">
        <f t="shared" si="20"/>
        <v/>
      </c>
    </row>
    <row r="231" spans="2:9">
      <c r="B231" s="555" t="str">
        <f t="shared" si="15"/>
        <v/>
      </c>
      <c r="C231" s="556" t="str">
        <f t="shared" si="16"/>
        <v/>
      </c>
      <c r="D231" s="557" t="str">
        <f t="shared" si="17"/>
        <v/>
      </c>
      <c r="E231" s="560"/>
      <c r="F231" s="559"/>
      <c r="G231" s="559" t="str">
        <f t="shared" si="18"/>
        <v/>
      </c>
      <c r="H231" s="559" t="str">
        <f t="shared" si="19"/>
        <v/>
      </c>
      <c r="I231" s="559" t="str">
        <f t="shared" si="20"/>
        <v/>
      </c>
    </row>
    <row r="232" spans="2:9">
      <c r="B232" s="555" t="str">
        <f t="shared" si="15"/>
        <v/>
      </c>
      <c r="C232" s="556" t="str">
        <f t="shared" si="16"/>
        <v/>
      </c>
      <c r="D232" s="557" t="str">
        <f t="shared" si="17"/>
        <v/>
      </c>
      <c r="E232" s="560"/>
      <c r="F232" s="559"/>
      <c r="G232" s="559" t="str">
        <f t="shared" si="18"/>
        <v/>
      </c>
      <c r="H232" s="559" t="str">
        <f t="shared" si="19"/>
        <v/>
      </c>
      <c r="I232" s="559" t="str">
        <f t="shared" si="20"/>
        <v/>
      </c>
    </row>
    <row r="233" spans="2:9">
      <c r="B233" s="555" t="str">
        <f t="shared" si="15"/>
        <v/>
      </c>
      <c r="C233" s="556" t="str">
        <f t="shared" si="16"/>
        <v/>
      </c>
      <c r="D233" s="557" t="str">
        <f t="shared" si="17"/>
        <v/>
      </c>
      <c r="E233" s="560"/>
      <c r="F233" s="559"/>
      <c r="G233" s="559" t="str">
        <f t="shared" si="18"/>
        <v/>
      </c>
      <c r="H233" s="559" t="str">
        <f t="shared" si="19"/>
        <v/>
      </c>
      <c r="I233" s="559" t="str">
        <f t="shared" si="20"/>
        <v/>
      </c>
    </row>
    <row r="234" spans="2:9">
      <c r="B234" s="555" t="str">
        <f t="shared" si="15"/>
        <v/>
      </c>
      <c r="C234" s="556" t="str">
        <f t="shared" si="16"/>
        <v/>
      </c>
      <c r="D234" s="557" t="str">
        <f t="shared" si="17"/>
        <v/>
      </c>
      <c r="E234" s="560"/>
      <c r="F234" s="559"/>
      <c r="G234" s="559" t="str">
        <f t="shared" si="18"/>
        <v/>
      </c>
      <c r="H234" s="559" t="str">
        <f t="shared" si="19"/>
        <v/>
      </c>
      <c r="I234" s="559" t="str">
        <f t="shared" si="20"/>
        <v/>
      </c>
    </row>
    <row r="235" spans="2:9">
      <c r="B235" s="555" t="str">
        <f t="shared" si="15"/>
        <v/>
      </c>
      <c r="C235" s="556" t="str">
        <f t="shared" si="16"/>
        <v/>
      </c>
      <c r="D235" s="557" t="str">
        <f t="shared" si="17"/>
        <v/>
      </c>
      <c r="E235" s="560"/>
      <c r="F235" s="559"/>
      <c r="G235" s="559" t="str">
        <f t="shared" si="18"/>
        <v/>
      </c>
      <c r="H235" s="559" t="str">
        <f t="shared" si="19"/>
        <v/>
      </c>
      <c r="I235" s="559" t="str">
        <f t="shared" si="20"/>
        <v/>
      </c>
    </row>
    <row r="236" spans="2:9">
      <c r="B236" s="555" t="str">
        <f t="shared" si="15"/>
        <v/>
      </c>
      <c r="C236" s="556" t="str">
        <f t="shared" si="16"/>
        <v/>
      </c>
      <c r="D236" s="557" t="str">
        <f t="shared" si="17"/>
        <v/>
      </c>
      <c r="E236" s="560"/>
      <c r="F236" s="559"/>
      <c r="G236" s="559" t="str">
        <f t="shared" si="18"/>
        <v/>
      </c>
      <c r="H236" s="559" t="str">
        <f t="shared" si="19"/>
        <v/>
      </c>
      <c r="I236" s="559" t="str">
        <f t="shared" si="20"/>
        <v/>
      </c>
    </row>
    <row r="237" spans="2:9">
      <c r="B237" s="555" t="str">
        <f t="shared" si="15"/>
        <v/>
      </c>
      <c r="C237" s="556" t="str">
        <f t="shared" si="16"/>
        <v/>
      </c>
      <c r="D237" s="557" t="str">
        <f t="shared" si="17"/>
        <v/>
      </c>
      <c r="E237" s="560"/>
      <c r="F237" s="559"/>
      <c r="G237" s="559" t="str">
        <f t="shared" si="18"/>
        <v/>
      </c>
      <c r="H237" s="559" t="str">
        <f t="shared" si="19"/>
        <v/>
      </c>
      <c r="I237" s="559" t="str">
        <f t="shared" si="20"/>
        <v/>
      </c>
    </row>
    <row r="238" spans="2:9">
      <c r="B238" s="555" t="str">
        <f t="shared" si="15"/>
        <v/>
      </c>
      <c r="C238" s="556" t="str">
        <f t="shared" si="16"/>
        <v/>
      </c>
      <c r="D238" s="557" t="str">
        <f t="shared" si="17"/>
        <v/>
      </c>
      <c r="E238" s="560"/>
      <c r="F238" s="559"/>
      <c r="G238" s="559" t="str">
        <f t="shared" si="18"/>
        <v/>
      </c>
      <c r="H238" s="559" t="str">
        <f t="shared" si="19"/>
        <v/>
      </c>
      <c r="I238" s="559" t="str">
        <f t="shared" si="20"/>
        <v/>
      </c>
    </row>
    <row r="239" spans="2:9">
      <c r="B239" s="555" t="str">
        <f t="shared" si="15"/>
        <v/>
      </c>
      <c r="C239" s="556" t="str">
        <f t="shared" si="16"/>
        <v/>
      </c>
      <c r="D239" s="557" t="str">
        <f t="shared" si="17"/>
        <v/>
      </c>
      <c r="E239" s="560"/>
      <c r="F239" s="559"/>
      <c r="G239" s="559" t="str">
        <f t="shared" si="18"/>
        <v/>
      </c>
      <c r="H239" s="559" t="str">
        <f t="shared" si="19"/>
        <v/>
      </c>
      <c r="I239" s="559" t="str">
        <f t="shared" si="20"/>
        <v/>
      </c>
    </row>
    <row r="240" spans="2:9">
      <c r="B240" s="555" t="str">
        <f t="shared" si="15"/>
        <v/>
      </c>
      <c r="C240" s="556" t="str">
        <f t="shared" si="16"/>
        <v/>
      </c>
      <c r="D240" s="557" t="str">
        <f t="shared" si="17"/>
        <v/>
      </c>
      <c r="E240" s="560"/>
      <c r="F240" s="559"/>
      <c r="G240" s="559" t="str">
        <f t="shared" si="18"/>
        <v/>
      </c>
      <c r="H240" s="559" t="str">
        <f t="shared" si="19"/>
        <v/>
      </c>
      <c r="I240" s="559" t="str">
        <f t="shared" si="20"/>
        <v/>
      </c>
    </row>
    <row r="241" spans="2:9">
      <c r="B241" s="555" t="str">
        <f t="shared" si="15"/>
        <v/>
      </c>
      <c r="C241" s="556" t="str">
        <f t="shared" si="16"/>
        <v/>
      </c>
      <c r="D241" s="557" t="str">
        <f t="shared" si="17"/>
        <v/>
      </c>
      <c r="E241" s="560"/>
      <c r="F241" s="559"/>
      <c r="G241" s="559" t="str">
        <f t="shared" si="18"/>
        <v/>
      </c>
      <c r="H241" s="559" t="str">
        <f t="shared" si="19"/>
        <v/>
      </c>
      <c r="I241" s="559" t="str">
        <f t="shared" si="20"/>
        <v/>
      </c>
    </row>
    <row r="242" spans="2:9">
      <c r="B242" s="555" t="str">
        <f t="shared" si="15"/>
        <v/>
      </c>
      <c r="C242" s="556" t="str">
        <f t="shared" si="16"/>
        <v/>
      </c>
      <c r="D242" s="557" t="str">
        <f t="shared" si="17"/>
        <v/>
      </c>
      <c r="E242" s="560"/>
      <c r="F242" s="559"/>
      <c r="G242" s="559" t="str">
        <f t="shared" si="18"/>
        <v/>
      </c>
      <c r="H242" s="559" t="str">
        <f t="shared" si="19"/>
        <v/>
      </c>
      <c r="I242" s="559" t="str">
        <f t="shared" si="20"/>
        <v/>
      </c>
    </row>
    <row r="243" spans="2:9">
      <c r="B243" s="555" t="str">
        <f t="shared" si="15"/>
        <v/>
      </c>
      <c r="C243" s="556" t="str">
        <f t="shared" si="16"/>
        <v/>
      </c>
      <c r="D243" s="557" t="str">
        <f t="shared" si="17"/>
        <v/>
      </c>
      <c r="E243" s="560"/>
      <c r="F243" s="559"/>
      <c r="G243" s="559" t="str">
        <f t="shared" si="18"/>
        <v/>
      </c>
      <c r="H243" s="559" t="str">
        <f t="shared" si="19"/>
        <v/>
      </c>
      <c r="I243" s="559" t="str">
        <f t="shared" si="20"/>
        <v/>
      </c>
    </row>
    <row r="244" spans="2:9">
      <c r="B244" s="555" t="str">
        <f t="shared" si="15"/>
        <v/>
      </c>
      <c r="C244" s="556" t="str">
        <f t="shared" si="16"/>
        <v/>
      </c>
      <c r="D244" s="557" t="str">
        <f t="shared" si="17"/>
        <v/>
      </c>
      <c r="E244" s="560"/>
      <c r="F244" s="559"/>
      <c r="G244" s="559" t="str">
        <f t="shared" si="18"/>
        <v/>
      </c>
      <c r="H244" s="559" t="str">
        <f t="shared" si="19"/>
        <v/>
      </c>
      <c r="I244" s="559" t="str">
        <f t="shared" si="20"/>
        <v/>
      </c>
    </row>
    <row r="245" spans="2:9">
      <c r="B245" s="555" t="str">
        <f t="shared" si="15"/>
        <v/>
      </c>
      <c r="C245" s="556" t="str">
        <f t="shared" si="16"/>
        <v/>
      </c>
      <c r="D245" s="557" t="str">
        <f t="shared" si="17"/>
        <v/>
      </c>
      <c r="E245" s="560"/>
      <c r="F245" s="559"/>
      <c r="G245" s="559" t="str">
        <f t="shared" si="18"/>
        <v/>
      </c>
      <c r="H245" s="559" t="str">
        <f t="shared" si="19"/>
        <v/>
      </c>
      <c r="I245" s="559" t="str">
        <f t="shared" si="20"/>
        <v/>
      </c>
    </row>
    <row r="246" spans="2:9">
      <c r="B246" s="555" t="str">
        <f t="shared" si="15"/>
        <v/>
      </c>
      <c r="C246" s="556" t="str">
        <f t="shared" si="16"/>
        <v/>
      </c>
      <c r="D246" s="557" t="str">
        <f t="shared" si="17"/>
        <v/>
      </c>
      <c r="E246" s="560"/>
      <c r="F246" s="559"/>
      <c r="G246" s="559" t="str">
        <f t="shared" si="18"/>
        <v/>
      </c>
      <c r="H246" s="559" t="str">
        <f t="shared" si="19"/>
        <v/>
      </c>
      <c r="I246" s="559" t="str">
        <f t="shared" si="20"/>
        <v/>
      </c>
    </row>
    <row r="247" spans="2:9">
      <c r="B247" s="555" t="str">
        <f t="shared" si="15"/>
        <v/>
      </c>
      <c r="C247" s="556" t="str">
        <f t="shared" si="16"/>
        <v/>
      </c>
      <c r="D247" s="557" t="str">
        <f t="shared" si="17"/>
        <v/>
      </c>
      <c r="E247" s="560"/>
      <c r="F247" s="559"/>
      <c r="G247" s="559" t="str">
        <f t="shared" si="18"/>
        <v/>
      </c>
      <c r="H247" s="559" t="str">
        <f t="shared" si="19"/>
        <v/>
      </c>
      <c r="I247" s="559" t="str">
        <f t="shared" si="20"/>
        <v/>
      </c>
    </row>
    <row r="248" spans="2:9">
      <c r="B248" s="555" t="str">
        <f t="shared" si="15"/>
        <v/>
      </c>
      <c r="C248" s="556" t="str">
        <f t="shared" si="16"/>
        <v/>
      </c>
      <c r="D248" s="557" t="str">
        <f t="shared" si="17"/>
        <v/>
      </c>
      <c r="E248" s="560"/>
      <c r="F248" s="559"/>
      <c r="G248" s="559" t="str">
        <f t="shared" si="18"/>
        <v/>
      </c>
      <c r="H248" s="559" t="str">
        <f t="shared" si="19"/>
        <v/>
      </c>
      <c r="I248" s="559" t="str">
        <f t="shared" si="20"/>
        <v/>
      </c>
    </row>
    <row r="249" spans="2:9">
      <c r="B249" s="555" t="str">
        <f t="shared" si="15"/>
        <v/>
      </c>
      <c r="C249" s="556" t="str">
        <f t="shared" si="16"/>
        <v/>
      </c>
      <c r="D249" s="557" t="str">
        <f t="shared" si="17"/>
        <v/>
      </c>
      <c r="E249" s="560"/>
      <c r="F249" s="559"/>
      <c r="G249" s="559" t="str">
        <f t="shared" si="18"/>
        <v/>
      </c>
      <c r="H249" s="559" t="str">
        <f t="shared" si="19"/>
        <v/>
      </c>
      <c r="I249" s="559" t="str">
        <f t="shared" si="20"/>
        <v/>
      </c>
    </row>
    <row r="250" spans="2:9">
      <c r="B250" s="555" t="str">
        <f t="shared" si="15"/>
        <v/>
      </c>
      <c r="C250" s="556" t="str">
        <f t="shared" si="16"/>
        <v/>
      </c>
      <c r="D250" s="557" t="str">
        <f t="shared" si="17"/>
        <v/>
      </c>
      <c r="E250" s="560"/>
      <c r="F250" s="559"/>
      <c r="G250" s="559" t="str">
        <f t="shared" si="18"/>
        <v/>
      </c>
      <c r="H250" s="559" t="str">
        <f t="shared" si="19"/>
        <v/>
      </c>
      <c r="I250" s="559" t="str">
        <f t="shared" si="20"/>
        <v/>
      </c>
    </row>
    <row r="251" spans="2:9">
      <c r="B251" s="555" t="str">
        <f t="shared" si="15"/>
        <v/>
      </c>
      <c r="C251" s="556" t="str">
        <f t="shared" si="16"/>
        <v/>
      </c>
      <c r="D251" s="557" t="str">
        <f t="shared" si="17"/>
        <v/>
      </c>
      <c r="E251" s="560"/>
      <c r="F251" s="559"/>
      <c r="G251" s="559" t="str">
        <f t="shared" si="18"/>
        <v/>
      </c>
      <c r="H251" s="559" t="str">
        <f t="shared" si="19"/>
        <v/>
      </c>
      <c r="I251" s="559" t="str">
        <f t="shared" si="20"/>
        <v/>
      </c>
    </row>
    <row r="252" spans="2:9">
      <c r="B252" s="555" t="str">
        <f t="shared" si="15"/>
        <v/>
      </c>
      <c r="C252" s="556" t="str">
        <f t="shared" si="16"/>
        <v/>
      </c>
      <c r="D252" s="557" t="str">
        <f t="shared" si="17"/>
        <v/>
      </c>
      <c r="E252" s="560"/>
      <c r="F252" s="559"/>
      <c r="G252" s="559" t="str">
        <f t="shared" si="18"/>
        <v/>
      </c>
      <c r="H252" s="559" t="str">
        <f t="shared" si="19"/>
        <v/>
      </c>
      <c r="I252" s="559" t="str">
        <f t="shared" si="20"/>
        <v/>
      </c>
    </row>
    <row r="253" spans="2:9">
      <c r="B253" s="555" t="str">
        <f t="shared" ref="B253:B316" si="21">IF(I252="","",IF(roundOpt,IF(OR(B252&gt;=nper,ROUND(I252,2)&lt;=0),"",B252+1),IF(OR(B252&gt;=nper,I252&lt;=0),"",B252+1)))</f>
        <v/>
      </c>
      <c r="C253" s="556" t="str">
        <f t="shared" ref="C253:C316" si="22">IF(B253="","",IF(OR(periods_per_year=26,periods_per_year=52),IF(periods_per_year=26,IF(B253=1,fpdate,C252+14),IF(periods_per_year=52,IF(B253=1,fpdate,C252+7),"n/a")),IF(periods_per_year=24,DATE(YEAR(fpdate),MONTH(fpdate)+(B253-1)/2+IF(AND(DAY(fpdate)&gt;=15,MOD(B253,2)=0),1,0),IF(MOD(B253,2)=0,IF(DAY(fpdate)&gt;=15,DAY(fpdate)-14,DAY(fpdate)+14),DAY(fpdate))),IF(DAY(DATE(YEAR(fpdate),MONTH(fpdate)+(B253-1)*months_per_period,DAY(fpdate)))&lt;&gt;DAY(fpdate),DATE(YEAR(fpdate),MONTH(fpdate)+(B253-1)*months_per_period+1,0),DATE(YEAR(fpdate),MONTH(fpdate)+(B253-1)*months_per_period,DAY(fpdate))))))</f>
        <v/>
      </c>
      <c r="D253" s="557" t="str">
        <f t="shared" ref="D253:D316" si="23">IF(B253="","",IF(roundOpt,IF(OR(B253=nper,payment&gt;ROUND((1+rate)*I252,2)),ROUND((1+rate)*I252,2),payment),IF(OR(B253=nper,payment&gt;(1+rate)*I252),(1+rate)*I252,payment)))</f>
        <v/>
      </c>
      <c r="E253" s="560"/>
      <c r="F253" s="559"/>
      <c r="G253" s="559" t="str">
        <f t="shared" ref="G253:G316" si="24">IF(B253="","",IF(AND(B253=1,pmtType=1),0,IF(roundOpt,ROUND(rate*I252,2),rate*I252)))</f>
        <v/>
      </c>
      <c r="H253" s="559" t="str">
        <f t="shared" ref="H253:H316" si="25">IF(B253="","",D253-G253+E253)</f>
        <v/>
      </c>
      <c r="I253" s="559" t="str">
        <f t="shared" ref="I253:I316" si="26">IF(B253="","",I252-H253)</f>
        <v/>
      </c>
    </row>
    <row r="254" spans="2:9">
      <c r="B254" s="555" t="str">
        <f t="shared" si="21"/>
        <v/>
      </c>
      <c r="C254" s="556" t="str">
        <f t="shared" si="22"/>
        <v/>
      </c>
      <c r="D254" s="557" t="str">
        <f t="shared" si="23"/>
        <v/>
      </c>
      <c r="E254" s="560"/>
      <c r="F254" s="559"/>
      <c r="G254" s="559" t="str">
        <f t="shared" si="24"/>
        <v/>
      </c>
      <c r="H254" s="559" t="str">
        <f t="shared" si="25"/>
        <v/>
      </c>
      <c r="I254" s="559" t="str">
        <f t="shared" si="26"/>
        <v/>
      </c>
    </row>
    <row r="255" spans="2:9">
      <c r="B255" s="555" t="str">
        <f t="shared" si="21"/>
        <v/>
      </c>
      <c r="C255" s="556" t="str">
        <f t="shared" si="22"/>
        <v/>
      </c>
      <c r="D255" s="557" t="str">
        <f t="shared" si="23"/>
        <v/>
      </c>
      <c r="E255" s="560"/>
      <c r="F255" s="559"/>
      <c r="G255" s="559" t="str">
        <f t="shared" si="24"/>
        <v/>
      </c>
      <c r="H255" s="559" t="str">
        <f t="shared" si="25"/>
        <v/>
      </c>
      <c r="I255" s="559" t="str">
        <f t="shared" si="26"/>
        <v/>
      </c>
    </row>
    <row r="256" spans="2:9">
      <c r="B256" s="555" t="str">
        <f t="shared" si="21"/>
        <v/>
      </c>
      <c r="C256" s="556" t="str">
        <f t="shared" si="22"/>
        <v/>
      </c>
      <c r="D256" s="557" t="str">
        <f t="shared" si="23"/>
        <v/>
      </c>
      <c r="E256" s="560"/>
      <c r="F256" s="559"/>
      <c r="G256" s="559" t="str">
        <f t="shared" si="24"/>
        <v/>
      </c>
      <c r="H256" s="559" t="str">
        <f t="shared" si="25"/>
        <v/>
      </c>
      <c r="I256" s="559" t="str">
        <f t="shared" si="26"/>
        <v/>
      </c>
    </row>
    <row r="257" spans="2:9">
      <c r="B257" s="555" t="str">
        <f t="shared" si="21"/>
        <v/>
      </c>
      <c r="C257" s="556" t="str">
        <f t="shared" si="22"/>
        <v/>
      </c>
      <c r="D257" s="557" t="str">
        <f t="shared" si="23"/>
        <v/>
      </c>
      <c r="E257" s="560"/>
      <c r="F257" s="559"/>
      <c r="G257" s="559" t="str">
        <f t="shared" si="24"/>
        <v/>
      </c>
      <c r="H257" s="559" t="str">
        <f t="shared" si="25"/>
        <v/>
      </c>
      <c r="I257" s="559" t="str">
        <f t="shared" si="26"/>
        <v/>
      </c>
    </row>
    <row r="258" spans="2:9">
      <c r="B258" s="555" t="str">
        <f t="shared" si="21"/>
        <v/>
      </c>
      <c r="C258" s="556" t="str">
        <f t="shared" si="22"/>
        <v/>
      </c>
      <c r="D258" s="557" t="str">
        <f t="shared" si="23"/>
        <v/>
      </c>
      <c r="E258" s="560"/>
      <c r="F258" s="559"/>
      <c r="G258" s="559" t="str">
        <f t="shared" si="24"/>
        <v/>
      </c>
      <c r="H258" s="559" t="str">
        <f t="shared" si="25"/>
        <v/>
      </c>
      <c r="I258" s="559" t="str">
        <f t="shared" si="26"/>
        <v/>
      </c>
    </row>
    <row r="259" spans="2:9">
      <c r="B259" s="555" t="str">
        <f t="shared" si="21"/>
        <v/>
      </c>
      <c r="C259" s="556" t="str">
        <f t="shared" si="22"/>
        <v/>
      </c>
      <c r="D259" s="557" t="str">
        <f t="shared" si="23"/>
        <v/>
      </c>
      <c r="E259" s="560"/>
      <c r="F259" s="559"/>
      <c r="G259" s="559" t="str">
        <f t="shared" si="24"/>
        <v/>
      </c>
      <c r="H259" s="559" t="str">
        <f t="shared" si="25"/>
        <v/>
      </c>
      <c r="I259" s="559" t="str">
        <f t="shared" si="26"/>
        <v/>
      </c>
    </row>
    <row r="260" spans="2:9">
      <c r="B260" s="555" t="str">
        <f t="shared" si="21"/>
        <v/>
      </c>
      <c r="C260" s="556" t="str">
        <f t="shared" si="22"/>
        <v/>
      </c>
      <c r="D260" s="557" t="str">
        <f t="shared" si="23"/>
        <v/>
      </c>
      <c r="E260" s="560"/>
      <c r="F260" s="559"/>
      <c r="G260" s="559" t="str">
        <f t="shared" si="24"/>
        <v/>
      </c>
      <c r="H260" s="559" t="str">
        <f t="shared" si="25"/>
        <v/>
      </c>
      <c r="I260" s="559" t="str">
        <f t="shared" si="26"/>
        <v/>
      </c>
    </row>
    <row r="261" spans="2:9">
      <c r="B261" s="555" t="str">
        <f t="shared" si="21"/>
        <v/>
      </c>
      <c r="C261" s="556" t="str">
        <f t="shared" si="22"/>
        <v/>
      </c>
      <c r="D261" s="557" t="str">
        <f t="shared" si="23"/>
        <v/>
      </c>
      <c r="E261" s="560"/>
      <c r="F261" s="559"/>
      <c r="G261" s="559" t="str">
        <f t="shared" si="24"/>
        <v/>
      </c>
      <c r="H261" s="559" t="str">
        <f t="shared" si="25"/>
        <v/>
      </c>
      <c r="I261" s="559" t="str">
        <f t="shared" si="26"/>
        <v/>
      </c>
    </row>
    <row r="262" spans="2:9">
      <c r="B262" s="555" t="str">
        <f t="shared" si="21"/>
        <v/>
      </c>
      <c r="C262" s="556" t="str">
        <f t="shared" si="22"/>
        <v/>
      </c>
      <c r="D262" s="557" t="str">
        <f t="shared" si="23"/>
        <v/>
      </c>
      <c r="E262" s="560"/>
      <c r="F262" s="559"/>
      <c r="G262" s="559" t="str">
        <f t="shared" si="24"/>
        <v/>
      </c>
      <c r="H262" s="559" t="str">
        <f t="shared" si="25"/>
        <v/>
      </c>
      <c r="I262" s="559" t="str">
        <f t="shared" si="26"/>
        <v/>
      </c>
    </row>
    <row r="263" spans="2:9">
      <c r="B263" s="555" t="str">
        <f t="shared" si="21"/>
        <v/>
      </c>
      <c r="C263" s="556" t="str">
        <f t="shared" si="22"/>
        <v/>
      </c>
      <c r="D263" s="557" t="str">
        <f t="shared" si="23"/>
        <v/>
      </c>
      <c r="E263" s="560"/>
      <c r="F263" s="559"/>
      <c r="G263" s="559" t="str">
        <f t="shared" si="24"/>
        <v/>
      </c>
      <c r="H263" s="559" t="str">
        <f t="shared" si="25"/>
        <v/>
      </c>
      <c r="I263" s="559" t="str">
        <f t="shared" si="26"/>
        <v/>
      </c>
    </row>
    <row r="264" spans="2:9">
      <c r="B264" s="555" t="str">
        <f t="shared" si="21"/>
        <v/>
      </c>
      <c r="C264" s="556" t="str">
        <f t="shared" si="22"/>
        <v/>
      </c>
      <c r="D264" s="557" t="str">
        <f t="shared" si="23"/>
        <v/>
      </c>
      <c r="E264" s="560"/>
      <c r="F264" s="559"/>
      <c r="G264" s="559" t="str">
        <f t="shared" si="24"/>
        <v/>
      </c>
      <c r="H264" s="559" t="str">
        <f t="shared" si="25"/>
        <v/>
      </c>
      <c r="I264" s="559" t="str">
        <f t="shared" si="26"/>
        <v/>
      </c>
    </row>
    <row r="265" spans="2:9">
      <c r="B265" s="555" t="str">
        <f t="shared" si="21"/>
        <v/>
      </c>
      <c r="C265" s="556" t="str">
        <f t="shared" si="22"/>
        <v/>
      </c>
      <c r="D265" s="557" t="str">
        <f t="shared" si="23"/>
        <v/>
      </c>
      <c r="E265" s="560"/>
      <c r="F265" s="559"/>
      <c r="G265" s="559" t="str">
        <f t="shared" si="24"/>
        <v/>
      </c>
      <c r="H265" s="559" t="str">
        <f t="shared" si="25"/>
        <v/>
      </c>
      <c r="I265" s="559" t="str">
        <f t="shared" si="26"/>
        <v/>
      </c>
    </row>
    <row r="266" spans="2:9">
      <c r="B266" s="555" t="str">
        <f t="shared" si="21"/>
        <v/>
      </c>
      <c r="C266" s="556" t="str">
        <f t="shared" si="22"/>
        <v/>
      </c>
      <c r="D266" s="557" t="str">
        <f t="shared" si="23"/>
        <v/>
      </c>
      <c r="E266" s="560"/>
      <c r="F266" s="559"/>
      <c r="G266" s="559" t="str">
        <f t="shared" si="24"/>
        <v/>
      </c>
      <c r="H266" s="559" t="str">
        <f t="shared" si="25"/>
        <v/>
      </c>
      <c r="I266" s="559" t="str">
        <f t="shared" si="26"/>
        <v/>
      </c>
    </row>
    <row r="267" spans="2:9">
      <c r="B267" s="555" t="str">
        <f t="shared" si="21"/>
        <v/>
      </c>
      <c r="C267" s="556" t="str">
        <f t="shared" si="22"/>
        <v/>
      </c>
      <c r="D267" s="557" t="str">
        <f t="shared" si="23"/>
        <v/>
      </c>
      <c r="E267" s="560"/>
      <c r="F267" s="559"/>
      <c r="G267" s="559" t="str">
        <f t="shared" si="24"/>
        <v/>
      </c>
      <c r="H267" s="559" t="str">
        <f t="shared" si="25"/>
        <v/>
      </c>
      <c r="I267" s="559" t="str">
        <f t="shared" si="26"/>
        <v/>
      </c>
    </row>
    <row r="268" spans="2:9">
      <c r="B268" s="555" t="str">
        <f t="shared" si="21"/>
        <v/>
      </c>
      <c r="C268" s="556" t="str">
        <f t="shared" si="22"/>
        <v/>
      </c>
      <c r="D268" s="557" t="str">
        <f t="shared" si="23"/>
        <v/>
      </c>
      <c r="E268" s="560"/>
      <c r="F268" s="559"/>
      <c r="G268" s="559" t="str">
        <f t="shared" si="24"/>
        <v/>
      </c>
      <c r="H268" s="559" t="str">
        <f t="shared" si="25"/>
        <v/>
      </c>
      <c r="I268" s="559" t="str">
        <f t="shared" si="26"/>
        <v/>
      </c>
    </row>
    <row r="269" spans="2:9">
      <c r="B269" s="555" t="str">
        <f t="shared" si="21"/>
        <v/>
      </c>
      <c r="C269" s="556" t="str">
        <f t="shared" si="22"/>
        <v/>
      </c>
      <c r="D269" s="557" t="str">
        <f t="shared" si="23"/>
        <v/>
      </c>
      <c r="E269" s="560"/>
      <c r="F269" s="559"/>
      <c r="G269" s="559" t="str">
        <f t="shared" si="24"/>
        <v/>
      </c>
      <c r="H269" s="559" t="str">
        <f t="shared" si="25"/>
        <v/>
      </c>
      <c r="I269" s="559" t="str">
        <f t="shared" si="26"/>
        <v/>
      </c>
    </row>
    <row r="270" spans="2:9">
      <c r="B270" s="555" t="str">
        <f t="shared" si="21"/>
        <v/>
      </c>
      <c r="C270" s="556" t="str">
        <f t="shared" si="22"/>
        <v/>
      </c>
      <c r="D270" s="557" t="str">
        <f t="shared" si="23"/>
        <v/>
      </c>
      <c r="E270" s="560"/>
      <c r="F270" s="559"/>
      <c r="G270" s="559" t="str">
        <f t="shared" si="24"/>
        <v/>
      </c>
      <c r="H270" s="559" t="str">
        <f t="shared" si="25"/>
        <v/>
      </c>
      <c r="I270" s="559" t="str">
        <f t="shared" si="26"/>
        <v/>
      </c>
    </row>
    <row r="271" spans="2:9">
      <c r="B271" s="555" t="str">
        <f t="shared" si="21"/>
        <v/>
      </c>
      <c r="C271" s="556" t="str">
        <f t="shared" si="22"/>
        <v/>
      </c>
      <c r="D271" s="557" t="str">
        <f t="shared" si="23"/>
        <v/>
      </c>
      <c r="E271" s="560"/>
      <c r="F271" s="559"/>
      <c r="G271" s="559" t="str">
        <f t="shared" si="24"/>
        <v/>
      </c>
      <c r="H271" s="559" t="str">
        <f t="shared" si="25"/>
        <v/>
      </c>
      <c r="I271" s="559" t="str">
        <f t="shared" si="26"/>
        <v/>
      </c>
    </row>
    <row r="272" spans="2:9">
      <c r="B272" s="555" t="str">
        <f t="shared" si="21"/>
        <v/>
      </c>
      <c r="C272" s="556" t="str">
        <f t="shared" si="22"/>
        <v/>
      </c>
      <c r="D272" s="557" t="str">
        <f t="shared" si="23"/>
        <v/>
      </c>
      <c r="E272" s="560"/>
      <c r="F272" s="559"/>
      <c r="G272" s="559" t="str">
        <f t="shared" si="24"/>
        <v/>
      </c>
      <c r="H272" s="559" t="str">
        <f t="shared" si="25"/>
        <v/>
      </c>
      <c r="I272" s="559" t="str">
        <f t="shared" si="26"/>
        <v/>
      </c>
    </row>
    <row r="273" spans="2:9">
      <c r="B273" s="555" t="str">
        <f t="shared" si="21"/>
        <v/>
      </c>
      <c r="C273" s="556" t="str">
        <f t="shared" si="22"/>
        <v/>
      </c>
      <c r="D273" s="557" t="str">
        <f t="shared" si="23"/>
        <v/>
      </c>
      <c r="E273" s="560"/>
      <c r="F273" s="559"/>
      <c r="G273" s="559" t="str">
        <f t="shared" si="24"/>
        <v/>
      </c>
      <c r="H273" s="559" t="str">
        <f t="shared" si="25"/>
        <v/>
      </c>
      <c r="I273" s="559" t="str">
        <f t="shared" si="26"/>
        <v/>
      </c>
    </row>
    <row r="274" spans="2:9">
      <c r="B274" s="555" t="str">
        <f t="shared" si="21"/>
        <v/>
      </c>
      <c r="C274" s="556" t="str">
        <f t="shared" si="22"/>
        <v/>
      </c>
      <c r="D274" s="557" t="str">
        <f t="shared" si="23"/>
        <v/>
      </c>
      <c r="E274" s="560"/>
      <c r="F274" s="559"/>
      <c r="G274" s="559" t="str">
        <f t="shared" si="24"/>
        <v/>
      </c>
      <c r="H274" s="559" t="str">
        <f t="shared" si="25"/>
        <v/>
      </c>
      <c r="I274" s="559" t="str">
        <f t="shared" si="26"/>
        <v/>
      </c>
    </row>
    <row r="275" spans="2:9">
      <c r="B275" s="555" t="str">
        <f t="shared" si="21"/>
        <v/>
      </c>
      <c r="C275" s="556" t="str">
        <f t="shared" si="22"/>
        <v/>
      </c>
      <c r="D275" s="557" t="str">
        <f t="shared" si="23"/>
        <v/>
      </c>
      <c r="E275" s="560"/>
      <c r="F275" s="559"/>
      <c r="G275" s="559" t="str">
        <f t="shared" si="24"/>
        <v/>
      </c>
      <c r="H275" s="559" t="str">
        <f t="shared" si="25"/>
        <v/>
      </c>
      <c r="I275" s="559" t="str">
        <f t="shared" si="26"/>
        <v/>
      </c>
    </row>
    <row r="276" spans="2:9">
      <c r="B276" s="555" t="str">
        <f t="shared" si="21"/>
        <v/>
      </c>
      <c r="C276" s="556" t="str">
        <f t="shared" si="22"/>
        <v/>
      </c>
      <c r="D276" s="557" t="str">
        <f t="shared" si="23"/>
        <v/>
      </c>
      <c r="E276" s="560"/>
      <c r="F276" s="559"/>
      <c r="G276" s="559" t="str">
        <f t="shared" si="24"/>
        <v/>
      </c>
      <c r="H276" s="559" t="str">
        <f t="shared" si="25"/>
        <v/>
      </c>
      <c r="I276" s="559" t="str">
        <f t="shared" si="26"/>
        <v/>
      </c>
    </row>
    <row r="277" spans="2:9">
      <c r="B277" s="555" t="str">
        <f t="shared" si="21"/>
        <v/>
      </c>
      <c r="C277" s="556" t="str">
        <f t="shared" si="22"/>
        <v/>
      </c>
      <c r="D277" s="557" t="str">
        <f t="shared" si="23"/>
        <v/>
      </c>
      <c r="E277" s="560"/>
      <c r="F277" s="559"/>
      <c r="G277" s="559" t="str">
        <f t="shared" si="24"/>
        <v/>
      </c>
      <c r="H277" s="559" t="str">
        <f t="shared" si="25"/>
        <v/>
      </c>
      <c r="I277" s="559" t="str">
        <f t="shared" si="26"/>
        <v/>
      </c>
    </row>
    <row r="278" spans="2:9">
      <c r="B278" s="555" t="str">
        <f t="shared" si="21"/>
        <v/>
      </c>
      <c r="C278" s="556" t="str">
        <f t="shared" si="22"/>
        <v/>
      </c>
      <c r="D278" s="557" t="str">
        <f t="shared" si="23"/>
        <v/>
      </c>
      <c r="E278" s="560"/>
      <c r="F278" s="559"/>
      <c r="G278" s="559" t="str">
        <f t="shared" si="24"/>
        <v/>
      </c>
      <c r="H278" s="559" t="str">
        <f t="shared" si="25"/>
        <v/>
      </c>
      <c r="I278" s="559" t="str">
        <f t="shared" si="26"/>
        <v/>
      </c>
    </row>
    <row r="279" spans="2:9">
      <c r="B279" s="555" t="str">
        <f t="shared" si="21"/>
        <v/>
      </c>
      <c r="C279" s="556" t="str">
        <f t="shared" si="22"/>
        <v/>
      </c>
      <c r="D279" s="557" t="str">
        <f t="shared" si="23"/>
        <v/>
      </c>
      <c r="E279" s="560"/>
      <c r="F279" s="559"/>
      <c r="G279" s="559" t="str">
        <f t="shared" si="24"/>
        <v/>
      </c>
      <c r="H279" s="559" t="str">
        <f t="shared" si="25"/>
        <v/>
      </c>
      <c r="I279" s="559" t="str">
        <f t="shared" si="26"/>
        <v/>
      </c>
    </row>
    <row r="280" spans="2:9">
      <c r="B280" s="555" t="str">
        <f t="shared" si="21"/>
        <v/>
      </c>
      <c r="C280" s="556" t="str">
        <f t="shared" si="22"/>
        <v/>
      </c>
      <c r="D280" s="557" t="str">
        <f t="shared" si="23"/>
        <v/>
      </c>
      <c r="E280" s="560"/>
      <c r="F280" s="559"/>
      <c r="G280" s="559" t="str">
        <f t="shared" si="24"/>
        <v/>
      </c>
      <c r="H280" s="559" t="str">
        <f t="shared" si="25"/>
        <v/>
      </c>
      <c r="I280" s="559" t="str">
        <f t="shared" si="26"/>
        <v/>
      </c>
    </row>
    <row r="281" spans="2:9">
      <c r="B281" s="555" t="str">
        <f t="shared" si="21"/>
        <v/>
      </c>
      <c r="C281" s="556" t="str">
        <f t="shared" si="22"/>
        <v/>
      </c>
      <c r="D281" s="557" t="str">
        <f t="shared" si="23"/>
        <v/>
      </c>
      <c r="E281" s="560"/>
      <c r="F281" s="559"/>
      <c r="G281" s="559" t="str">
        <f t="shared" si="24"/>
        <v/>
      </c>
      <c r="H281" s="559" t="str">
        <f t="shared" si="25"/>
        <v/>
      </c>
      <c r="I281" s="559" t="str">
        <f t="shared" si="26"/>
        <v/>
      </c>
    </row>
    <row r="282" spans="2:9">
      <c r="B282" s="555" t="str">
        <f t="shared" si="21"/>
        <v/>
      </c>
      <c r="C282" s="556" t="str">
        <f t="shared" si="22"/>
        <v/>
      </c>
      <c r="D282" s="557" t="str">
        <f t="shared" si="23"/>
        <v/>
      </c>
      <c r="E282" s="560"/>
      <c r="F282" s="559"/>
      <c r="G282" s="559" t="str">
        <f t="shared" si="24"/>
        <v/>
      </c>
      <c r="H282" s="559" t="str">
        <f t="shared" si="25"/>
        <v/>
      </c>
      <c r="I282" s="559" t="str">
        <f t="shared" si="26"/>
        <v/>
      </c>
    </row>
    <row r="283" spans="2:9">
      <c r="B283" s="555" t="str">
        <f t="shared" si="21"/>
        <v/>
      </c>
      <c r="C283" s="556" t="str">
        <f t="shared" si="22"/>
        <v/>
      </c>
      <c r="D283" s="557" t="str">
        <f t="shared" si="23"/>
        <v/>
      </c>
      <c r="E283" s="560"/>
      <c r="F283" s="559"/>
      <c r="G283" s="559" t="str">
        <f t="shared" si="24"/>
        <v/>
      </c>
      <c r="H283" s="559" t="str">
        <f t="shared" si="25"/>
        <v/>
      </c>
      <c r="I283" s="559" t="str">
        <f t="shared" si="26"/>
        <v/>
      </c>
    </row>
    <row r="284" spans="2:9">
      <c r="B284" s="555" t="str">
        <f t="shared" si="21"/>
        <v/>
      </c>
      <c r="C284" s="556" t="str">
        <f t="shared" si="22"/>
        <v/>
      </c>
      <c r="D284" s="557" t="str">
        <f t="shared" si="23"/>
        <v/>
      </c>
      <c r="E284" s="560"/>
      <c r="F284" s="559"/>
      <c r="G284" s="559" t="str">
        <f t="shared" si="24"/>
        <v/>
      </c>
      <c r="H284" s="559" t="str">
        <f t="shared" si="25"/>
        <v/>
      </c>
      <c r="I284" s="559" t="str">
        <f t="shared" si="26"/>
        <v/>
      </c>
    </row>
    <row r="285" spans="2:9">
      <c r="B285" s="555" t="str">
        <f t="shared" si="21"/>
        <v/>
      </c>
      <c r="C285" s="556" t="str">
        <f t="shared" si="22"/>
        <v/>
      </c>
      <c r="D285" s="557" t="str">
        <f t="shared" si="23"/>
        <v/>
      </c>
      <c r="E285" s="560"/>
      <c r="F285" s="559"/>
      <c r="G285" s="559" t="str">
        <f t="shared" si="24"/>
        <v/>
      </c>
      <c r="H285" s="559" t="str">
        <f t="shared" si="25"/>
        <v/>
      </c>
      <c r="I285" s="559" t="str">
        <f t="shared" si="26"/>
        <v/>
      </c>
    </row>
    <row r="286" spans="2:9">
      <c r="B286" s="555" t="str">
        <f t="shared" si="21"/>
        <v/>
      </c>
      <c r="C286" s="556" t="str">
        <f t="shared" si="22"/>
        <v/>
      </c>
      <c r="D286" s="557" t="str">
        <f t="shared" si="23"/>
        <v/>
      </c>
      <c r="E286" s="560"/>
      <c r="F286" s="559"/>
      <c r="G286" s="559" t="str">
        <f t="shared" si="24"/>
        <v/>
      </c>
      <c r="H286" s="559" t="str">
        <f t="shared" si="25"/>
        <v/>
      </c>
      <c r="I286" s="559" t="str">
        <f t="shared" si="26"/>
        <v/>
      </c>
    </row>
    <row r="287" spans="2:9">
      <c r="B287" s="555" t="str">
        <f t="shared" si="21"/>
        <v/>
      </c>
      <c r="C287" s="556" t="str">
        <f t="shared" si="22"/>
        <v/>
      </c>
      <c r="D287" s="557" t="str">
        <f t="shared" si="23"/>
        <v/>
      </c>
      <c r="E287" s="560"/>
      <c r="F287" s="559"/>
      <c r="G287" s="559" t="str">
        <f t="shared" si="24"/>
        <v/>
      </c>
      <c r="H287" s="559" t="str">
        <f t="shared" si="25"/>
        <v/>
      </c>
      <c r="I287" s="559" t="str">
        <f t="shared" si="26"/>
        <v/>
      </c>
    </row>
    <row r="288" spans="2:9">
      <c r="B288" s="555" t="str">
        <f t="shared" si="21"/>
        <v/>
      </c>
      <c r="C288" s="556" t="str">
        <f t="shared" si="22"/>
        <v/>
      </c>
      <c r="D288" s="557" t="str">
        <f t="shared" si="23"/>
        <v/>
      </c>
      <c r="E288" s="560"/>
      <c r="F288" s="559"/>
      <c r="G288" s="559" t="str">
        <f t="shared" si="24"/>
        <v/>
      </c>
      <c r="H288" s="559" t="str">
        <f t="shared" si="25"/>
        <v/>
      </c>
      <c r="I288" s="559" t="str">
        <f t="shared" si="26"/>
        <v/>
      </c>
    </row>
    <row r="289" spans="2:9">
      <c r="B289" s="555" t="str">
        <f t="shared" si="21"/>
        <v/>
      </c>
      <c r="C289" s="556" t="str">
        <f t="shared" si="22"/>
        <v/>
      </c>
      <c r="D289" s="557" t="str">
        <f t="shared" si="23"/>
        <v/>
      </c>
      <c r="E289" s="560"/>
      <c r="F289" s="559"/>
      <c r="G289" s="559" t="str">
        <f t="shared" si="24"/>
        <v/>
      </c>
      <c r="H289" s="559" t="str">
        <f t="shared" si="25"/>
        <v/>
      </c>
      <c r="I289" s="559" t="str">
        <f t="shared" si="26"/>
        <v/>
      </c>
    </row>
    <row r="290" spans="2:9">
      <c r="B290" s="555" t="str">
        <f t="shared" si="21"/>
        <v/>
      </c>
      <c r="C290" s="556" t="str">
        <f t="shared" si="22"/>
        <v/>
      </c>
      <c r="D290" s="557" t="str">
        <f t="shared" si="23"/>
        <v/>
      </c>
      <c r="E290" s="560"/>
      <c r="F290" s="559"/>
      <c r="G290" s="559" t="str">
        <f t="shared" si="24"/>
        <v/>
      </c>
      <c r="H290" s="559" t="str">
        <f t="shared" si="25"/>
        <v/>
      </c>
      <c r="I290" s="559" t="str">
        <f t="shared" si="26"/>
        <v/>
      </c>
    </row>
    <row r="291" spans="2:9">
      <c r="B291" s="555" t="str">
        <f t="shared" si="21"/>
        <v/>
      </c>
      <c r="C291" s="556" t="str">
        <f t="shared" si="22"/>
        <v/>
      </c>
      <c r="D291" s="557" t="str">
        <f t="shared" si="23"/>
        <v/>
      </c>
      <c r="E291" s="560"/>
      <c r="F291" s="559"/>
      <c r="G291" s="559" t="str">
        <f t="shared" si="24"/>
        <v/>
      </c>
      <c r="H291" s="559" t="str">
        <f t="shared" si="25"/>
        <v/>
      </c>
      <c r="I291" s="559" t="str">
        <f t="shared" si="26"/>
        <v/>
      </c>
    </row>
    <row r="292" spans="2:9">
      <c r="B292" s="555" t="str">
        <f t="shared" si="21"/>
        <v/>
      </c>
      <c r="C292" s="556" t="str">
        <f t="shared" si="22"/>
        <v/>
      </c>
      <c r="D292" s="557" t="str">
        <f t="shared" si="23"/>
        <v/>
      </c>
      <c r="E292" s="560"/>
      <c r="F292" s="559"/>
      <c r="G292" s="559" t="str">
        <f t="shared" si="24"/>
        <v/>
      </c>
      <c r="H292" s="559" t="str">
        <f t="shared" si="25"/>
        <v/>
      </c>
      <c r="I292" s="559" t="str">
        <f t="shared" si="26"/>
        <v/>
      </c>
    </row>
    <row r="293" spans="2:9">
      <c r="B293" s="555" t="str">
        <f t="shared" si="21"/>
        <v/>
      </c>
      <c r="C293" s="556" t="str">
        <f t="shared" si="22"/>
        <v/>
      </c>
      <c r="D293" s="557" t="str">
        <f t="shared" si="23"/>
        <v/>
      </c>
      <c r="E293" s="560"/>
      <c r="F293" s="559"/>
      <c r="G293" s="559" t="str">
        <f t="shared" si="24"/>
        <v/>
      </c>
      <c r="H293" s="559" t="str">
        <f t="shared" si="25"/>
        <v/>
      </c>
      <c r="I293" s="559" t="str">
        <f t="shared" si="26"/>
        <v/>
      </c>
    </row>
    <row r="294" spans="2:9">
      <c r="B294" s="555" t="str">
        <f t="shared" si="21"/>
        <v/>
      </c>
      <c r="C294" s="556" t="str">
        <f t="shared" si="22"/>
        <v/>
      </c>
      <c r="D294" s="557" t="str">
        <f t="shared" si="23"/>
        <v/>
      </c>
      <c r="E294" s="560"/>
      <c r="F294" s="559"/>
      <c r="G294" s="559" t="str">
        <f t="shared" si="24"/>
        <v/>
      </c>
      <c r="H294" s="559" t="str">
        <f t="shared" si="25"/>
        <v/>
      </c>
      <c r="I294" s="559" t="str">
        <f t="shared" si="26"/>
        <v/>
      </c>
    </row>
    <row r="295" spans="2:9">
      <c r="B295" s="555" t="str">
        <f t="shared" si="21"/>
        <v/>
      </c>
      <c r="C295" s="556" t="str">
        <f t="shared" si="22"/>
        <v/>
      </c>
      <c r="D295" s="557" t="str">
        <f t="shared" si="23"/>
        <v/>
      </c>
      <c r="E295" s="560"/>
      <c r="F295" s="559"/>
      <c r="G295" s="559" t="str">
        <f t="shared" si="24"/>
        <v/>
      </c>
      <c r="H295" s="559" t="str">
        <f t="shared" si="25"/>
        <v/>
      </c>
      <c r="I295" s="559" t="str">
        <f t="shared" si="26"/>
        <v/>
      </c>
    </row>
    <row r="296" spans="2:9">
      <c r="B296" s="555" t="str">
        <f t="shared" si="21"/>
        <v/>
      </c>
      <c r="C296" s="556" t="str">
        <f t="shared" si="22"/>
        <v/>
      </c>
      <c r="D296" s="557" t="str">
        <f t="shared" si="23"/>
        <v/>
      </c>
      <c r="E296" s="560"/>
      <c r="F296" s="559"/>
      <c r="G296" s="559" t="str">
        <f t="shared" si="24"/>
        <v/>
      </c>
      <c r="H296" s="559" t="str">
        <f t="shared" si="25"/>
        <v/>
      </c>
      <c r="I296" s="559" t="str">
        <f t="shared" si="26"/>
        <v/>
      </c>
    </row>
    <row r="297" spans="2:9">
      <c r="B297" s="555" t="str">
        <f t="shared" si="21"/>
        <v/>
      </c>
      <c r="C297" s="556" t="str">
        <f t="shared" si="22"/>
        <v/>
      </c>
      <c r="D297" s="557" t="str">
        <f t="shared" si="23"/>
        <v/>
      </c>
      <c r="E297" s="560"/>
      <c r="F297" s="559"/>
      <c r="G297" s="559" t="str">
        <f t="shared" si="24"/>
        <v/>
      </c>
      <c r="H297" s="559" t="str">
        <f t="shared" si="25"/>
        <v/>
      </c>
      <c r="I297" s="559" t="str">
        <f t="shared" si="26"/>
        <v/>
      </c>
    </row>
    <row r="298" spans="2:9">
      <c r="B298" s="555" t="str">
        <f t="shared" si="21"/>
        <v/>
      </c>
      <c r="C298" s="556" t="str">
        <f t="shared" si="22"/>
        <v/>
      </c>
      <c r="D298" s="557" t="str">
        <f t="shared" si="23"/>
        <v/>
      </c>
      <c r="E298" s="560"/>
      <c r="F298" s="559"/>
      <c r="G298" s="559" t="str">
        <f t="shared" si="24"/>
        <v/>
      </c>
      <c r="H298" s="559" t="str">
        <f t="shared" si="25"/>
        <v/>
      </c>
      <c r="I298" s="559" t="str">
        <f t="shared" si="26"/>
        <v/>
      </c>
    </row>
    <row r="299" spans="2:9">
      <c r="B299" s="555" t="str">
        <f t="shared" si="21"/>
        <v/>
      </c>
      <c r="C299" s="556" t="str">
        <f t="shared" si="22"/>
        <v/>
      </c>
      <c r="D299" s="557" t="str">
        <f t="shared" si="23"/>
        <v/>
      </c>
      <c r="E299" s="560"/>
      <c r="F299" s="559"/>
      <c r="G299" s="559" t="str">
        <f t="shared" si="24"/>
        <v/>
      </c>
      <c r="H299" s="559" t="str">
        <f t="shared" si="25"/>
        <v/>
      </c>
      <c r="I299" s="559" t="str">
        <f t="shared" si="26"/>
        <v/>
      </c>
    </row>
    <row r="300" spans="2:9">
      <c r="B300" s="555" t="str">
        <f t="shared" si="21"/>
        <v/>
      </c>
      <c r="C300" s="556" t="str">
        <f t="shared" si="22"/>
        <v/>
      </c>
      <c r="D300" s="557" t="str">
        <f t="shared" si="23"/>
        <v/>
      </c>
      <c r="E300" s="560"/>
      <c r="F300" s="559"/>
      <c r="G300" s="559" t="str">
        <f t="shared" si="24"/>
        <v/>
      </c>
      <c r="H300" s="559" t="str">
        <f t="shared" si="25"/>
        <v/>
      </c>
      <c r="I300" s="559" t="str">
        <f t="shared" si="26"/>
        <v/>
      </c>
    </row>
    <row r="301" spans="2:9">
      <c r="B301" s="555" t="str">
        <f t="shared" si="21"/>
        <v/>
      </c>
      <c r="C301" s="556" t="str">
        <f t="shared" si="22"/>
        <v/>
      </c>
      <c r="D301" s="557" t="str">
        <f t="shared" si="23"/>
        <v/>
      </c>
      <c r="E301" s="560"/>
      <c r="F301" s="559"/>
      <c r="G301" s="559" t="str">
        <f t="shared" si="24"/>
        <v/>
      </c>
      <c r="H301" s="559" t="str">
        <f t="shared" si="25"/>
        <v/>
      </c>
      <c r="I301" s="559" t="str">
        <f t="shared" si="26"/>
        <v/>
      </c>
    </row>
    <row r="302" spans="2:9">
      <c r="B302" s="555" t="str">
        <f t="shared" si="21"/>
        <v/>
      </c>
      <c r="C302" s="556" t="str">
        <f t="shared" si="22"/>
        <v/>
      </c>
      <c r="D302" s="557" t="str">
        <f t="shared" si="23"/>
        <v/>
      </c>
      <c r="E302" s="560"/>
      <c r="F302" s="559"/>
      <c r="G302" s="559" t="str">
        <f t="shared" si="24"/>
        <v/>
      </c>
      <c r="H302" s="559" t="str">
        <f t="shared" si="25"/>
        <v/>
      </c>
      <c r="I302" s="559" t="str">
        <f t="shared" si="26"/>
        <v/>
      </c>
    </row>
    <row r="303" spans="2:9">
      <c r="B303" s="555" t="str">
        <f t="shared" si="21"/>
        <v/>
      </c>
      <c r="C303" s="556" t="str">
        <f t="shared" si="22"/>
        <v/>
      </c>
      <c r="D303" s="557" t="str">
        <f t="shared" si="23"/>
        <v/>
      </c>
      <c r="E303" s="560"/>
      <c r="F303" s="559"/>
      <c r="G303" s="559" t="str">
        <f t="shared" si="24"/>
        <v/>
      </c>
      <c r="H303" s="559" t="str">
        <f t="shared" si="25"/>
        <v/>
      </c>
      <c r="I303" s="559" t="str">
        <f t="shared" si="26"/>
        <v/>
      </c>
    </row>
    <row r="304" spans="2:9">
      <c r="B304" s="555" t="str">
        <f t="shared" si="21"/>
        <v/>
      </c>
      <c r="C304" s="556" t="str">
        <f t="shared" si="22"/>
        <v/>
      </c>
      <c r="D304" s="557" t="str">
        <f t="shared" si="23"/>
        <v/>
      </c>
      <c r="E304" s="560"/>
      <c r="F304" s="559"/>
      <c r="G304" s="559" t="str">
        <f t="shared" si="24"/>
        <v/>
      </c>
      <c r="H304" s="559" t="str">
        <f t="shared" si="25"/>
        <v/>
      </c>
      <c r="I304" s="559" t="str">
        <f t="shared" si="26"/>
        <v/>
      </c>
    </row>
    <row r="305" spans="2:9">
      <c r="B305" s="555" t="str">
        <f t="shared" si="21"/>
        <v/>
      </c>
      <c r="C305" s="556" t="str">
        <f t="shared" si="22"/>
        <v/>
      </c>
      <c r="D305" s="557" t="str">
        <f t="shared" si="23"/>
        <v/>
      </c>
      <c r="E305" s="560"/>
      <c r="F305" s="559"/>
      <c r="G305" s="559" t="str">
        <f t="shared" si="24"/>
        <v/>
      </c>
      <c r="H305" s="559" t="str">
        <f t="shared" si="25"/>
        <v/>
      </c>
      <c r="I305" s="559" t="str">
        <f t="shared" si="26"/>
        <v/>
      </c>
    </row>
    <row r="306" spans="2:9">
      <c r="B306" s="555" t="str">
        <f t="shared" si="21"/>
        <v/>
      </c>
      <c r="C306" s="556" t="str">
        <f t="shared" si="22"/>
        <v/>
      </c>
      <c r="D306" s="557" t="str">
        <f t="shared" si="23"/>
        <v/>
      </c>
      <c r="E306" s="560"/>
      <c r="F306" s="559"/>
      <c r="G306" s="559" t="str">
        <f t="shared" si="24"/>
        <v/>
      </c>
      <c r="H306" s="559" t="str">
        <f t="shared" si="25"/>
        <v/>
      </c>
      <c r="I306" s="559" t="str">
        <f t="shared" si="26"/>
        <v/>
      </c>
    </row>
    <row r="307" spans="2:9">
      <c r="B307" s="555" t="str">
        <f t="shared" si="21"/>
        <v/>
      </c>
      <c r="C307" s="556" t="str">
        <f t="shared" si="22"/>
        <v/>
      </c>
      <c r="D307" s="557" t="str">
        <f t="shared" si="23"/>
        <v/>
      </c>
      <c r="E307" s="560"/>
      <c r="F307" s="559"/>
      <c r="G307" s="559" t="str">
        <f t="shared" si="24"/>
        <v/>
      </c>
      <c r="H307" s="559" t="str">
        <f t="shared" si="25"/>
        <v/>
      </c>
      <c r="I307" s="559" t="str">
        <f t="shared" si="26"/>
        <v/>
      </c>
    </row>
    <row r="308" spans="2:9">
      <c r="B308" s="555" t="str">
        <f t="shared" si="21"/>
        <v/>
      </c>
      <c r="C308" s="556" t="str">
        <f t="shared" si="22"/>
        <v/>
      </c>
      <c r="D308" s="557" t="str">
        <f t="shared" si="23"/>
        <v/>
      </c>
      <c r="E308" s="560"/>
      <c r="F308" s="559"/>
      <c r="G308" s="559" t="str">
        <f t="shared" si="24"/>
        <v/>
      </c>
      <c r="H308" s="559" t="str">
        <f t="shared" si="25"/>
        <v/>
      </c>
      <c r="I308" s="559" t="str">
        <f t="shared" si="26"/>
        <v/>
      </c>
    </row>
    <row r="309" spans="2:9">
      <c r="B309" s="555" t="str">
        <f t="shared" si="21"/>
        <v/>
      </c>
      <c r="C309" s="556" t="str">
        <f t="shared" si="22"/>
        <v/>
      </c>
      <c r="D309" s="557" t="str">
        <f t="shared" si="23"/>
        <v/>
      </c>
      <c r="E309" s="560"/>
      <c r="F309" s="559"/>
      <c r="G309" s="559" t="str">
        <f t="shared" si="24"/>
        <v/>
      </c>
      <c r="H309" s="559" t="str">
        <f t="shared" si="25"/>
        <v/>
      </c>
      <c r="I309" s="559" t="str">
        <f t="shared" si="26"/>
        <v/>
      </c>
    </row>
    <row r="310" spans="2:9">
      <c r="B310" s="555" t="str">
        <f t="shared" si="21"/>
        <v/>
      </c>
      <c r="C310" s="556" t="str">
        <f t="shared" si="22"/>
        <v/>
      </c>
      <c r="D310" s="557" t="str">
        <f t="shared" si="23"/>
        <v/>
      </c>
      <c r="E310" s="560"/>
      <c r="F310" s="559"/>
      <c r="G310" s="559" t="str">
        <f t="shared" si="24"/>
        <v/>
      </c>
      <c r="H310" s="559" t="str">
        <f t="shared" si="25"/>
        <v/>
      </c>
      <c r="I310" s="559" t="str">
        <f t="shared" si="26"/>
        <v/>
      </c>
    </row>
    <row r="311" spans="2:9">
      <c r="B311" s="555" t="str">
        <f t="shared" si="21"/>
        <v/>
      </c>
      <c r="C311" s="556" t="str">
        <f t="shared" si="22"/>
        <v/>
      </c>
      <c r="D311" s="557" t="str">
        <f t="shared" si="23"/>
        <v/>
      </c>
      <c r="E311" s="560"/>
      <c r="F311" s="559"/>
      <c r="G311" s="559" t="str">
        <f t="shared" si="24"/>
        <v/>
      </c>
      <c r="H311" s="559" t="str">
        <f t="shared" si="25"/>
        <v/>
      </c>
      <c r="I311" s="559" t="str">
        <f t="shared" si="26"/>
        <v/>
      </c>
    </row>
    <row r="312" spans="2:9">
      <c r="B312" s="555" t="str">
        <f t="shared" si="21"/>
        <v/>
      </c>
      <c r="C312" s="556" t="str">
        <f t="shared" si="22"/>
        <v/>
      </c>
      <c r="D312" s="557" t="str">
        <f t="shared" si="23"/>
        <v/>
      </c>
      <c r="E312" s="560"/>
      <c r="F312" s="559"/>
      <c r="G312" s="559" t="str">
        <f t="shared" si="24"/>
        <v/>
      </c>
      <c r="H312" s="559" t="str">
        <f t="shared" si="25"/>
        <v/>
      </c>
      <c r="I312" s="559" t="str">
        <f t="shared" si="26"/>
        <v/>
      </c>
    </row>
    <row r="313" spans="2:9">
      <c r="B313" s="555" t="str">
        <f t="shared" si="21"/>
        <v/>
      </c>
      <c r="C313" s="556" t="str">
        <f t="shared" si="22"/>
        <v/>
      </c>
      <c r="D313" s="557" t="str">
        <f t="shared" si="23"/>
        <v/>
      </c>
      <c r="E313" s="560"/>
      <c r="F313" s="559"/>
      <c r="G313" s="559" t="str">
        <f t="shared" si="24"/>
        <v/>
      </c>
      <c r="H313" s="559" t="str">
        <f t="shared" si="25"/>
        <v/>
      </c>
      <c r="I313" s="559" t="str">
        <f t="shared" si="26"/>
        <v/>
      </c>
    </row>
    <row r="314" spans="2:9">
      <c r="B314" s="555" t="str">
        <f t="shared" si="21"/>
        <v/>
      </c>
      <c r="C314" s="556" t="str">
        <f t="shared" si="22"/>
        <v/>
      </c>
      <c r="D314" s="557" t="str">
        <f t="shared" si="23"/>
        <v/>
      </c>
      <c r="E314" s="560"/>
      <c r="F314" s="559"/>
      <c r="G314" s="559" t="str">
        <f t="shared" si="24"/>
        <v/>
      </c>
      <c r="H314" s="559" t="str">
        <f t="shared" si="25"/>
        <v/>
      </c>
      <c r="I314" s="559" t="str">
        <f t="shared" si="26"/>
        <v/>
      </c>
    </row>
    <row r="315" spans="2:9">
      <c r="B315" s="555" t="str">
        <f t="shared" si="21"/>
        <v/>
      </c>
      <c r="C315" s="556" t="str">
        <f t="shared" si="22"/>
        <v/>
      </c>
      <c r="D315" s="557" t="str">
        <f t="shared" si="23"/>
        <v/>
      </c>
      <c r="E315" s="560"/>
      <c r="F315" s="559"/>
      <c r="G315" s="559" t="str">
        <f t="shared" si="24"/>
        <v/>
      </c>
      <c r="H315" s="559" t="str">
        <f t="shared" si="25"/>
        <v/>
      </c>
      <c r="I315" s="559" t="str">
        <f t="shared" si="26"/>
        <v/>
      </c>
    </row>
    <row r="316" spans="2:9">
      <c r="B316" s="555" t="str">
        <f t="shared" si="21"/>
        <v/>
      </c>
      <c r="C316" s="556" t="str">
        <f t="shared" si="22"/>
        <v/>
      </c>
      <c r="D316" s="557" t="str">
        <f t="shared" si="23"/>
        <v/>
      </c>
      <c r="E316" s="560"/>
      <c r="F316" s="559"/>
      <c r="G316" s="559" t="str">
        <f t="shared" si="24"/>
        <v/>
      </c>
      <c r="H316" s="559" t="str">
        <f t="shared" si="25"/>
        <v/>
      </c>
      <c r="I316" s="559" t="str">
        <f t="shared" si="26"/>
        <v/>
      </c>
    </row>
    <row r="317" spans="2:9">
      <c r="B317" s="555" t="str">
        <f t="shared" ref="B317:B380" si="27">IF(I316="","",IF(roundOpt,IF(OR(B316&gt;=nper,ROUND(I316,2)&lt;=0),"",B316+1),IF(OR(B316&gt;=nper,I316&lt;=0),"",B316+1)))</f>
        <v/>
      </c>
      <c r="C317" s="556" t="str">
        <f t="shared" ref="C317:C380" si="28">IF(B317="","",IF(OR(periods_per_year=26,periods_per_year=52),IF(periods_per_year=26,IF(B317=1,fpdate,C316+14),IF(periods_per_year=52,IF(B317=1,fpdate,C316+7),"n/a")),IF(periods_per_year=24,DATE(YEAR(fpdate),MONTH(fpdate)+(B317-1)/2+IF(AND(DAY(fpdate)&gt;=15,MOD(B317,2)=0),1,0),IF(MOD(B317,2)=0,IF(DAY(fpdate)&gt;=15,DAY(fpdate)-14,DAY(fpdate)+14),DAY(fpdate))),IF(DAY(DATE(YEAR(fpdate),MONTH(fpdate)+(B317-1)*months_per_period,DAY(fpdate)))&lt;&gt;DAY(fpdate),DATE(YEAR(fpdate),MONTH(fpdate)+(B317-1)*months_per_period+1,0),DATE(YEAR(fpdate),MONTH(fpdate)+(B317-1)*months_per_period,DAY(fpdate))))))</f>
        <v/>
      </c>
      <c r="D317" s="557" t="str">
        <f t="shared" ref="D317:D380" si="29">IF(B317="","",IF(roundOpt,IF(OR(B317=nper,payment&gt;ROUND((1+rate)*I316,2)),ROUND((1+rate)*I316,2),payment),IF(OR(B317=nper,payment&gt;(1+rate)*I316),(1+rate)*I316,payment)))</f>
        <v/>
      </c>
      <c r="E317" s="560"/>
      <c r="F317" s="559"/>
      <c r="G317" s="559" t="str">
        <f t="shared" ref="G317:G380" si="30">IF(B317="","",IF(AND(B317=1,pmtType=1),0,IF(roundOpt,ROUND(rate*I316,2),rate*I316)))</f>
        <v/>
      </c>
      <c r="H317" s="559" t="str">
        <f t="shared" ref="H317:H380" si="31">IF(B317="","",D317-G317+E317)</f>
        <v/>
      </c>
      <c r="I317" s="559" t="str">
        <f t="shared" ref="I317:I380" si="32">IF(B317="","",I316-H317)</f>
        <v/>
      </c>
    </row>
    <row r="318" spans="2:9">
      <c r="B318" s="555" t="str">
        <f t="shared" si="27"/>
        <v/>
      </c>
      <c r="C318" s="556" t="str">
        <f t="shared" si="28"/>
        <v/>
      </c>
      <c r="D318" s="557" t="str">
        <f t="shared" si="29"/>
        <v/>
      </c>
      <c r="E318" s="560"/>
      <c r="F318" s="559"/>
      <c r="G318" s="559" t="str">
        <f t="shared" si="30"/>
        <v/>
      </c>
      <c r="H318" s="559" t="str">
        <f t="shared" si="31"/>
        <v/>
      </c>
      <c r="I318" s="559" t="str">
        <f t="shared" si="32"/>
        <v/>
      </c>
    </row>
    <row r="319" spans="2:9">
      <c r="B319" s="555" t="str">
        <f t="shared" si="27"/>
        <v/>
      </c>
      <c r="C319" s="556" t="str">
        <f t="shared" si="28"/>
        <v/>
      </c>
      <c r="D319" s="557" t="str">
        <f t="shared" si="29"/>
        <v/>
      </c>
      <c r="E319" s="560"/>
      <c r="F319" s="559"/>
      <c r="G319" s="559" t="str">
        <f t="shared" si="30"/>
        <v/>
      </c>
      <c r="H319" s="559" t="str">
        <f t="shared" si="31"/>
        <v/>
      </c>
      <c r="I319" s="559" t="str">
        <f t="shared" si="32"/>
        <v/>
      </c>
    </row>
    <row r="320" spans="2:9">
      <c r="B320" s="555" t="str">
        <f t="shared" si="27"/>
        <v/>
      </c>
      <c r="C320" s="556" t="str">
        <f t="shared" si="28"/>
        <v/>
      </c>
      <c r="D320" s="557" t="str">
        <f t="shared" si="29"/>
        <v/>
      </c>
      <c r="E320" s="560"/>
      <c r="F320" s="559"/>
      <c r="G320" s="559" t="str">
        <f t="shared" si="30"/>
        <v/>
      </c>
      <c r="H320" s="559" t="str">
        <f t="shared" si="31"/>
        <v/>
      </c>
      <c r="I320" s="559" t="str">
        <f t="shared" si="32"/>
        <v/>
      </c>
    </row>
    <row r="321" spans="2:9">
      <c r="B321" s="555" t="str">
        <f t="shared" si="27"/>
        <v/>
      </c>
      <c r="C321" s="556" t="str">
        <f t="shared" si="28"/>
        <v/>
      </c>
      <c r="D321" s="557" t="str">
        <f t="shared" si="29"/>
        <v/>
      </c>
      <c r="E321" s="560"/>
      <c r="F321" s="559"/>
      <c r="G321" s="559" t="str">
        <f t="shared" si="30"/>
        <v/>
      </c>
      <c r="H321" s="559" t="str">
        <f t="shared" si="31"/>
        <v/>
      </c>
      <c r="I321" s="559" t="str">
        <f t="shared" si="32"/>
        <v/>
      </c>
    </row>
    <row r="322" spans="2:9">
      <c r="B322" s="555" t="str">
        <f t="shared" si="27"/>
        <v/>
      </c>
      <c r="C322" s="556" t="str">
        <f t="shared" si="28"/>
        <v/>
      </c>
      <c r="D322" s="557" t="str">
        <f t="shared" si="29"/>
        <v/>
      </c>
      <c r="E322" s="560"/>
      <c r="F322" s="559"/>
      <c r="G322" s="559" t="str">
        <f t="shared" si="30"/>
        <v/>
      </c>
      <c r="H322" s="559" t="str">
        <f t="shared" si="31"/>
        <v/>
      </c>
      <c r="I322" s="559" t="str">
        <f t="shared" si="32"/>
        <v/>
      </c>
    </row>
    <row r="323" spans="2:9">
      <c r="B323" s="555" t="str">
        <f t="shared" si="27"/>
        <v/>
      </c>
      <c r="C323" s="556" t="str">
        <f t="shared" si="28"/>
        <v/>
      </c>
      <c r="D323" s="557" t="str">
        <f t="shared" si="29"/>
        <v/>
      </c>
      <c r="E323" s="560"/>
      <c r="F323" s="559"/>
      <c r="G323" s="559" t="str">
        <f t="shared" si="30"/>
        <v/>
      </c>
      <c r="H323" s="559" t="str">
        <f t="shared" si="31"/>
        <v/>
      </c>
      <c r="I323" s="559" t="str">
        <f t="shared" si="32"/>
        <v/>
      </c>
    </row>
    <row r="324" spans="2:9">
      <c r="B324" s="555" t="str">
        <f t="shared" si="27"/>
        <v/>
      </c>
      <c r="C324" s="556" t="str">
        <f t="shared" si="28"/>
        <v/>
      </c>
      <c r="D324" s="557" t="str">
        <f t="shared" si="29"/>
        <v/>
      </c>
      <c r="E324" s="560"/>
      <c r="F324" s="559"/>
      <c r="G324" s="559" t="str">
        <f t="shared" si="30"/>
        <v/>
      </c>
      <c r="H324" s="559" t="str">
        <f t="shared" si="31"/>
        <v/>
      </c>
      <c r="I324" s="559" t="str">
        <f t="shared" si="32"/>
        <v/>
      </c>
    </row>
    <row r="325" spans="2:9">
      <c r="B325" s="555" t="str">
        <f t="shared" si="27"/>
        <v/>
      </c>
      <c r="C325" s="556" t="str">
        <f t="shared" si="28"/>
        <v/>
      </c>
      <c r="D325" s="557" t="str">
        <f t="shared" si="29"/>
        <v/>
      </c>
      <c r="E325" s="560"/>
      <c r="F325" s="559"/>
      <c r="G325" s="559" t="str">
        <f t="shared" si="30"/>
        <v/>
      </c>
      <c r="H325" s="559" t="str">
        <f t="shared" si="31"/>
        <v/>
      </c>
      <c r="I325" s="559" t="str">
        <f t="shared" si="32"/>
        <v/>
      </c>
    </row>
    <row r="326" spans="2:9">
      <c r="B326" s="555" t="str">
        <f t="shared" si="27"/>
        <v/>
      </c>
      <c r="C326" s="556" t="str">
        <f t="shared" si="28"/>
        <v/>
      </c>
      <c r="D326" s="557" t="str">
        <f t="shared" si="29"/>
        <v/>
      </c>
      <c r="E326" s="560"/>
      <c r="F326" s="559"/>
      <c r="G326" s="559" t="str">
        <f t="shared" si="30"/>
        <v/>
      </c>
      <c r="H326" s="559" t="str">
        <f t="shared" si="31"/>
        <v/>
      </c>
      <c r="I326" s="559" t="str">
        <f t="shared" si="32"/>
        <v/>
      </c>
    </row>
    <row r="327" spans="2:9">
      <c r="B327" s="555" t="str">
        <f t="shared" si="27"/>
        <v/>
      </c>
      <c r="C327" s="556" t="str">
        <f t="shared" si="28"/>
        <v/>
      </c>
      <c r="D327" s="557" t="str">
        <f t="shared" si="29"/>
        <v/>
      </c>
      <c r="E327" s="560"/>
      <c r="F327" s="559"/>
      <c r="G327" s="559" t="str">
        <f t="shared" si="30"/>
        <v/>
      </c>
      <c r="H327" s="559" t="str">
        <f t="shared" si="31"/>
        <v/>
      </c>
      <c r="I327" s="559" t="str">
        <f t="shared" si="32"/>
        <v/>
      </c>
    </row>
    <row r="328" spans="2:9">
      <c r="B328" s="555" t="str">
        <f t="shared" si="27"/>
        <v/>
      </c>
      <c r="C328" s="556" t="str">
        <f t="shared" si="28"/>
        <v/>
      </c>
      <c r="D328" s="557" t="str">
        <f t="shared" si="29"/>
        <v/>
      </c>
      <c r="E328" s="560"/>
      <c r="F328" s="559"/>
      <c r="G328" s="559" t="str">
        <f t="shared" si="30"/>
        <v/>
      </c>
      <c r="H328" s="559" t="str">
        <f t="shared" si="31"/>
        <v/>
      </c>
      <c r="I328" s="559" t="str">
        <f t="shared" si="32"/>
        <v/>
      </c>
    </row>
    <row r="329" spans="2:9">
      <c r="B329" s="555" t="str">
        <f t="shared" si="27"/>
        <v/>
      </c>
      <c r="C329" s="556" t="str">
        <f t="shared" si="28"/>
        <v/>
      </c>
      <c r="D329" s="557" t="str">
        <f t="shared" si="29"/>
        <v/>
      </c>
      <c r="E329" s="560"/>
      <c r="F329" s="559"/>
      <c r="G329" s="559" t="str">
        <f t="shared" si="30"/>
        <v/>
      </c>
      <c r="H329" s="559" t="str">
        <f t="shared" si="31"/>
        <v/>
      </c>
      <c r="I329" s="559" t="str">
        <f t="shared" si="32"/>
        <v/>
      </c>
    </row>
    <row r="330" spans="2:9">
      <c r="B330" s="555" t="str">
        <f t="shared" si="27"/>
        <v/>
      </c>
      <c r="C330" s="556" t="str">
        <f t="shared" si="28"/>
        <v/>
      </c>
      <c r="D330" s="557" t="str">
        <f t="shared" si="29"/>
        <v/>
      </c>
      <c r="E330" s="560"/>
      <c r="F330" s="559"/>
      <c r="G330" s="559" t="str">
        <f t="shared" si="30"/>
        <v/>
      </c>
      <c r="H330" s="559" t="str">
        <f t="shared" si="31"/>
        <v/>
      </c>
      <c r="I330" s="559" t="str">
        <f t="shared" si="32"/>
        <v/>
      </c>
    </row>
    <row r="331" spans="2:9">
      <c r="B331" s="555" t="str">
        <f t="shared" si="27"/>
        <v/>
      </c>
      <c r="C331" s="556" t="str">
        <f t="shared" si="28"/>
        <v/>
      </c>
      <c r="D331" s="557" t="str">
        <f t="shared" si="29"/>
        <v/>
      </c>
      <c r="E331" s="560"/>
      <c r="F331" s="559"/>
      <c r="G331" s="559" t="str">
        <f t="shared" si="30"/>
        <v/>
      </c>
      <c r="H331" s="559" t="str">
        <f t="shared" si="31"/>
        <v/>
      </c>
      <c r="I331" s="559" t="str">
        <f t="shared" si="32"/>
        <v/>
      </c>
    </row>
    <row r="332" spans="2:9">
      <c r="B332" s="555" t="str">
        <f t="shared" si="27"/>
        <v/>
      </c>
      <c r="C332" s="556" t="str">
        <f t="shared" si="28"/>
        <v/>
      </c>
      <c r="D332" s="557" t="str">
        <f t="shared" si="29"/>
        <v/>
      </c>
      <c r="E332" s="560"/>
      <c r="F332" s="559"/>
      <c r="G332" s="559" t="str">
        <f t="shared" si="30"/>
        <v/>
      </c>
      <c r="H332" s="559" t="str">
        <f t="shared" si="31"/>
        <v/>
      </c>
      <c r="I332" s="559" t="str">
        <f t="shared" si="32"/>
        <v/>
      </c>
    </row>
    <row r="333" spans="2:9">
      <c r="B333" s="555" t="str">
        <f t="shared" si="27"/>
        <v/>
      </c>
      <c r="C333" s="556" t="str">
        <f t="shared" si="28"/>
        <v/>
      </c>
      <c r="D333" s="557" t="str">
        <f t="shared" si="29"/>
        <v/>
      </c>
      <c r="E333" s="560"/>
      <c r="F333" s="559"/>
      <c r="G333" s="559" t="str">
        <f t="shared" si="30"/>
        <v/>
      </c>
      <c r="H333" s="559" t="str">
        <f t="shared" si="31"/>
        <v/>
      </c>
      <c r="I333" s="559" t="str">
        <f t="shared" si="32"/>
        <v/>
      </c>
    </row>
    <row r="334" spans="2:9">
      <c r="B334" s="555" t="str">
        <f t="shared" si="27"/>
        <v/>
      </c>
      <c r="C334" s="556" t="str">
        <f t="shared" si="28"/>
        <v/>
      </c>
      <c r="D334" s="557" t="str">
        <f t="shared" si="29"/>
        <v/>
      </c>
      <c r="E334" s="560"/>
      <c r="F334" s="559"/>
      <c r="G334" s="559" t="str">
        <f t="shared" si="30"/>
        <v/>
      </c>
      <c r="H334" s="559" t="str">
        <f t="shared" si="31"/>
        <v/>
      </c>
      <c r="I334" s="559" t="str">
        <f t="shared" si="32"/>
        <v/>
      </c>
    </row>
    <row r="335" spans="2:9">
      <c r="B335" s="555" t="str">
        <f t="shared" si="27"/>
        <v/>
      </c>
      <c r="C335" s="556" t="str">
        <f t="shared" si="28"/>
        <v/>
      </c>
      <c r="D335" s="557" t="str">
        <f t="shared" si="29"/>
        <v/>
      </c>
      <c r="E335" s="560"/>
      <c r="F335" s="559"/>
      <c r="G335" s="559" t="str">
        <f t="shared" si="30"/>
        <v/>
      </c>
      <c r="H335" s="559" t="str">
        <f t="shared" si="31"/>
        <v/>
      </c>
      <c r="I335" s="559" t="str">
        <f t="shared" si="32"/>
        <v/>
      </c>
    </row>
    <row r="336" spans="2:9">
      <c r="B336" s="555" t="str">
        <f t="shared" si="27"/>
        <v/>
      </c>
      <c r="C336" s="556" t="str">
        <f t="shared" si="28"/>
        <v/>
      </c>
      <c r="D336" s="557" t="str">
        <f t="shared" si="29"/>
        <v/>
      </c>
      <c r="E336" s="560"/>
      <c r="F336" s="559"/>
      <c r="G336" s="559" t="str">
        <f t="shared" si="30"/>
        <v/>
      </c>
      <c r="H336" s="559" t="str">
        <f t="shared" si="31"/>
        <v/>
      </c>
      <c r="I336" s="559" t="str">
        <f t="shared" si="32"/>
        <v/>
      </c>
    </row>
    <row r="337" spans="2:9">
      <c r="B337" s="555" t="str">
        <f t="shared" si="27"/>
        <v/>
      </c>
      <c r="C337" s="556" t="str">
        <f t="shared" si="28"/>
        <v/>
      </c>
      <c r="D337" s="557" t="str">
        <f t="shared" si="29"/>
        <v/>
      </c>
      <c r="E337" s="560"/>
      <c r="F337" s="559"/>
      <c r="G337" s="559" t="str">
        <f t="shared" si="30"/>
        <v/>
      </c>
      <c r="H337" s="559" t="str">
        <f t="shared" si="31"/>
        <v/>
      </c>
      <c r="I337" s="559" t="str">
        <f t="shared" si="32"/>
        <v/>
      </c>
    </row>
    <row r="338" spans="2:9">
      <c r="B338" s="555" t="str">
        <f t="shared" si="27"/>
        <v/>
      </c>
      <c r="C338" s="556" t="str">
        <f t="shared" si="28"/>
        <v/>
      </c>
      <c r="D338" s="557" t="str">
        <f t="shared" si="29"/>
        <v/>
      </c>
      <c r="E338" s="560"/>
      <c r="F338" s="559"/>
      <c r="G338" s="559" t="str">
        <f t="shared" si="30"/>
        <v/>
      </c>
      <c r="H338" s="559" t="str">
        <f t="shared" si="31"/>
        <v/>
      </c>
      <c r="I338" s="559" t="str">
        <f t="shared" si="32"/>
        <v/>
      </c>
    </row>
    <row r="339" spans="2:9">
      <c r="B339" s="555" t="str">
        <f t="shared" si="27"/>
        <v/>
      </c>
      <c r="C339" s="556" t="str">
        <f t="shared" si="28"/>
        <v/>
      </c>
      <c r="D339" s="557" t="str">
        <f t="shared" si="29"/>
        <v/>
      </c>
      <c r="E339" s="560"/>
      <c r="F339" s="559"/>
      <c r="G339" s="559" t="str">
        <f t="shared" si="30"/>
        <v/>
      </c>
      <c r="H339" s="559" t="str">
        <f t="shared" si="31"/>
        <v/>
      </c>
      <c r="I339" s="559" t="str">
        <f t="shared" si="32"/>
        <v/>
      </c>
    </row>
    <row r="340" spans="2:9">
      <c r="B340" s="555" t="str">
        <f t="shared" si="27"/>
        <v/>
      </c>
      <c r="C340" s="556" t="str">
        <f t="shared" si="28"/>
        <v/>
      </c>
      <c r="D340" s="557" t="str">
        <f t="shared" si="29"/>
        <v/>
      </c>
      <c r="E340" s="560"/>
      <c r="F340" s="559"/>
      <c r="G340" s="559" t="str">
        <f t="shared" si="30"/>
        <v/>
      </c>
      <c r="H340" s="559" t="str">
        <f t="shared" si="31"/>
        <v/>
      </c>
      <c r="I340" s="559" t="str">
        <f t="shared" si="32"/>
        <v/>
      </c>
    </row>
    <row r="341" spans="2:9">
      <c r="B341" s="555" t="str">
        <f t="shared" si="27"/>
        <v/>
      </c>
      <c r="C341" s="556" t="str">
        <f t="shared" si="28"/>
        <v/>
      </c>
      <c r="D341" s="557" t="str">
        <f t="shared" si="29"/>
        <v/>
      </c>
      <c r="E341" s="560"/>
      <c r="F341" s="559"/>
      <c r="G341" s="559" t="str">
        <f t="shared" si="30"/>
        <v/>
      </c>
      <c r="H341" s="559" t="str">
        <f t="shared" si="31"/>
        <v/>
      </c>
      <c r="I341" s="559" t="str">
        <f t="shared" si="32"/>
        <v/>
      </c>
    </row>
    <row r="342" spans="2:9">
      <c r="B342" s="555" t="str">
        <f t="shared" si="27"/>
        <v/>
      </c>
      <c r="C342" s="556" t="str">
        <f t="shared" si="28"/>
        <v/>
      </c>
      <c r="D342" s="557" t="str">
        <f t="shared" si="29"/>
        <v/>
      </c>
      <c r="E342" s="560"/>
      <c r="F342" s="559"/>
      <c r="G342" s="559" t="str">
        <f t="shared" si="30"/>
        <v/>
      </c>
      <c r="H342" s="559" t="str">
        <f t="shared" si="31"/>
        <v/>
      </c>
      <c r="I342" s="559" t="str">
        <f t="shared" si="32"/>
        <v/>
      </c>
    </row>
    <row r="343" spans="2:9">
      <c r="B343" s="555" t="str">
        <f t="shared" si="27"/>
        <v/>
      </c>
      <c r="C343" s="556" t="str">
        <f t="shared" si="28"/>
        <v/>
      </c>
      <c r="D343" s="557" t="str">
        <f t="shared" si="29"/>
        <v/>
      </c>
      <c r="E343" s="560"/>
      <c r="F343" s="559"/>
      <c r="G343" s="559" t="str">
        <f t="shared" si="30"/>
        <v/>
      </c>
      <c r="H343" s="559" t="str">
        <f t="shared" si="31"/>
        <v/>
      </c>
      <c r="I343" s="559" t="str">
        <f t="shared" si="32"/>
        <v/>
      </c>
    </row>
    <row r="344" spans="2:9">
      <c r="B344" s="555" t="str">
        <f t="shared" si="27"/>
        <v/>
      </c>
      <c r="C344" s="556" t="str">
        <f t="shared" si="28"/>
        <v/>
      </c>
      <c r="D344" s="557" t="str">
        <f t="shared" si="29"/>
        <v/>
      </c>
      <c r="E344" s="560"/>
      <c r="F344" s="559"/>
      <c r="G344" s="559" t="str">
        <f t="shared" si="30"/>
        <v/>
      </c>
      <c r="H344" s="559" t="str">
        <f t="shared" si="31"/>
        <v/>
      </c>
      <c r="I344" s="559" t="str">
        <f t="shared" si="32"/>
        <v/>
      </c>
    </row>
    <row r="345" spans="2:9">
      <c r="B345" s="555" t="str">
        <f t="shared" si="27"/>
        <v/>
      </c>
      <c r="C345" s="556" t="str">
        <f t="shared" si="28"/>
        <v/>
      </c>
      <c r="D345" s="557" t="str">
        <f t="shared" si="29"/>
        <v/>
      </c>
      <c r="E345" s="560"/>
      <c r="F345" s="559"/>
      <c r="G345" s="559" t="str">
        <f t="shared" si="30"/>
        <v/>
      </c>
      <c r="H345" s="559" t="str">
        <f t="shared" si="31"/>
        <v/>
      </c>
      <c r="I345" s="559" t="str">
        <f t="shared" si="32"/>
        <v/>
      </c>
    </row>
    <row r="346" spans="2:9">
      <c r="B346" s="555" t="str">
        <f t="shared" si="27"/>
        <v/>
      </c>
      <c r="C346" s="556" t="str">
        <f t="shared" si="28"/>
        <v/>
      </c>
      <c r="D346" s="557" t="str">
        <f t="shared" si="29"/>
        <v/>
      </c>
      <c r="E346" s="560"/>
      <c r="F346" s="559"/>
      <c r="G346" s="559" t="str">
        <f t="shared" si="30"/>
        <v/>
      </c>
      <c r="H346" s="559" t="str">
        <f t="shared" si="31"/>
        <v/>
      </c>
      <c r="I346" s="559" t="str">
        <f t="shared" si="32"/>
        <v/>
      </c>
    </row>
    <row r="347" spans="2:9">
      <c r="B347" s="555" t="str">
        <f t="shared" si="27"/>
        <v/>
      </c>
      <c r="C347" s="556" t="str">
        <f t="shared" si="28"/>
        <v/>
      </c>
      <c r="D347" s="557" t="str">
        <f t="shared" si="29"/>
        <v/>
      </c>
      <c r="E347" s="560"/>
      <c r="F347" s="559"/>
      <c r="G347" s="559" t="str">
        <f t="shared" si="30"/>
        <v/>
      </c>
      <c r="H347" s="559" t="str">
        <f t="shared" si="31"/>
        <v/>
      </c>
      <c r="I347" s="559" t="str">
        <f t="shared" si="32"/>
        <v/>
      </c>
    </row>
    <row r="348" spans="2:9">
      <c r="B348" s="555" t="str">
        <f t="shared" si="27"/>
        <v/>
      </c>
      <c r="C348" s="556" t="str">
        <f t="shared" si="28"/>
        <v/>
      </c>
      <c r="D348" s="557" t="str">
        <f t="shared" si="29"/>
        <v/>
      </c>
      <c r="E348" s="560"/>
      <c r="F348" s="559"/>
      <c r="G348" s="559" t="str">
        <f t="shared" si="30"/>
        <v/>
      </c>
      <c r="H348" s="559" t="str">
        <f t="shared" si="31"/>
        <v/>
      </c>
      <c r="I348" s="559" t="str">
        <f t="shared" si="32"/>
        <v/>
      </c>
    </row>
    <row r="349" spans="2:9">
      <c r="B349" s="555" t="str">
        <f t="shared" si="27"/>
        <v/>
      </c>
      <c r="C349" s="556" t="str">
        <f t="shared" si="28"/>
        <v/>
      </c>
      <c r="D349" s="557" t="str">
        <f t="shared" si="29"/>
        <v/>
      </c>
      <c r="E349" s="560"/>
      <c r="F349" s="559"/>
      <c r="G349" s="559" t="str">
        <f t="shared" si="30"/>
        <v/>
      </c>
      <c r="H349" s="559" t="str">
        <f t="shared" si="31"/>
        <v/>
      </c>
      <c r="I349" s="559" t="str">
        <f t="shared" si="32"/>
        <v/>
      </c>
    </row>
    <row r="350" spans="2:9">
      <c r="B350" s="555" t="str">
        <f t="shared" si="27"/>
        <v/>
      </c>
      <c r="C350" s="556" t="str">
        <f t="shared" si="28"/>
        <v/>
      </c>
      <c r="D350" s="557" t="str">
        <f t="shared" si="29"/>
        <v/>
      </c>
      <c r="E350" s="560"/>
      <c r="F350" s="559"/>
      <c r="G350" s="559" t="str">
        <f t="shared" si="30"/>
        <v/>
      </c>
      <c r="H350" s="559" t="str">
        <f t="shared" si="31"/>
        <v/>
      </c>
      <c r="I350" s="559" t="str">
        <f t="shared" si="32"/>
        <v/>
      </c>
    </row>
    <row r="351" spans="2:9">
      <c r="B351" s="555" t="str">
        <f t="shared" si="27"/>
        <v/>
      </c>
      <c r="C351" s="556" t="str">
        <f t="shared" si="28"/>
        <v/>
      </c>
      <c r="D351" s="557" t="str">
        <f t="shared" si="29"/>
        <v/>
      </c>
      <c r="E351" s="560"/>
      <c r="F351" s="559"/>
      <c r="G351" s="559" t="str">
        <f t="shared" si="30"/>
        <v/>
      </c>
      <c r="H351" s="559" t="str">
        <f t="shared" si="31"/>
        <v/>
      </c>
      <c r="I351" s="559" t="str">
        <f t="shared" si="32"/>
        <v/>
      </c>
    </row>
    <row r="352" spans="2:9">
      <c r="B352" s="555" t="str">
        <f t="shared" si="27"/>
        <v/>
      </c>
      <c r="C352" s="556" t="str">
        <f t="shared" si="28"/>
        <v/>
      </c>
      <c r="D352" s="557" t="str">
        <f t="shared" si="29"/>
        <v/>
      </c>
      <c r="E352" s="560"/>
      <c r="F352" s="559"/>
      <c r="G352" s="559" t="str">
        <f t="shared" si="30"/>
        <v/>
      </c>
      <c r="H352" s="559" t="str">
        <f t="shared" si="31"/>
        <v/>
      </c>
      <c r="I352" s="559" t="str">
        <f t="shared" si="32"/>
        <v/>
      </c>
    </row>
    <row r="353" spans="2:9">
      <c r="B353" s="555" t="str">
        <f t="shared" si="27"/>
        <v/>
      </c>
      <c r="C353" s="556" t="str">
        <f t="shared" si="28"/>
        <v/>
      </c>
      <c r="D353" s="557" t="str">
        <f t="shared" si="29"/>
        <v/>
      </c>
      <c r="E353" s="560"/>
      <c r="F353" s="559"/>
      <c r="G353" s="559" t="str">
        <f t="shared" si="30"/>
        <v/>
      </c>
      <c r="H353" s="559" t="str">
        <f t="shared" si="31"/>
        <v/>
      </c>
      <c r="I353" s="559" t="str">
        <f t="shared" si="32"/>
        <v/>
      </c>
    </row>
    <row r="354" spans="2:9">
      <c r="B354" s="555" t="str">
        <f t="shared" si="27"/>
        <v/>
      </c>
      <c r="C354" s="556" t="str">
        <f t="shared" si="28"/>
        <v/>
      </c>
      <c r="D354" s="557" t="str">
        <f t="shared" si="29"/>
        <v/>
      </c>
      <c r="E354" s="560"/>
      <c r="F354" s="559"/>
      <c r="G354" s="559" t="str">
        <f t="shared" si="30"/>
        <v/>
      </c>
      <c r="H354" s="559" t="str">
        <f t="shared" si="31"/>
        <v/>
      </c>
      <c r="I354" s="559" t="str">
        <f t="shared" si="32"/>
        <v/>
      </c>
    </row>
    <row r="355" spans="2:9">
      <c r="B355" s="555" t="str">
        <f t="shared" si="27"/>
        <v/>
      </c>
      <c r="C355" s="556" t="str">
        <f t="shared" si="28"/>
        <v/>
      </c>
      <c r="D355" s="557" t="str">
        <f t="shared" si="29"/>
        <v/>
      </c>
      <c r="E355" s="560"/>
      <c r="F355" s="559"/>
      <c r="G355" s="559" t="str">
        <f t="shared" si="30"/>
        <v/>
      </c>
      <c r="H355" s="559" t="str">
        <f t="shared" si="31"/>
        <v/>
      </c>
      <c r="I355" s="559" t="str">
        <f t="shared" si="32"/>
        <v/>
      </c>
    </row>
    <row r="356" spans="2:9">
      <c r="B356" s="555" t="str">
        <f t="shared" si="27"/>
        <v/>
      </c>
      <c r="C356" s="556" t="str">
        <f t="shared" si="28"/>
        <v/>
      </c>
      <c r="D356" s="557" t="str">
        <f t="shared" si="29"/>
        <v/>
      </c>
      <c r="E356" s="560"/>
      <c r="F356" s="559"/>
      <c r="G356" s="559" t="str">
        <f t="shared" si="30"/>
        <v/>
      </c>
      <c r="H356" s="559" t="str">
        <f t="shared" si="31"/>
        <v/>
      </c>
      <c r="I356" s="559" t="str">
        <f t="shared" si="32"/>
        <v/>
      </c>
    </row>
    <row r="357" spans="2:9">
      <c r="B357" s="555" t="str">
        <f t="shared" si="27"/>
        <v/>
      </c>
      <c r="C357" s="556" t="str">
        <f t="shared" si="28"/>
        <v/>
      </c>
      <c r="D357" s="557" t="str">
        <f t="shared" si="29"/>
        <v/>
      </c>
      <c r="E357" s="560"/>
      <c r="F357" s="559"/>
      <c r="G357" s="559" t="str">
        <f t="shared" si="30"/>
        <v/>
      </c>
      <c r="H357" s="559" t="str">
        <f t="shared" si="31"/>
        <v/>
      </c>
      <c r="I357" s="559" t="str">
        <f t="shared" si="32"/>
        <v/>
      </c>
    </row>
    <row r="358" spans="2:9">
      <c r="B358" s="555" t="str">
        <f t="shared" si="27"/>
        <v/>
      </c>
      <c r="C358" s="556" t="str">
        <f t="shared" si="28"/>
        <v/>
      </c>
      <c r="D358" s="557" t="str">
        <f t="shared" si="29"/>
        <v/>
      </c>
      <c r="E358" s="560"/>
      <c r="F358" s="559"/>
      <c r="G358" s="559" t="str">
        <f t="shared" si="30"/>
        <v/>
      </c>
      <c r="H358" s="559" t="str">
        <f t="shared" si="31"/>
        <v/>
      </c>
      <c r="I358" s="559" t="str">
        <f t="shared" si="32"/>
        <v/>
      </c>
    </row>
    <row r="359" spans="2:9">
      <c r="B359" s="555" t="str">
        <f t="shared" si="27"/>
        <v/>
      </c>
      <c r="C359" s="556" t="str">
        <f t="shared" si="28"/>
        <v/>
      </c>
      <c r="D359" s="557" t="str">
        <f t="shared" si="29"/>
        <v/>
      </c>
      <c r="E359" s="560"/>
      <c r="F359" s="559"/>
      <c r="G359" s="559" t="str">
        <f t="shared" si="30"/>
        <v/>
      </c>
      <c r="H359" s="559" t="str">
        <f t="shared" si="31"/>
        <v/>
      </c>
      <c r="I359" s="559" t="str">
        <f t="shared" si="32"/>
        <v/>
      </c>
    </row>
    <row r="360" spans="2:9">
      <c r="B360" s="555" t="str">
        <f t="shared" si="27"/>
        <v/>
      </c>
      <c r="C360" s="556" t="str">
        <f t="shared" si="28"/>
        <v/>
      </c>
      <c r="D360" s="557" t="str">
        <f t="shared" si="29"/>
        <v/>
      </c>
      <c r="E360" s="560"/>
      <c r="F360" s="559"/>
      <c r="G360" s="559" t="str">
        <f t="shared" si="30"/>
        <v/>
      </c>
      <c r="H360" s="559" t="str">
        <f t="shared" si="31"/>
        <v/>
      </c>
      <c r="I360" s="559" t="str">
        <f t="shared" si="32"/>
        <v/>
      </c>
    </row>
    <row r="361" spans="2:9">
      <c r="B361" s="555" t="str">
        <f t="shared" si="27"/>
        <v/>
      </c>
      <c r="C361" s="556" t="str">
        <f t="shared" si="28"/>
        <v/>
      </c>
      <c r="D361" s="557" t="str">
        <f t="shared" si="29"/>
        <v/>
      </c>
      <c r="E361" s="560"/>
      <c r="F361" s="559"/>
      <c r="G361" s="559" t="str">
        <f t="shared" si="30"/>
        <v/>
      </c>
      <c r="H361" s="559" t="str">
        <f t="shared" si="31"/>
        <v/>
      </c>
      <c r="I361" s="559" t="str">
        <f t="shared" si="32"/>
        <v/>
      </c>
    </row>
    <row r="362" spans="2:9">
      <c r="B362" s="555" t="str">
        <f t="shared" si="27"/>
        <v/>
      </c>
      <c r="C362" s="556" t="str">
        <f t="shared" si="28"/>
        <v/>
      </c>
      <c r="D362" s="557" t="str">
        <f t="shared" si="29"/>
        <v/>
      </c>
      <c r="E362" s="560"/>
      <c r="F362" s="559"/>
      <c r="G362" s="559" t="str">
        <f t="shared" si="30"/>
        <v/>
      </c>
      <c r="H362" s="559" t="str">
        <f t="shared" si="31"/>
        <v/>
      </c>
      <c r="I362" s="559" t="str">
        <f t="shared" si="32"/>
        <v/>
      </c>
    </row>
    <row r="363" spans="2:9">
      <c r="B363" s="555" t="str">
        <f t="shared" si="27"/>
        <v/>
      </c>
      <c r="C363" s="556" t="str">
        <f t="shared" si="28"/>
        <v/>
      </c>
      <c r="D363" s="557" t="str">
        <f t="shared" si="29"/>
        <v/>
      </c>
      <c r="E363" s="560"/>
      <c r="F363" s="559"/>
      <c r="G363" s="559" t="str">
        <f t="shared" si="30"/>
        <v/>
      </c>
      <c r="H363" s="559" t="str">
        <f t="shared" si="31"/>
        <v/>
      </c>
      <c r="I363" s="559" t="str">
        <f t="shared" si="32"/>
        <v/>
      </c>
    </row>
    <row r="364" spans="2:9">
      <c r="B364" s="555" t="str">
        <f t="shared" si="27"/>
        <v/>
      </c>
      <c r="C364" s="556" t="str">
        <f t="shared" si="28"/>
        <v/>
      </c>
      <c r="D364" s="557" t="str">
        <f t="shared" si="29"/>
        <v/>
      </c>
      <c r="E364" s="560"/>
      <c r="F364" s="559"/>
      <c r="G364" s="559" t="str">
        <f t="shared" si="30"/>
        <v/>
      </c>
      <c r="H364" s="559" t="str">
        <f t="shared" si="31"/>
        <v/>
      </c>
      <c r="I364" s="559" t="str">
        <f t="shared" si="32"/>
        <v/>
      </c>
    </row>
    <row r="365" spans="2:9">
      <c r="B365" s="555" t="str">
        <f t="shared" si="27"/>
        <v/>
      </c>
      <c r="C365" s="556" t="str">
        <f t="shared" si="28"/>
        <v/>
      </c>
      <c r="D365" s="557" t="str">
        <f t="shared" si="29"/>
        <v/>
      </c>
      <c r="E365" s="560"/>
      <c r="F365" s="559"/>
      <c r="G365" s="559" t="str">
        <f t="shared" si="30"/>
        <v/>
      </c>
      <c r="H365" s="559" t="str">
        <f t="shared" si="31"/>
        <v/>
      </c>
      <c r="I365" s="559" t="str">
        <f t="shared" si="32"/>
        <v/>
      </c>
    </row>
    <row r="366" spans="2:9">
      <c r="B366" s="555" t="str">
        <f t="shared" si="27"/>
        <v/>
      </c>
      <c r="C366" s="556" t="str">
        <f t="shared" si="28"/>
        <v/>
      </c>
      <c r="D366" s="557" t="str">
        <f t="shared" si="29"/>
        <v/>
      </c>
      <c r="E366" s="560"/>
      <c r="F366" s="559"/>
      <c r="G366" s="559" t="str">
        <f t="shared" si="30"/>
        <v/>
      </c>
      <c r="H366" s="559" t="str">
        <f t="shared" si="31"/>
        <v/>
      </c>
      <c r="I366" s="559" t="str">
        <f t="shared" si="32"/>
        <v/>
      </c>
    </row>
    <row r="367" spans="2:9">
      <c r="B367" s="555" t="str">
        <f t="shared" si="27"/>
        <v/>
      </c>
      <c r="C367" s="556" t="str">
        <f t="shared" si="28"/>
        <v/>
      </c>
      <c r="D367" s="557" t="str">
        <f t="shared" si="29"/>
        <v/>
      </c>
      <c r="E367" s="560"/>
      <c r="F367" s="559"/>
      <c r="G367" s="559" t="str">
        <f t="shared" si="30"/>
        <v/>
      </c>
      <c r="H367" s="559" t="str">
        <f t="shared" si="31"/>
        <v/>
      </c>
      <c r="I367" s="559" t="str">
        <f t="shared" si="32"/>
        <v/>
      </c>
    </row>
    <row r="368" spans="2:9">
      <c r="B368" s="555" t="str">
        <f t="shared" si="27"/>
        <v/>
      </c>
      <c r="C368" s="556" t="str">
        <f t="shared" si="28"/>
        <v/>
      </c>
      <c r="D368" s="557" t="str">
        <f t="shared" si="29"/>
        <v/>
      </c>
      <c r="E368" s="560"/>
      <c r="F368" s="559"/>
      <c r="G368" s="559" t="str">
        <f t="shared" si="30"/>
        <v/>
      </c>
      <c r="H368" s="559" t="str">
        <f t="shared" si="31"/>
        <v/>
      </c>
      <c r="I368" s="559" t="str">
        <f t="shared" si="32"/>
        <v/>
      </c>
    </row>
    <row r="369" spans="2:9">
      <c r="B369" s="555" t="str">
        <f t="shared" si="27"/>
        <v/>
      </c>
      <c r="C369" s="556" t="str">
        <f t="shared" si="28"/>
        <v/>
      </c>
      <c r="D369" s="557" t="str">
        <f t="shared" si="29"/>
        <v/>
      </c>
      <c r="E369" s="560"/>
      <c r="F369" s="559"/>
      <c r="G369" s="559" t="str">
        <f t="shared" si="30"/>
        <v/>
      </c>
      <c r="H369" s="559" t="str">
        <f t="shared" si="31"/>
        <v/>
      </c>
      <c r="I369" s="559" t="str">
        <f t="shared" si="32"/>
        <v/>
      </c>
    </row>
    <row r="370" spans="2:9">
      <c r="B370" s="555" t="str">
        <f t="shared" si="27"/>
        <v/>
      </c>
      <c r="C370" s="556" t="str">
        <f t="shared" si="28"/>
        <v/>
      </c>
      <c r="D370" s="557" t="str">
        <f t="shared" si="29"/>
        <v/>
      </c>
      <c r="E370" s="560"/>
      <c r="F370" s="559"/>
      <c r="G370" s="559" t="str">
        <f t="shared" si="30"/>
        <v/>
      </c>
      <c r="H370" s="559" t="str">
        <f t="shared" si="31"/>
        <v/>
      </c>
      <c r="I370" s="559" t="str">
        <f t="shared" si="32"/>
        <v/>
      </c>
    </row>
    <row r="371" spans="2:9">
      <c r="B371" s="555" t="str">
        <f t="shared" si="27"/>
        <v/>
      </c>
      <c r="C371" s="556" t="str">
        <f t="shared" si="28"/>
        <v/>
      </c>
      <c r="D371" s="557" t="str">
        <f t="shared" si="29"/>
        <v/>
      </c>
      <c r="E371" s="560"/>
      <c r="F371" s="559"/>
      <c r="G371" s="559" t="str">
        <f t="shared" si="30"/>
        <v/>
      </c>
      <c r="H371" s="559" t="str">
        <f t="shared" si="31"/>
        <v/>
      </c>
      <c r="I371" s="559" t="str">
        <f t="shared" si="32"/>
        <v/>
      </c>
    </row>
    <row r="372" spans="2:9">
      <c r="B372" s="555" t="str">
        <f t="shared" si="27"/>
        <v/>
      </c>
      <c r="C372" s="556" t="str">
        <f t="shared" si="28"/>
        <v/>
      </c>
      <c r="D372" s="557" t="str">
        <f t="shared" si="29"/>
        <v/>
      </c>
      <c r="E372" s="560"/>
      <c r="F372" s="559"/>
      <c r="G372" s="559" t="str">
        <f t="shared" si="30"/>
        <v/>
      </c>
      <c r="H372" s="559" t="str">
        <f t="shared" si="31"/>
        <v/>
      </c>
      <c r="I372" s="559" t="str">
        <f t="shared" si="32"/>
        <v/>
      </c>
    </row>
    <row r="373" spans="2:9">
      <c r="B373" s="555" t="str">
        <f t="shared" si="27"/>
        <v/>
      </c>
      <c r="C373" s="556" t="str">
        <f t="shared" si="28"/>
        <v/>
      </c>
      <c r="D373" s="557" t="str">
        <f t="shared" si="29"/>
        <v/>
      </c>
      <c r="E373" s="560"/>
      <c r="F373" s="559"/>
      <c r="G373" s="559" t="str">
        <f t="shared" si="30"/>
        <v/>
      </c>
      <c r="H373" s="559" t="str">
        <f t="shared" si="31"/>
        <v/>
      </c>
      <c r="I373" s="559" t="str">
        <f t="shared" si="32"/>
        <v/>
      </c>
    </row>
    <row r="374" spans="2:9">
      <c r="B374" s="555" t="str">
        <f t="shared" si="27"/>
        <v/>
      </c>
      <c r="C374" s="556" t="str">
        <f t="shared" si="28"/>
        <v/>
      </c>
      <c r="D374" s="557" t="str">
        <f t="shared" si="29"/>
        <v/>
      </c>
      <c r="E374" s="560"/>
      <c r="F374" s="559"/>
      <c r="G374" s="559" t="str">
        <f t="shared" si="30"/>
        <v/>
      </c>
      <c r="H374" s="559" t="str">
        <f t="shared" si="31"/>
        <v/>
      </c>
      <c r="I374" s="559" t="str">
        <f t="shared" si="32"/>
        <v/>
      </c>
    </row>
    <row r="375" spans="2:9">
      <c r="B375" s="555" t="str">
        <f t="shared" si="27"/>
        <v/>
      </c>
      <c r="C375" s="556" t="str">
        <f t="shared" si="28"/>
        <v/>
      </c>
      <c r="D375" s="557" t="str">
        <f t="shared" si="29"/>
        <v/>
      </c>
      <c r="E375" s="560"/>
      <c r="F375" s="559"/>
      <c r="G375" s="559" t="str">
        <f t="shared" si="30"/>
        <v/>
      </c>
      <c r="H375" s="559" t="str">
        <f t="shared" si="31"/>
        <v/>
      </c>
      <c r="I375" s="559" t="str">
        <f t="shared" si="32"/>
        <v/>
      </c>
    </row>
    <row r="376" spans="2:9">
      <c r="B376" s="555" t="str">
        <f t="shared" si="27"/>
        <v/>
      </c>
      <c r="C376" s="556" t="str">
        <f t="shared" si="28"/>
        <v/>
      </c>
      <c r="D376" s="557" t="str">
        <f t="shared" si="29"/>
        <v/>
      </c>
      <c r="E376" s="560"/>
      <c r="F376" s="559"/>
      <c r="G376" s="559" t="str">
        <f t="shared" si="30"/>
        <v/>
      </c>
      <c r="H376" s="559" t="str">
        <f t="shared" si="31"/>
        <v/>
      </c>
      <c r="I376" s="559" t="str">
        <f t="shared" si="32"/>
        <v/>
      </c>
    </row>
    <row r="377" spans="2:9">
      <c r="B377" s="555" t="str">
        <f t="shared" si="27"/>
        <v/>
      </c>
      <c r="C377" s="556" t="str">
        <f t="shared" si="28"/>
        <v/>
      </c>
      <c r="D377" s="557" t="str">
        <f t="shared" si="29"/>
        <v/>
      </c>
      <c r="E377" s="560"/>
      <c r="F377" s="559"/>
      <c r="G377" s="559" t="str">
        <f t="shared" si="30"/>
        <v/>
      </c>
      <c r="H377" s="559" t="str">
        <f t="shared" si="31"/>
        <v/>
      </c>
      <c r="I377" s="559" t="str">
        <f t="shared" si="32"/>
        <v/>
      </c>
    </row>
    <row r="378" spans="2:9">
      <c r="B378" s="555" t="str">
        <f t="shared" si="27"/>
        <v/>
      </c>
      <c r="C378" s="556" t="str">
        <f t="shared" si="28"/>
        <v/>
      </c>
      <c r="D378" s="557" t="str">
        <f t="shared" si="29"/>
        <v/>
      </c>
      <c r="E378" s="560"/>
      <c r="F378" s="559"/>
      <c r="G378" s="559" t="str">
        <f t="shared" si="30"/>
        <v/>
      </c>
      <c r="H378" s="559" t="str">
        <f t="shared" si="31"/>
        <v/>
      </c>
      <c r="I378" s="559" t="str">
        <f t="shared" si="32"/>
        <v/>
      </c>
    </row>
    <row r="379" spans="2:9">
      <c r="B379" s="555" t="str">
        <f t="shared" si="27"/>
        <v/>
      </c>
      <c r="C379" s="556" t="str">
        <f t="shared" si="28"/>
        <v/>
      </c>
      <c r="D379" s="557" t="str">
        <f t="shared" si="29"/>
        <v/>
      </c>
      <c r="E379" s="560"/>
      <c r="F379" s="559"/>
      <c r="G379" s="559" t="str">
        <f t="shared" si="30"/>
        <v/>
      </c>
      <c r="H379" s="559" t="str">
        <f t="shared" si="31"/>
        <v/>
      </c>
      <c r="I379" s="559" t="str">
        <f t="shared" si="32"/>
        <v/>
      </c>
    </row>
    <row r="380" spans="2:9">
      <c r="B380" s="555" t="str">
        <f t="shared" si="27"/>
        <v/>
      </c>
      <c r="C380" s="556" t="str">
        <f t="shared" si="28"/>
        <v/>
      </c>
      <c r="D380" s="557" t="str">
        <f t="shared" si="29"/>
        <v/>
      </c>
      <c r="E380" s="560"/>
      <c r="F380" s="559"/>
      <c r="G380" s="559" t="str">
        <f t="shared" si="30"/>
        <v/>
      </c>
      <c r="H380" s="559" t="str">
        <f t="shared" si="31"/>
        <v/>
      </c>
      <c r="I380" s="559" t="str">
        <f t="shared" si="32"/>
        <v/>
      </c>
    </row>
    <row r="381" spans="2:9">
      <c r="B381" s="555" t="str">
        <f t="shared" ref="B381:B444" si="33">IF(I380="","",IF(roundOpt,IF(OR(B380&gt;=nper,ROUND(I380,2)&lt;=0),"",B380+1),IF(OR(B380&gt;=nper,I380&lt;=0),"",B380+1)))</f>
        <v/>
      </c>
      <c r="C381" s="556" t="str">
        <f t="shared" ref="C381:C444" si="34">IF(B381="","",IF(OR(periods_per_year=26,periods_per_year=52),IF(periods_per_year=26,IF(B381=1,fpdate,C380+14),IF(periods_per_year=52,IF(B381=1,fpdate,C380+7),"n/a")),IF(periods_per_year=24,DATE(YEAR(fpdate),MONTH(fpdate)+(B381-1)/2+IF(AND(DAY(fpdate)&gt;=15,MOD(B381,2)=0),1,0),IF(MOD(B381,2)=0,IF(DAY(fpdate)&gt;=15,DAY(fpdate)-14,DAY(fpdate)+14),DAY(fpdate))),IF(DAY(DATE(YEAR(fpdate),MONTH(fpdate)+(B381-1)*months_per_period,DAY(fpdate)))&lt;&gt;DAY(fpdate),DATE(YEAR(fpdate),MONTH(fpdate)+(B381-1)*months_per_period+1,0),DATE(YEAR(fpdate),MONTH(fpdate)+(B381-1)*months_per_period,DAY(fpdate))))))</f>
        <v/>
      </c>
      <c r="D381" s="557" t="str">
        <f t="shared" ref="D381:D444" si="35">IF(B381="","",IF(roundOpt,IF(OR(B381=nper,payment&gt;ROUND((1+rate)*I380,2)),ROUND((1+rate)*I380,2),payment),IF(OR(B381=nper,payment&gt;(1+rate)*I380),(1+rate)*I380,payment)))</f>
        <v/>
      </c>
      <c r="E381" s="560"/>
      <c r="F381" s="559"/>
      <c r="G381" s="559" t="str">
        <f t="shared" ref="G381:G444" si="36">IF(B381="","",IF(AND(B381=1,pmtType=1),0,IF(roundOpt,ROUND(rate*I380,2),rate*I380)))</f>
        <v/>
      </c>
      <c r="H381" s="559" t="str">
        <f t="shared" ref="H381:H444" si="37">IF(B381="","",D381-G381+E381)</f>
        <v/>
      </c>
      <c r="I381" s="559" t="str">
        <f t="shared" ref="I381:I444" si="38">IF(B381="","",I380-H381)</f>
        <v/>
      </c>
    </row>
    <row r="382" spans="2:9">
      <c r="B382" s="555" t="str">
        <f t="shared" si="33"/>
        <v/>
      </c>
      <c r="C382" s="556" t="str">
        <f t="shared" si="34"/>
        <v/>
      </c>
      <c r="D382" s="557" t="str">
        <f t="shared" si="35"/>
        <v/>
      </c>
      <c r="E382" s="560"/>
      <c r="F382" s="559"/>
      <c r="G382" s="559" t="str">
        <f t="shared" si="36"/>
        <v/>
      </c>
      <c r="H382" s="559" t="str">
        <f t="shared" si="37"/>
        <v/>
      </c>
      <c r="I382" s="559" t="str">
        <f t="shared" si="38"/>
        <v/>
      </c>
    </row>
    <row r="383" spans="2:9">
      <c r="B383" s="555" t="str">
        <f t="shared" si="33"/>
        <v/>
      </c>
      <c r="C383" s="556" t="str">
        <f t="shared" si="34"/>
        <v/>
      </c>
      <c r="D383" s="557" t="str">
        <f t="shared" si="35"/>
        <v/>
      </c>
      <c r="E383" s="560"/>
      <c r="F383" s="559"/>
      <c r="G383" s="559" t="str">
        <f t="shared" si="36"/>
        <v/>
      </c>
      <c r="H383" s="559" t="str">
        <f t="shared" si="37"/>
        <v/>
      </c>
      <c r="I383" s="559" t="str">
        <f t="shared" si="38"/>
        <v/>
      </c>
    </row>
    <row r="384" spans="2:9">
      <c r="B384" s="555" t="str">
        <f t="shared" si="33"/>
        <v/>
      </c>
      <c r="C384" s="556" t="str">
        <f t="shared" si="34"/>
        <v/>
      </c>
      <c r="D384" s="557" t="str">
        <f t="shared" si="35"/>
        <v/>
      </c>
      <c r="E384" s="560"/>
      <c r="F384" s="559"/>
      <c r="G384" s="559" t="str">
        <f t="shared" si="36"/>
        <v/>
      </c>
      <c r="H384" s="559" t="str">
        <f t="shared" si="37"/>
        <v/>
      </c>
      <c r="I384" s="559" t="str">
        <f t="shared" si="38"/>
        <v/>
      </c>
    </row>
    <row r="385" spans="2:9">
      <c r="B385" s="555" t="str">
        <f t="shared" si="33"/>
        <v/>
      </c>
      <c r="C385" s="556" t="str">
        <f t="shared" si="34"/>
        <v/>
      </c>
      <c r="D385" s="557" t="str">
        <f t="shared" si="35"/>
        <v/>
      </c>
      <c r="E385" s="560"/>
      <c r="F385" s="559"/>
      <c r="G385" s="559" t="str">
        <f t="shared" si="36"/>
        <v/>
      </c>
      <c r="H385" s="559" t="str">
        <f t="shared" si="37"/>
        <v/>
      </c>
      <c r="I385" s="559" t="str">
        <f t="shared" si="38"/>
        <v/>
      </c>
    </row>
    <row r="386" spans="2:9">
      <c r="B386" s="555" t="str">
        <f t="shared" si="33"/>
        <v/>
      </c>
      <c r="C386" s="556" t="str">
        <f t="shared" si="34"/>
        <v/>
      </c>
      <c r="D386" s="557" t="str">
        <f t="shared" si="35"/>
        <v/>
      </c>
      <c r="E386" s="560"/>
      <c r="F386" s="559"/>
      <c r="G386" s="559" t="str">
        <f t="shared" si="36"/>
        <v/>
      </c>
      <c r="H386" s="559" t="str">
        <f t="shared" si="37"/>
        <v/>
      </c>
      <c r="I386" s="559" t="str">
        <f t="shared" si="38"/>
        <v/>
      </c>
    </row>
    <row r="387" spans="2:9">
      <c r="B387" s="555" t="str">
        <f t="shared" si="33"/>
        <v/>
      </c>
      <c r="C387" s="556" t="str">
        <f t="shared" si="34"/>
        <v/>
      </c>
      <c r="D387" s="557" t="str">
        <f t="shared" si="35"/>
        <v/>
      </c>
      <c r="E387" s="560"/>
      <c r="F387" s="559"/>
      <c r="G387" s="559" t="str">
        <f t="shared" si="36"/>
        <v/>
      </c>
      <c r="H387" s="559" t="str">
        <f t="shared" si="37"/>
        <v/>
      </c>
      <c r="I387" s="559" t="str">
        <f t="shared" si="38"/>
        <v/>
      </c>
    </row>
    <row r="388" spans="2:9">
      <c r="B388" s="555" t="str">
        <f t="shared" si="33"/>
        <v/>
      </c>
      <c r="C388" s="556" t="str">
        <f t="shared" si="34"/>
        <v/>
      </c>
      <c r="D388" s="557" t="str">
        <f t="shared" si="35"/>
        <v/>
      </c>
      <c r="E388" s="560"/>
      <c r="F388" s="559"/>
      <c r="G388" s="559" t="str">
        <f t="shared" si="36"/>
        <v/>
      </c>
      <c r="H388" s="559" t="str">
        <f t="shared" si="37"/>
        <v/>
      </c>
      <c r="I388" s="559" t="str">
        <f t="shared" si="38"/>
        <v/>
      </c>
    </row>
    <row r="389" spans="2:9">
      <c r="B389" s="555" t="str">
        <f t="shared" si="33"/>
        <v/>
      </c>
      <c r="C389" s="556" t="str">
        <f t="shared" si="34"/>
        <v/>
      </c>
      <c r="D389" s="557" t="str">
        <f t="shared" si="35"/>
        <v/>
      </c>
      <c r="E389" s="560"/>
      <c r="F389" s="559"/>
      <c r="G389" s="559" t="str">
        <f t="shared" si="36"/>
        <v/>
      </c>
      <c r="H389" s="559" t="str">
        <f t="shared" si="37"/>
        <v/>
      </c>
      <c r="I389" s="559" t="str">
        <f t="shared" si="38"/>
        <v/>
      </c>
    </row>
    <row r="390" spans="2:9">
      <c r="B390" s="555" t="str">
        <f t="shared" si="33"/>
        <v/>
      </c>
      <c r="C390" s="556" t="str">
        <f t="shared" si="34"/>
        <v/>
      </c>
      <c r="D390" s="557" t="str">
        <f t="shared" si="35"/>
        <v/>
      </c>
      <c r="E390" s="560"/>
      <c r="F390" s="559"/>
      <c r="G390" s="559" t="str">
        <f t="shared" si="36"/>
        <v/>
      </c>
      <c r="H390" s="559" t="str">
        <f t="shared" si="37"/>
        <v/>
      </c>
      <c r="I390" s="559" t="str">
        <f t="shared" si="38"/>
        <v/>
      </c>
    </row>
    <row r="391" spans="2:9">
      <c r="B391" s="555" t="str">
        <f t="shared" si="33"/>
        <v/>
      </c>
      <c r="C391" s="556" t="str">
        <f t="shared" si="34"/>
        <v/>
      </c>
      <c r="D391" s="557" t="str">
        <f t="shared" si="35"/>
        <v/>
      </c>
      <c r="E391" s="560"/>
      <c r="F391" s="559"/>
      <c r="G391" s="559" t="str">
        <f t="shared" si="36"/>
        <v/>
      </c>
      <c r="H391" s="559" t="str">
        <f t="shared" si="37"/>
        <v/>
      </c>
      <c r="I391" s="559" t="str">
        <f t="shared" si="38"/>
        <v/>
      </c>
    </row>
    <row r="392" spans="2:9">
      <c r="B392" s="555" t="str">
        <f t="shared" si="33"/>
        <v/>
      </c>
      <c r="C392" s="556" t="str">
        <f t="shared" si="34"/>
        <v/>
      </c>
      <c r="D392" s="557" t="str">
        <f t="shared" si="35"/>
        <v/>
      </c>
      <c r="E392" s="560"/>
      <c r="F392" s="559"/>
      <c r="G392" s="559" t="str">
        <f t="shared" si="36"/>
        <v/>
      </c>
      <c r="H392" s="559" t="str">
        <f t="shared" si="37"/>
        <v/>
      </c>
      <c r="I392" s="559" t="str">
        <f t="shared" si="38"/>
        <v/>
      </c>
    </row>
    <row r="393" spans="2:9">
      <c r="B393" s="555" t="str">
        <f t="shared" si="33"/>
        <v/>
      </c>
      <c r="C393" s="556" t="str">
        <f t="shared" si="34"/>
        <v/>
      </c>
      <c r="D393" s="557" t="str">
        <f t="shared" si="35"/>
        <v/>
      </c>
      <c r="E393" s="560"/>
      <c r="F393" s="559"/>
      <c r="G393" s="559" t="str">
        <f t="shared" si="36"/>
        <v/>
      </c>
      <c r="H393" s="559" t="str">
        <f t="shared" si="37"/>
        <v/>
      </c>
      <c r="I393" s="559" t="str">
        <f t="shared" si="38"/>
        <v/>
      </c>
    </row>
    <row r="394" spans="2:9">
      <c r="B394" s="555" t="str">
        <f t="shared" si="33"/>
        <v/>
      </c>
      <c r="C394" s="556" t="str">
        <f t="shared" si="34"/>
        <v/>
      </c>
      <c r="D394" s="557" t="str">
        <f t="shared" si="35"/>
        <v/>
      </c>
      <c r="E394" s="560"/>
      <c r="F394" s="559"/>
      <c r="G394" s="559" t="str">
        <f t="shared" si="36"/>
        <v/>
      </c>
      <c r="H394" s="559" t="str">
        <f t="shared" si="37"/>
        <v/>
      </c>
      <c r="I394" s="559" t="str">
        <f t="shared" si="38"/>
        <v/>
      </c>
    </row>
    <row r="395" spans="2:9">
      <c r="B395" s="555" t="str">
        <f t="shared" si="33"/>
        <v/>
      </c>
      <c r="C395" s="556" t="str">
        <f t="shared" si="34"/>
        <v/>
      </c>
      <c r="D395" s="557" t="str">
        <f t="shared" si="35"/>
        <v/>
      </c>
      <c r="E395" s="560"/>
      <c r="F395" s="559"/>
      <c r="G395" s="559" t="str">
        <f t="shared" si="36"/>
        <v/>
      </c>
      <c r="H395" s="559" t="str">
        <f t="shared" si="37"/>
        <v/>
      </c>
      <c r="I395" s="559" t="str">
        <f t="shared" si="38"/>
        <v/>
      </c>
    </row>
    <row r="396" spans="2:9">
      <c r="B396" s="555" t="str">
        <f t="shared" si="33"/>
        <v/>
      </c>
      <c r="C396" s="556" t="str">
        <f t="shared" si="34"/>
        <v/>
      </c>
      <c r="D396" s="557" t="str">
        <f t="shared" si="35"/>
        <v/>
      </c>
      <c r="E396" s="560"/>
      <c r="F396" s="559"/>
      <c r="G396" s="559" t="str">
        <f t="shared" si="36"/>
        <v/>
      </c>
      <c r="H396" s="559" t="str">
        <f t="shared" si="37"/>
        <v/>
      </c>
      <c r="I396" s="559" t="str">
        <f t="shared" si="38"/>
        <v/>
      </c>
    </row>
    <row r="397" spans="2:9">
      <c r="B397" s="555" t="str">
        <f t="shared" si="33"/>
        <v/>
      </c>
      <c r="C397" s="556" t="str">
        <f t="shared" si="34"/>
        <v/>
      </c>
      <c r="D397" s="557" t="str">
        <f t="shared" si="35"/>
        <v/>
      </c>
      <c r="E397" s="560"/>
      <c r="F397" s="559"/>
      <c r="G397" s="559" t="str">
        <f t="shared" si="36"/>
        <v/>
      </c>
      <c r="H397" s="559" t="str">
        <f t="shared" si="37"/>
        <v/>
      </c>
      <c r="I397" s="559" t="str">
        <f t="shared" si="38"/>
        <v/>
      </c>
    </row>
    <row r="398" spans="2:9">
      <c r="B398" s="555" t="str">
        <f t="shared" si="33"/>
        <v/>
      </c>
      <c r="C398" s="556" t="str">
        <f t="shared" si="34"/>
        <v/>
      </c>
      <c r="D398" s="557" t="str">
        <f t="shared" si="35"/>
        <v/>
      </c>
      <c r="E398" s="560"/>
      <c r="F398" s="559"/>
      <c r="G398" s="559" t="str">
        <f t="shared" si="36"/>
        <v/>
      </c>
      <c r="H398" s="559" t="str">
        <f t="shared" si="37"/>
        <v/>
      </c>
      <c r="I398" s="559" t="str">
        <f t="shared" si="38"/>
        <v/>
      </c>
    </row>
    <row r="399" spans="2:9">
      <c r="B399" s="555" t="str">
        <f t="shared" si="33"/>
        <v/>
      </c>
      <c r="C399" s="556" t="str">
        <f t="shared" si="34"/>
        <v/>
      </c>
      <c r="D399" s="557" t="str">
        <f t="shared" si="35"/>
        <v/>
      </c>
      <c r="E399" s="560"/>
      <c r="F399" s="559"/>
      <c r="G399" s="559" t="str">
        <f t="shared" si="36"/>
        <v/>
      </c>
      <c r="H399" s="559" t="str">
        <f t="shared" si="37"/>
        <v/>
      </c>
      <c r="I399" s="559" t="str">
        <f t="shared" si="38"/>
        <v/>
      </c>
    </row>
    <row r="400" spans="2:9">
      <c r="B400" s="555" t="str">
        <f t="shared" si="33"/>
        <v/>
      </c>
      <c r="C400" s="556" t="str">
        <f t="shared" si="34"/>
        <v/>
      </c>
      <c r="D400" s="557" t="str">
        <f t="shared" si="35"/>
        <v/>
      </c>
      <c r="E400" s="560"/>
      <c r="F400" s="559"/>
      <c r="G400" s="559" t="str">
        <f t="shared" si="36"/>
        <v/>
      </c>
      <c r="H400" s="559" t="str">
        <f t="shared" si="37"/>
        <v/>
      </c>
      <c r="I400" s="559" t="str">
        <f t="shared" si="38"/>
        <v/>
      </c>
    </row>
    <row r="401" spans="2:9">
      <c r="B401" s="555" t="str">
        <f t="shared" si="33"/>
        <v/>
      </c>
      <c r="C401" s="556" t="str">
        <f t="shared" si="34"/>
        <v/>
      </c>
      <c r="D401" s="557" t="str">
        <f t="shared" si="35"/>
        <v/>
      </c>
      <c r="E401" s="560"/>
      <c r="F401" s="559"/>
      <c r="G401" s="559" t="str">
        <f t="shared" si="36"/>
        <v/>
      </c>
      <c r="H401" s="559" t="str">
        <f t="shared" si="37"/>
        <v/>
      </c>
      <c r="I401" s="559" t="str">
        <f t="shared" si="38"/>
        <v/>
      </c>
    </row>
    <row r="402" spans="2:9">
      <c r="B402" s="555" t="str">
        <f t="shared" si="33"/>
        <v/>
      </c>
      <c r="C402" s="556" t="str">
        <f t="shared" si="34"/>
        <v/>
      </c>
      <c r="D402" s="557" t="str">
        <f t="shared" si="35"/>
        <v/>
      </c>
      <c r="E402" s="560"/>
      <c r="F402" s="559"/>
      <c r="G402" s="559" t="str">
        <f t="shared" si="36"/>
        <v/>
      </c>
      <c r="H402" s="559" t="str">
        <f t="shared" si="37"/>
        <v/>
      </c>
      <c r="I402" s="559" t="str">
        <f t="shared" si="38"/>
        <v/>
      </c>
    </row>
    <row r="403" spans="2:9">
      <c r="B403" s="555" t="str">
        <f t="shared" si="33"/>
        <v/>
      </c>
      <c r="C403" s="556" t="str">
        <f t="shared" si="34"/>
        <v/>
      </c>
      <c r="D403" s="557" t="str">
        <f t="shared" si="35"/>
        <v/>
      </c>
      <c r="E403" s="560"/>
      <c r="F403" s="559"/>
      <c r="G403" s="559" t="str">
        <f t="shared" si="36"/>
        <v/>
      </c>
      <c r="H403" s="559" t="str">
        <f t="shared" si="37"/>
        <v/>
      </c>
      <c r="I403" s="559" t="str">
        <f t="shared" si="38"/>
        <v/>
      </c>
    </row>
    <row r="404" spans="2:9">
      <c r="B404" s="555" t="str">
        <f t="shared" si="33"/>
        <v/>
      </c>
      <c r="C404" s="556" t="str">
        <f t="shared" si="34"/>
        <v/>
      </c>
      <c r="D404" s="557" t="str">
        <f t="shared" si="35"/>
        <v/>
      </c>
      <c r="E404" s="560"/>
      <c r="F404" s="559"/>
      <c r="G404" s="559" t="str">
        <f t="shared" si="36"/>
        <v/>
      </c>
      <c r="H404" s="559" t="str">
        <f t="shared" si="37"/>
        <v/>
      </c>
      <c r="I404" s="559" t="str">
        <f t="shared" si="38"/>
        <v/>
      </c>
    </row>
    <row r="405" spans="2:9">
      <c r="B405" s="555" t="str">
        <f t="shared" si="33"/>
        <v/>
      </c>
      <c r="C405" s="556" t="str">
        <f t="shared" si="34"/>
        <v/>
      </c>
      <c r="D405" s="557" t="str">
        <f t="shared" si="35"/>
        <v/>
      </c>
      <c r="E405" s="560"/>
      <c r="F405" s="559"/>
      <c r="G405" s="559" t="str">
        <f t="shared" si="36"/>
        <v/>
      </c>
      <c r="H405" s="559" t="str">
        <f t="shared" si="37"/>
        <v/>
      </c>
      <c r="I405" s="559" t="str">
        <f t="shared" si="38"/>
        <v/>
      </c>
    </row>
    <row r="406" spans="2:9">
      <c r="B406" s="555" t="str">
        <f t="shared" si="33"/>
        <v/>
      </c>
      <c r="C406" s="556" t="str">
        <f t="shared" si="34"/>
        <v/>
      </c>
      <c r="D406" s="557" t="str">
        <f t="shared" si="35"/>
        <v/>
      </c>
      <c r="E406" s="560"/>
      <c r="F406" s="559"/>
      <c r="G406" s="559" t="str">
        <f t="shared" si="36"/>
        <v/>
      </c>
      <c r="H406" s="559" t="str">
        <f t="shared" si="37"/>
        <v/>
      </c>
      <c r="I406" s="559" t="str">
        <f t="shared" si="38"/>
        <v/>
      </c>
    </row>
    <row r="407" spans="2:9">
      <c r="B407" s="555" t="str">
        <f t="shared" si="33"/>
        <v/>
      </c>
      <c r="C407" s="556" t="str">
        <f t="shared" si="34"/>
        <v/>
      </c>
      <c r="D407" s="557" t="str">
        <f t="shared" si="35"/>
        <v/>
      </c>
      <c r="E407" s="560"/>
      <c r="F407" s="559"/>
      <c r="G407" s="559" t="str">
        <f t="shared" si="36"/>
        <v/>
      </c>
      <c r="H407" s="559" t="str">
        <f t="shared" si="37"/>
        <v/>
      </c>
      <c r="I407" s="559" t="str">
        <f t="shared" si="38"/>
        <v/>
      </c>
    </row>
    <row r="408" spans="2:9">
      <c r="B408" s="555" t="str">
        <f t="shared" si="33"/>
        <v/>
      </c>
      <c r="C408" s="556" t="str">
        <f t="shared" si="34"/>
        <v/>
      </c>
      <c r="D408" s="557" t="str">
        <f t="shared" si="35"/>
        <v/>
      </c>
      <c r="E408" s="560"/>
      <c r="F408" s="559"/>
      <c r="G408" s="559" t="str">
        <f t="shared" si="36"/>
        <v/>
      </c>
      <c r="H408" s="559" t="str">
        <f t="shared" si="37"/>
        <v/>
      </c>
      <c r="I408" s="559" t="str">
        <f t="shared" si="38"/>
        <v/>
      </c>
    </row>
    <row r="409" spans="2:9">
      <c r="B409" s="555" t="str">
        <f t="shared" si="33"/>
        <v/>
      </c>
      <c r="C409" s="556" t="str">
        <f t="shared" si="34"/>
        <v/>
      </c>
      <c r="D409" s="557" t="str">
        <f t="shared" si="35"/>
        <v/>
      </c>
      <c r="E409" s="560"/>
      <c r="F409" s="559"/>
      <c r="G409" s="559" t="str">
        <f t="shared" si="36"/>
        <v/>
      </c>
      <c r="H409" s="559" t="str">
        <f t="shared" si="37"/>
        <v/>
      </c>
      <c r="I409" s="559" t="str">
        <f t="shared" si="38"/>
        <v/>
      </c>
    </row>
    <row r="410" spans="2:9">
      <c r="B410" s="555" t="str">
        <f t="shared" si="33"/>
        <v/>
      </c>
      <c r="C410" s="556" t="str">
        <f t="shared" si="34"/>
        <v/>
      </c>
      <c r="D410" s="557" t="str">
        <f t="shared" si="35"/>
        <v/>
      </c>
      <c r="E410" s="560"/>
      <c r="F410" s="559"/>
      <c r="G410" s="559" t="str">
        <f t="shared" si="36"/>
        <v/>
      </c>
      <c r="H410" s="559" t="str">
        <f t="shared" si="37"/>
        <v/>
      </c>
      <c r="I410" s="559" t="str">
        <f t="shared" si="38"/>
        <v/>
      </c>
    </row>
    <row r="411" spans="2:9">
      <c r="B411" s="555" t="str">
        <f t="shared" si="33"/>
        <v/>
      </c>
      <c r="C411" s="556" t="str">
        <f t="shared" si="34"/>
        <v/>
      </c>
      <c r="D411" s="557" t="str">
        <f t="shared" si="35"/>
        <v/>
      </c>
      <c r="E411" s="560"/>
      <c r="F411" s="559"/>
      <c r="G411" s="559" t="str">
        <f t="shared" si="36"/>
        <v/>
      </c>
      <c r="H411" s="559" t="str">
        <f t="shared" si="37"/>
        <v/>
      </c>
      <c r="I411" s="559" t="str">
        <f t="shared" si="38"/>
        <v/>
      </c>
    </row>
    <row r="412" spans="2:9">
      <c r="B412" s="555" t="str">
        <f t="shared" si="33"/>
        <v/>
      </c>
      <c r="C412" s="556" t="str">
        <f t="shared" si="34"/>
        <v/>
      </c>
      <c r="D412" s="557" t="str">
        <f t="shared" si="35"/>
        <v/>
      </c>
      <c r="E412" s="560"/>
      <c r="F412" s="559"/>
      <c r="G412" s="559" t="str">
        <f t="shared" si="36"/>
        <v/>
      </c>
      <c r="H412" s="559" t="str">
        <f t="shared" si="37"/>
        <v/>
      </c>
      <c r="I412" s="559" t="str">
        <f t="shared" si="38"/>
        <v/>
      </c>
    </row>
    <row r="413" spans="2:9">
      <c r="B413" s="555" t="str">
        <f t="shared" si="33"/>
        <v/>
      </c>
      <c r="C413" s="556" t="str">
        <f t="shared" si="34"/>
        <v/>
      </c>
      <c r="D413" s="557" t="str">
        <f t="shared" si="35"/>
        <v/>
      </c>
      <c r="E413" s="560"/>
      <c r="F413" s="559"/>
      <c r="G413" s="559" t="str">
        <f t="shared" si="36"/>
        <v/>
      </c>
      <c r="H413" s="559" t="str">
        <f t="shared" si="37"/>
        <v/>
      </c>
      <c r="I413" s="559" t="str">
        <f t="shared" si="38"/>
        <v/>
      </c>
    </row>
    <row r="414" spans="2:9">
      <c r="B414" s="555" t="str">
        <f t="shared" si="33"/>
        <v/>
      </c>
      <c r="C414" s="556" t="str">
        <f t="shared" si="34"/>
        <v/>
      </c>
      <c r="D414" s="557" t="str">
        <f t="shared" si="35"/>
        <v/>
      </c>
      <c r="E414" s="560"/>
      <c r="F414" s="559"/>
      <c r="G414" s="559" t="str">
        <f t="shared" si="36"/>
        <v/>
      </c>
      <c r="H414" s="559" t="str">
        <f t="shared" si="37"/>
        <v/>
      </c>
      <c r="I414" s="559" t="str">
        <f t="shared" si="38"/>
        <v/>
      </c>
    </row>
    <row r="415" spans="2:9">
      <c r="B415" s="555" t="str">
        <f t="shared" si="33"/>
        <v/>
      </c>
      <c r="C415" s="556" t="str">
        <f t="shared" si="34"/>
        <v/>
      </c>
      <c r="D415" s="557" t="str">
        <f t="shared" si="35"/>
        <v/>
      </c>
      <c r="E415" s="560"/>
      <c r="F415" s="559"/>
      <c r="G415" s="559" t="str">
        <f t="shared" si="36"/>
        <v/>
      </c>
      <c r="H415" s="559" t="str">
        <f t="shared" si="37"/>
        <v/>
      </c>
      <c r="I415" s="559" t="str">
        <f t="shared" si="38"/>
        <v/>
      </c>
    </row>
    <row r="416" spans="2:9">
      <c r="B416" s="555" t="str">
        <f t="shared" si="33"/>
        <v/>
      </c>
      <c r="C416" s="556" t="str">
        <f t="shared" si="34"/>
        <v/>
      </c>
      <c r="D416" s="557" t="str">
        <f t="shared" si="35"/>
        <v/>
      </c>
      <c r="E416" s="560"/>
      <c r="F416" s="559"/>
      <c r="G416" s="559" t="str">
        <f t="shared" si="36"/>
        <v/>
      </c>
      <c r="H416" s="559" t="str">
        <f t="shared" si="37"/>
        <v/>
      </c>
      <c r="I416" s="559" t="str">
        <f t="shared" si="38"/>
        <v/>
      </c>
    </row>
    <row r="417" spans="2:9">
      <c r="B417" s="555" t="str">
        <f t="shared" si="33"/>
        <v/>
      </c>
      <c r="C417" s="556" t="str">
        <f t="shared" si="34"/>
        <v/>
      </c>
      <c r="D417" s="557" t="str">
        <f t="shared" si="35"/>
        <v/>
      </c>
      <c r="E417" s="560"/>
      <c r="F417" s="559"/>
      <c r="G417" s="559" t="str">
        <f t="shared" si="36"/>
        <v/>
      </c>
      <c r="H417" s="559" t="str">
        <f t="shared" si="37"/>
        <v/>
      </c>
      <c r="I417" s="559" t="str">
        <f t="shared" si="38"/>
        <v/>
      </c>
    </row>
    <row r="418" spans="2:9">
      <c r="B418" s="555" t="str">
        <f t="shared" si="33"/>
        <v/>
      </c>
      <c r="C418" s="556" t="str">
        <f t="shared" si="34"/>
        <v/>
      </c>
      <c r="D418" s="557" t="str">
        <f t="shared" si="35"/>
        <v/>
      </c>
      <c r="E418" s="560"/>
      <c r="F418" s="559"/>
      <c r="G418" s="559" t="str">
        <f t="shared" si="36"/>
        <v/>
      </c>
      <c r="H418" s="559" t="str">
        <f t="shared" si="37"/>
        <v/>
      </c>
      <c r="I418" s="559" t="str">
        <f t="shared" si="38"/>
        <v/>
      </c>
    </row>
    <row r="419" spans="2:9">
      <c r="B419" s="555" t="str">
        <f t="shared" si="33"/>
        <v/>
      </c>
      <c r="C419" s="556" t="str">
        <f t="shared" si="34"/>
        <v/>
      </c>
      <c r="D419" s="557" t="str">
        <f t="shared" si="35"/>
        <v/>
      </c>
      <c r="E419" s="560"/>
      <c r="F419" s="559"/>
      <c r="G419" s="559" t="str">
        <f t="shared" si="36"/>
        <v/>
      </c>
      <c r="H419" s="559" t="str">
        <f t="shared" si="37"/>
        <v/>
      </c>
      <c r="I419" s="559" t="str">
        <f t="shared" si="38"/>
        <v/>
      </c>
    </row>
    <row r="420" spans="2:9">
      <c r="B420" s="555" t="str">
        <f t="shared" si="33"/>
        <v/>
      </c>
      <c r="C420" s="556" t="str">
        <f t="shared" si="34"/>
        <v/>
      </c>
      <c r="D420" s="557" t="str">
        <f t="shared" si="35"/>
        <v/>
      </c>
      <c r="E420" s="560"/>
      <c r="F420" s="559"/>
      <c r="G420" s="559" t="str">
        <f t="shared" si="36"/>
        <v/>
      </c>
      <c r="H420" s="559" t="str">
        <f t="shared" si="37"/>
        <v/>
      </c>
      <c r="I420" s="559" t="str">
        <f t="shared" si="38"/>
        <v/>
      </c>
    </row>
    <row r="421" spans="2:9">
      <c r="B421" s="555" t="str">
        <f t="shared" si="33"/>
        <v/>
      </c>
      <c r="C421" s="556" t="str">
        <f t="shared" si="34"/>
        <v/>
      </c>
      <c r="D421" s="557" t="str">
        <f t="shared" si="35"/>
        <v/>
      </c>
      <c r="E421" s="560"/>
      <c r="F421" s="559"/>
      <c r="G421" s="559" t="str">
        <f t="shared" si="36"/>
        <v/>
      </c>
      <c r="H421" s="559" t="str">
        <f t="shared" si="37"/>
        <v/>
      </c>
      <c r="I421" s="559" t="str">
        <f t="shared" si="38"/>
        <v/>
      </c>
    </row>
    <row r="422" spans="2:9">
      <c r="B422" s="555" t="str">
        <f t="shared" si="33"/>
        <v/>
      </c>
      <c r="C422" s="556" t="str">
        <f t="shared" si="34"/>
        <v/>
      </c>
      <c r="D422" s="557" t="str">
        <f t="shared" si="35"/>
        <v/>
      </c>
      <c r="E422" s="560"/>
      <c r="F422" s="559"/>
      <c r="G422" s="559" t="str">
        <f t="shared" si="36"/>
        <v/>
      </c>
      <c r="H422" s="559" t="str">
        <f t="shared" si="37"/>
        <v/>
      </c>
      <c r="I422" s="559" t="str">
        <f t="shared" si="38"/>
        <v/>
      </c>
    </row>
    <row r="423" spans="2:9">
      <c r="B423" s="555" t="str">
        <f t="shared" si="33"/>
        <v/>
      </c>
      <c r="C423" s="556" t="str">
        <f t="shared" si="34"/>
        <v/>
      </c>
      <c r="D423" s="557" t="str">
        <f t="shared" si="35"/>
        <v/>
      </c>
      <c r="E423" s="560"/>
      <c r="F423" s="559"/>
      <c r="G423" s="559" t="str">
        <f t="shared" si="36"/>
        <v/>
      </c>
      <c r="H423" s="559" t="str">
        <f t="shared" si="37"/>
        <v/>
      </c>
      <c r="I423" s="559" t="str">
        <f t="shared" si="38"/>
        <v/>
      </c>
    </row>
    <row r="424" spans="2:9">
      <c r="B424" s="555" t="str">
        <f t="shared" si="33"/>
        <v/>
      </c>
      <c r="C424" s="556" t="str">
        <f t="shared" si="34"/>
        <v/>
      </c>
      <c r="D424" s="557" t="str">
        <f t="shared" si="35"/>
        <v/>
      </c>
      <c r="E424" s="560"/>
      <c r="F424" s="559"/>
      <c r="G424" s="559" t="str">
        <f t="shared" si="36"/>
        <v/>
      </c>
      <c r="H424" s="559" t="str">
        <f t="shared" si="37"/>
        <v/>
      </c>
      <c r="I424" s="559" t="str">
        <f t="shared" si="38"/>
        <v/>
      </c>
    </row>
    <row r="425" spans="2:9">
      <c r="B425" s="555" t="str">
        <f t="shared" si="33"/>
        <v/>
      </c>
      <c r="C425" s="556" t="str">
        <f t="shared" si="34"/>
        <v/>
      </c>
      <c r="D425" s="557" t="str">
        <f t="shared" si="35"/>
        <v/>
      </c>
      <c r="E425" s="560"/>
      <c r="F425" s="559"/>
      <c r="G425" s="559" t="str">
        <f t="shared" si="36"/>
        <v/>
      </c>
      <c r="H425" s="559" t="str">
        <f t="shared" si="37"/>
        <v/>
      </c>
      <c r="I425" s="559" t="str">
        <f t="shared" si="38"/>
        <v/>
      </c>
    </row>
    <row r="426" spans="2:9">
      <c r="B426" s="555" t="str">
        <f t="shared" si="33"/>
        <v/>
      </c>
      <c r="C426" s="556" t="str">
        <f t="shared" si="34"/>
        <v/>
      </c>
      <c r="D426" s="557" t="str">
        <f t="shared" si="35"/>
        <v/>
      </c>
      <c r="E426" s="560"/>
      <c r="F426" s="559"/>
      <c r="G426" s="559" t="str">
        <f t="shared" si="36"/>
        <v/>
      </c>
      <c r="H426" s="559" t="str">
        <f t="shared" si="37"/>
        <v/>
      </c>
      <c r="I426" s="559" t="str">
        <f t="shared" si="38"/>
        <v/>
      </c>
    </row>
    <row r="427" spans="2:9">
      <c r="B427" s="555" t="str">
        <f t="shared" si="33"/>
        <v/>
      </c>
      <c r="C427" s="556" t="str">
        <f t="shared" si="34"/>
        <v/>
      </c>
      <c r="D427" s="557" t="str">
        <f t="shared" si="35"/>
        <v/>
      </c>
      <c r="E427" s="560"/>
      <c r="F427" s="559"/>
      <c r="G427" s="559" t="str">
        <f t="shared" si="36"/>
        <v/>
      </c>
      <c r="H427" s="559" t="str">
        <f t="shared" si="37"/>
        <v/>
      </c>
      <c r="I427" s="559" t="str">
        <f t="shared" si="38"/>
        <v/>
      </c>
    </row>
    <row r="428" spans="2:9">
      <c r="B428" s="555" t="str">
        <f t="shared" si="33"/>
        <v/>
      </c>
      <c r="C428" s="556" t="str">
        <f t="shared" si="34"/>
        <v/>
      </c>
      <c r="D428" s="557" t="str">
        <f t="shared" si="35"/>
        <v/>
      </c>
      <c r="E428" s="560"/>
      <c r="F428" s="559"/>
      <c r="G428" s="559" t="str">
        <f t="shared" si="36"/>
        <v/>
      </c>
      <c r="H428" s="559" t="str">
        <f t="shared" si="37"/>
        <v/>
      </c>
      <c r="I428" s="559" t="str">
        <f t="shared" si="38"/>
        <v/>
      </c>
    </row>
    <row r="429" spans="2:9">
      <c r="B429" s="555" t="str">
        <f t="shared" si="33"/>
        <v/>
      </c>
      <c r="C429" s="556" t="str">
        <f t="shared" si="34"/>
        <v/>
      </c>
      <c r="D429" s="557" t="str">
        <f t="shared" si="35"/>
        <v/>
      </c>
      <c r="E429" s="560"/>
      <c r="F429" s="559"/>
      <c r="G429" s="559" t="str">
        <f t="shared" si="36"/>
        <v/>
      </c>
      <c r="H429" s="559" t="str">
        <f t="shared" si="37"/>
        <v/>
      </c>
      <c r="I429" s="559" t="str">
        <f t="shared" si="38"/>
        <v/>
      </c>
    </row>
    <row r="430" spans="2:9">
      <c r="B430" s="555" t="str">
        <f t="shared" si="33"/>
        <v/>
      </c>
      <c r="C430" s="556" t="str">
        <f t="shared" si="34"/>
        <v/>
      </c>
      <c r="D430" s="557" t="str">
        <f t="shared" si="35"/>
        <v/>
      </c>
      <c r="E430" s="560"/>
      <c r="F430" s="559"/>
      <c r="G430" s="559" t="str">
        <f t="shared" si="36"/>
        <v/>
      </c>
      <c r="H430" s="559" t="str">
        <f t="shared" si="37"/>
        <v/>
      </c>
      <c r="I430" s="559" t="str">
        <f t="shared" si="38"/>
        <v/>
      </c>
    </row>
    <row r="431" spans="2:9">
      <c r="B431" s="555" t="str">
        <f t="shared" si="33"/>
        <v/>
      </c>
      <c r="C431" s="556" t="str">
        <f t="shared" si="34"/>
        <v/>
      </c>
      <c r="D431" s="557" t="str">
        <f t="shared" si="35"/>
        <v/>
      </c>
      <c r="E431" s="560"/>
      <c r="F431" s="559"/>
      <c r="G431" s="559" t="str">
        <f t="shared" si="36"/>
        <v/>
      </c>
      <c r="H431" s="559" t="str">
        <f t="shared" si="37"/>
        <v/>
      </c>
      <c r="I431" s="559" t="str">
        <f t="shared" si="38"/>
        <v/>
      </c>
    </row>
    <row r="432" spans="2:9">
      <c r="B432" s="555" t="str">
        <f t="shared" si="33"/>
        <v/>
      </c>
      <c r="C432" s="556" t="str">
        <f t="shared" si="34"/>
        <v/>
      </c>
      <c r="D432" s="557" t="str">
        <f t="shared" si="35"/>
        <v/>
      </c>
      <c r="E432" s="560"/>
      <c r="F432" s="559"/>
      <c r="G432" s="559" t="str">
        <f t="shared" si="36"/>
        <v/>
      </c>
      <c r="H432" s="559" t="str">
        <f t="shared" si="37"/>
        <v/>
      </c>
      <c r="I432" s="559" t="str">
        <f t="shared" si="38"/>
        <v/>
      </c>
    </row>
    <row r="433" spans="2:9">
      <c r="B433" s="555" t="str">
        <f t="shared" si="33"/>
        <v/>
      </c>
      <c r="C433" s="556" t="str">
        <f t="shared" si="34"/>
        <v/>
      </c>
      <c r="D433" s="557" t="str">
        <f t="shared" si="35"/>
        <v/>
      </c>
      <c r="E433" s="560"/>
      <c r="F433" s="559"/>
      <c r="G433" s="559" t="str">
        <f t="shared" si="36"/>
        <v/>
      </c>
      <c r="H433" s="559" t="str">
        <f t="shared" si="37"/>
        <v/>
      </c>
      <c r="I433" s="559" t="str">
        <f t="shared" si="38"/>
        <v/>
      </c>
    </row>
    <row r="434" spans="2:9">
      <c r="B434" s="555" t="str">
        <f t="shared" si="33"/>
        <v/>
      </c>
      <c r="C434" s="556" t="str">
        <f t="shared" si="34"/>
        <v/>
      </c>
      <c r="D434" s="557" t="str">
        <f t="shared" si="35"/>
        <v/>
      </c>
      <c r="E434" s="560"/>
      <c r="F434" s="559"/>
      <c r="G434" s="559" t="str">
        <f t="shared" si="36"/>
        <v/>
      </c>
      <c r="H434" s="559" t="str">
        <f t="shared" si="37"/>
        <v/>
      </c>
      <c r="I434" s="559" t="str">
        <f t="shared" si="38"/>
        <v/>
      </c>
    </row>
    <row r="435" spans="2:9">
      <c r="B435" s="555" t="str">
        <f t="shared" si="33"/>
        <v/>
      </c>
      <c r="C435" s="556" t="str">
        <f t="shared" si="34"/>
        <v/>
      </c>
      <c r="D435" s="557" t="str">
        <f t="shared" si="35"/>
        <v/>
      </c>
      <c r="E435" s="560"/>
      <c r="F435" s="559"/>
      <c r="G435" s="559" t="str">
        <f t="shared" si="36"/>
        <v/>
      </c>
      <c r="H435" s="559" t="str">
        <f t="shared" si="37"/>
        <v/>
      </c>
      <c r="I435" s="559" t="str">
        <f t="shared" si="38"/>
        <v/>
      </c>
    </row>
    <row r="436" spans="2:9">
      <c r="B436" s="555" t="str">
        <f t="shared" si="33"/>
        <v/>
      </c>
      <c r="C436" s="556" t="str">
        <f t="shared" si="34"/>
        <v/>
      </c>
      <c r="D436" s="557" t="str">
        <f t="shared" si="35"/>
        <v/>
      </c>
      <c r="E436" s="560"/>
      <c r="F436" s="559"/>
      <c r="G436" s="559" t="str">
        <f t="shared" si="36"/>
        <v/>
      </c>
      <c r="H436" s="559" t="str">
        <f t="shared" si="37"/>
        <v/>
      </c>
      <c r="I436" s="559" t="str">
        <f t="shared" si="38"/>
        <v/>
      </c>
    </row>
    <row r="437" spans="2:9">
      <c r="B437" s="555" t="str">
        <f t="shared" si="33"/>
        <v/>
      </c>
      <c r="C437" s="556" t="str">
        <f t="shared" si="34"/>
        <v/>
      </c>
      <c r="D437" s="557" t="str">
        <f t="shared" si="35"/>
        <v/>
      </c>
      <c r="E437" s="560"/>
      <c r="F437" s="559"/>
      <c r="G437" s="559" t="str">
        <f t="shared" si="36"/>
        <v/>
      </c>
      <c r="H437" s="559" t="str">
        <f t="shared" si="37"/>
        <v/>
      </c>
      <c r="I437" s="559" t="str">
        <f t="shared" si="38"/>
        <v/>
      </c>
    </row>
    <row r="438" spans="2:9">
      <c r="B438" s="555" t="str">
        <f t="shared" si="33"/>
        <v/>
      </c>
      <c r="C438" s="556" t="str">
        <f t="shared" si="34"/>
        <v/>
      </c>
      <c r="D438" s="557" t="str">
        <f t="shared" si="35"/>
        <v/>
      </c>
      <c r="E438" s="560"/>
      <c r="F438" s="559"/>
      <c r="G438" s="559" t="str">
        <f t="shared" si="36"/>
        <v/>
      </c>
      <c r="H438" s="559" t="str">
        <f t="shared" si="37"/>
        <v/>
      </c>
      <c r="I438" s="559" t="str">
        <f t="shared" si="38"/>
        <v/>
      </c>
    </row>
    <row r="439" spans="2:9">
      <c r="B439" s="555" t="str">
        <f t="shared" si="33"/>
        <v/>
      </c>
      <c r="C439" s="556" t="str">
        <f t="shared" si="34"/>
        <v/>
      </c>
      <c r="D439" s="557" t="str">
        <f t="shared" si="35"/>
        <v/>
      </c>
      <c r="E439" s="560"/>
      <c r="F439" s="559"/>
      <c r="G439" s="559" t="str">
        <f t="shared" si="36"/>
        <v/>
      </c>
      <c r="H439" s="559" t="str">
        <f t="shared" si="37"/>
        <v/>
      </c>
      <c r="I439" s="559" t="str">
        <f t="shared" si="38"/>
        <v/>
      </c>
    </row>
    <row r="440" spans="2:9">
      <c r="B440" s="555" t="str">
        <f t="shared" si="33"/>
        <v/>
      </c>
      <c r="C440" s="556" t="str">
        <f t="shared" si="34"/>
        <v/>
      </c>
      <c r="D440" s="557" t="str">
        <f t="shared" si="35"/>
        <v/>
      </c>
      <c r="E440" s="560"/>
      <c r="F440" s="559"/>
      <c r="G440" s="559" t="str">
        <f t="shared" si="36"/>
        <v/>
      </c>
      <c r="H440" s="559" t="str">
        <f t="shared" si="37"/>
        <v/>
      </c>
      <c r="I440" s="559" t="str">
        <f t="shared" si="38"/>
        <v/>
      </c>
    </row>
    <row r="441" spans="2:9">
      <c r="B441" s="555" t="str">
        <f t="shared" si="33"/>
        <v/>
      </c>
      <c r="C441" s="556" t="str">
        <f t="shared" si="34"/>
        <v/>
      </c>
      <c r="D441" s="557" t="str">
        <f t="shared" si="35"/>
        <v/>
      </c>
      <c r="E441" s="560"/>
      <c r="F441" s="559"/>
      <c r="G441" s="559" t="str">
        <f t="shared" si="36"/>
        <v/>
      </c>
      <c r="H441" s="559" t="str">
        <f t="shared" si="37"/>
        <v/>
      </c>
      <c r="I441" s="559" t="str">
        <f t="shared" si="38"/>
        <v/>
      </c>
    </row>
    <row r="442" spans="2:9">
      <c r="B442" s="555" t="str">
        <f t="shared" si="33"/>
        <v/>
      </c>
      <c r="C442" s="556" t="str">
        <f t="shared" si="34"/>
        <v/>
      </c>
      <c r="D442" s="557" t="str">
        <f t="shared" si="35"/>
        <v/>
      </c>
      <c r="E442" s="560"/>
      <c r="F442" s="559"/>
      <c r="G442" s="559" t="str">
        <f t="shared" si="36"/>
        <v/>
      </c>
      <c r="H442" s="559" t="str">
        <f t="shared" si="37"/>
        <v/>
      </c>
      <c r="I442" s="559" t="str">
        <f t="shared" si="38"/>
        <v/>
      </c>
    </row>
    <row r="443" spans="2:9">
      <c r="B443" s="555" t="str">
        <f t="shared" si="33"/>
        <v/>
      </c>
      <c r="C443" s="556" t="str">
        <f t="shared" si="34"/>
        <v/>
      </c>
      <c r="D443" s="557" t="str">
        <f t="shared" si="35"/>
        <v/>
      </c>
      <c r="E443" s="560"/>
      <c r="F443" s="559"/>
      <c r="G443" s="559" t="str">
        <f t="shared" si="36"/>
        <v/>
      </c>
      <c r="H443" s="559" t="str">
        <f t="shared" si="37"/>
        <v/>
      </c>
      <c r="I443" s="559" t="str">
        <f t="shared" si="38"/>
        <v/>
      </c>
    </row>
    <row r="444" spans="2:9">
      <c r="B444" s="555" t="str">
        <f t="shared" si="33"/>
        <v/>
      </c>
      <c r="C444" s="556" t="str">
        <f t="shared" si="34"/>
        <v/>
      </c>
      <c r="D444" s="557" t="str">
        <f t="shared" si="35"/>
        <v/>
      </c>
      <c r="E444" s="560"/>
      <c r="F444" s="559"/>
      <c r="G444" s="559" t="str">
        <f t="shared" si="36"/>
        <v/>
      </c>
      <c r="H444" s="559" t="str">
        <f t="shared" si="37"/>
        <v/>
      </c>
      <c r="I444" s="559" t="str">
        <f t="shared" si="38"/>
        <v/>
      </c>
    </row>
    <row r="445" spans="2:9">
      <c r="B445" s="555" t="str">
        <f t="shared" ref="B445:B508" si="39">IF(I444="","",IF(roundOpt,IF(OR(B444&gt;=nper,ROUND(I444,2)&lt;=0),"",B444+1),IF(OR(B444&gt;=nper,I444&lt;=0),"",B444+1)))</f>
        <v/>
      </c>
      <c r="C445" s="556" t="str">
        <f t="shared" ref="C445:C508" si="40">IF(B445="","",IF(OR(periods_per_year=26,periods_per_year=52),IF(periods_per_year=26,IF(B445=1,fpdate,C444+14),IF(periods_per_year=52,IF(B445=1,fpdate,C444+7),"n/a")),IF(periods_per_year=24,DATE(YEAR(fpdate),MONTH(fpdate)+(B445-1)/2+IF(AND(DAY(fpdate)&gt;=15,MOD(B445,2)=0),1,0),IF(MOD(B445,2)=0,IF(DAY(fpdate)&gt;=15,DAY(fpdate)-14,DAY(fpdate)+14),DAY(fpdate))),IF(DAY(DATE(YEAR(fpdate),MONTH(fpdate)+(B445-1)*months_per_period,DAY(fpdate)))&lt;&gt;DAY(fpdate),DATE(YEAR(fpdate),MONTH(fpdate)+(B445-1)*months_per_period+1,0),DATE(YEAR(fpdate),MONTH(fpdate)+(B445-1)*months_per_period,DAY(fpdate))))))</f>
        <v/>
      </c>
      <c r="D445" s="557" t="str">
        <f t="shared" ref="D445:D508" si="41">IF(B445="","",IF(roundOpt,IF(OR(B445=nper,payment&gt;ROUND((1+rate)*I444,2)),ROUND((1+rate)*I444,2),payment),IF(OR(B445=nper,payment&gt;(1+rate)*I444),(1+rate)*I444,payment)))</f>
        <v/>
      </c>
      <c r="E445" s="560"/>
      <c r="F445" s="559"/>
      <c r="G445" s="559" t="str">
        <f t="shared" ref="G445:G508" si="42">IF(B445="","",IF(AND(B445=1,pmtType=1),0,IF(roundOpt,ROUND(rate*I444,2),rate*I444)))</f>
        <v/>
      </c>
      <c r="H445" s="559" t="str">
        <f t="shared" ref="H445:H508" si="43">IF(B445="","",D445-G445+E445)</f>
        <v/>
      </c>
      <c r="I445" s="559" t="str">
        <f t="shared" ref="I445:I508" si="44">IF(B445="","",I444-H445)</f>
        <v/>
      </c>
    </row>
    <row r="446" spans="2:9">
      <c r="B446" s="555" t="str">
        <f t="shared" si="39"/>
        <v/>
      </c>
      <c r="C446" s="556" t="str">
        <f t="shared" si="40"/>
        <v/>
      </c>
      <c r="D446" s="557" t="str">
        <f t="shared" si="41"/>
        <v/>
      </c>
      <c r="E446" s="560"/>
      <c r="F446" s="559"/>
      <c r="G446" s="559" t="str">
        <f t="shared" si="42"/>
        <v/>
      </c>
      <c r="H446" s="559" t="str">
        <f t="shared" si="43"/>
        <v/>
      </c>
      <c r="I446" s="559" t="str">
        <f t="shared" si="44"/>
        <v/>
      </c>
    </row>
    <row r="447" spans="2:9">
      <c r="B447" s="555" t="str">
        <f t="shared" si="39"/>
        <v/>
      </c>
      <c r="C447" s="556" t="str">
        <f t="shared" si="40"/>
        <v/>
      </c>
      <c r="D447" s="557" t="str">
        <f t="shared" si="41"/>
        <v/>
      </c>
      <c r="E447" s="560"/>
      <c r="F447" s="559"/>
      <c r="G447" s="559" t="str">
        <f t="shared" si="42"/>
        <v/>
      </c>
      <c r="H447" s="559" t="str">
        <f t="shared" si="43"/>
        <v/>
      </c>
      <c r="I447" s="559" t="str">
        <f t="shared" si="44"/>
        <v/>
      </c>
    </row>
    <row r="448" spans="2:9">
      <c r="B448" s="555" t="str">
        <f t="shared" si="39"/>
        <v/>
      </c>
      <c r="C448" s="556" t="str">
        <f t="shared" si="40"/>
        <v/>
      </c>
      <c r="D448" s="557" t="str">
        <f t="shared" si="41"/>
        <v/>
      </c>
      <c r="E448" s="560"/>
      <c r="F448" s="559"/>
      <c r="G448" s="559" t="str">
        <f t="shared" si="42"/>
        <v/>
      </c>
      <c r="H448" s="559" t="str">
        <f t="shared" si="43"/>
        <v/>
      </c>
      <c r="I448" s="559" t="str">
        <f t="shared" si="44"/>
        <v/>
      </c>
    </row>
    <row r="449" spans="2:9">
      <c r="B449" s="555" t="str">
        <f t="shared" si="39"/>
        <v/>
      </c>
      <c r="C449" s="556" t="str">
        <f t="shared" si="40"/>
        <v/>
      </c>
      <c r="D449" s="557" t="str">
        <f t="shared" si="41"/>
        <v/>
      </c>
      <c r="E449" s="560"/>
      <c r="F449" s="559"/>
      <c r="G449" s="559" t="str">
        <f t="shared" si="42"/>
        <v/>
      </c>
      <c r="H449" s="559" t="str">
        <f t="shared" si="43"/>
        <v/>
      </c>
      <c r="I449" s="559" t="str">
        <f t="shared" si="44"/>
        <v/>
      </c>
    </row>
    <row r="450" spans="2:9">
      <c r="B450" s="555" t="str">
        <f t="shared" si="39"/>
        <v/>
      </c>
      <c r="C450" s="556" t="str">
        <f t="shared" si="40"/>
        <v/>
      </c>
      <c r="D450" s="557" t="str">
        <f t="shared" si="41"/>
        <v/>
      </c>
      <c r="E450" s="560"/>
      <c r="F450" s="559"/>
      <c r="G450" s="559" t="str">
        <f t="shared" si="42"/>
        <v/>
      </c>
      <c r="H450" s="559" t="str">
        <f t="shared" si="43"/>
        <v/>
      </c>
      <c r="I450" s="559" t="str">
        <f t="shared" si="44"/>
        <v/>
      </c>
    </row>
    <row r="451" spans="2:9">
      <c r="B451" s="555" t="str">
        <f t="shared" si="39"/>
        <v/>
      </c>
      <c r="C451" s="556" t="str">
        <f t="shared" si="40"/>
        <v/>
      </c>
      <c r="D451" s="557" t="str">
        <f t="shared" si="41"/>
        <v/>
      </c>
      <c r="E451" s="560"/>
      <c r="F451" s="559"/>
      <c r="G451" s="559" t="str">
        <f t="shared" si="42"/>
        <v/>
      </c>
      <c r="H451" s="559" t="str">
        <f t="shared" si="43"/>
        <v/>
      </c>
      <c r="I451" s="559" t="str">
        <f t="shared" si="44"/>
        <v/>
      </c>
    </row>
    <row r="452" spans="2:9">
      <c r="B452" s="555" t="str">
        <f t="shared" si="39"/>
        <v/>
      </c>
      <c r="C452" s="556" t="str">
        <f t="shared" si="40"/>
        <v/>
      </c>
      <c r="D452" s="557" t="str">
        <f t="shared" si="41"/>
        <v/>
      </c>
      <c r="E452" s="560"/>
      <c r="F452" s="559"/>
      <c r="G452" s="559" t="str">
        <f t="shared" si="42"/>
        <v/>
      </c>
      <c r="H452" s="559" t="str">
        <f t="shared" si="43"/>
        <v/>
      </c>
      <c r="I452" s="559" t="str">
        <f t="shared" si="44"/>
        <v/>
      </c>
    </row>
    <row r="453" spans="2:9">
      <c r="B453" s="555" t="str">
        <f t="shared" si="39"/>
        <v/>
      </c>
      <c r="C453" s="556" t="str">
        <f t="shared" si="40"/>
        <v/>
      </c>
      <c r="D453" s="557" t="str">
        <f t="shared" si="41"/>
        <v/>
      </c>
      <c r="E453" s="560"/>
      <c r="F453" s="559"/>
      <c r="G453" s="559" t="str">
        <f t="shared" si="42"/>
        <v/>
      </c>
      <c r="H453" s="559" t="str">
        <f t="shared" si="43"/>
        <v/>
      </c>
      <c r="I453" s="559" t="str">
        <f t="shared" si="44"/>
        <v/>
      </c>
    </row>
    <row r="454" spans="2:9">
      <c r="B454" s="555" t="str">
        <f t="shared" si="39"/>
        <v/>
      </c>
      <c r="C454" s="556" t="str">
        <f t="shared" si="40"/>
        <v/>
      </c>
      <c r="D454" s="557" t="str">
        <f t="shared" si="41"/>
        <v/>
      </c>
      <c r="E454" s="560"/>
      <c r="F454" s="559"/>
      <c r="G454" s="559" t="str">
        <f t="shared" si="42"/>
        <v/>
      </c>
      <c r="H454" s="559" t="str">
        <f t="shared" si="43"/>
        <v/>
      </c>
      <c r="I454" s="559" t="str">
        <f t="shared" si="44"/>
        <v/>
      </c>
    </row>
    <row r="455" spans="2:9">
      <c r="B455" s="555" t="str">
        <f t="shared" si="39"/>
        <v/>
      </c>
      <c r="C455" s="556" t="str">
        <f t="shared" si="40"/>
        <v/>
      </c>
      <c r="D455" s="557" t="str">
        <f t="shared" si="41"/>
        <v/>
      </c>
      <c r="E455" s="560"/>
      <c r="F455" s="559"/>
      <c r="G455" s="559" t="str">
        <f t="shared" si="42"/>
        <v/>
      </c>
      <c r="H455" s="559" t="str">
        <f t="shared" si="43"/>
        <v/>
      </c>
      <c r="I455" s="559" t="str">
        <f t="shared" si="44"/>
        <v/>
      </c>
    </row>
    <row r="456" spans="2:9">
      <c r="B456" s="555" t="str">
        <f t="shared" si="39"/>
        <v/>
      </c>
      <c r="C456" s="556" t="str">
        <f t="shared" si="40"/>
        <v/>
      </c>
      <c r="D456" s="557" t="str">
        <f t="shared" si="41"/>
        <v/>
      </c>
      <c r="E456" s="560"/>
      <c r="F456" s="559"/>
      <c r="G456" s="559" t="str">
        <f t="shared" si="42"/>
        <v/>
      </c>
      <c r="H456" s="559" t="str">
        <f t="shared" si="43"/>
        <v/>
      </c>
      <c r="I456" s="559" t="str">
        <f t="shared" si="44"/>
        <v/>
      </c>
    </row>
    <row r="457" spans="2:9">
      <c r="B457" s="555" t="str">
        <f t="shared" si="39"/>
        <v/>
      </c>
      <c r="C457" s="556" t="str">
        <f t="shared" si="40"/>
        <v/>
      </c>
      <c r="D457" s="557" t="str">
        <f t="shared" si="41"/>
        <v/>
      </c>
      <c r="E457" s="560"/>
      <c r="F457" s="559"/>
      <c r="G457" s="559" t="str">
        <f t="shared" si="42"/>
        <v/>
      </c>
      <c r="H457" s="559" t="str">
        <f t="shared" si="43"/>
        <v/>
      </c>
      <c r="I457" s="559" t="str">
        <f t="shared" si="44"/>
        <v/>
      </c>
    </row>
    <row r="458" spans="2:9">
      <c r="B458" s="555" t="str">
        <f t="shared" si="39"/>
        <v/>
      </c>
      <c r="C458" s="556" t="str">
        <f t="shared" si="40"/>
        <v/>
      </c>
      <c r="D458" s="557" t="str">
        <f t="shared" si="41"/>
        <v/>
      </c>
      <c r="E458" s="560"/>
      <c r="F458" s="559"/>
      <c r="G458" s="559" t="str">
        <f t="shared" si="42"/>
        <v/>
      </c>
      <c r="H458" s="559" t="str">
        <f t="shared" si="43"/>
        <v/>
      </c>
      <c r="I458" s="559" t="str">
        <f t="shared" si="44"/>
        <v/>
      </c>
    </row>
    <row r="459" spans="2:9">
      <c r="B459" s="555" t="str">
        <f t="shared" si="39"/>
        <v/>
      </c>
      <c r="C459" s="556" t="str">
        <f t="shared" si="40"/>
        <v/>
      </c>
      <c r="D459" s="557" t="str">
        <f t="shared" si="41"/>
        <v/>
      </c>
      <c r="E459" s="560"/>
      <c r="F459" s="559"/>
      <c r="G459" s="559" t="str">
        <f t="shared" si="42"/>
        <v/>
      </c>
      <c r="H459" s="559" t="str">
        <f t="shared" si="43"/>
        <v/>
      </c>
      <c r="I459" s="559" t="str">
        <f t="shared" si="44"/>
        <v/>
      </c>
    </row>
    <row r="460" spans="2:9">
      <c r="B460" s="555" t="str">
        <f t="shared" si="39"/>
        <v/>
      </c>
      <c r="C460" s="556" t="str">
        <f t="shared" si="40"/>
        <v/>
      </c>
      <c r="D460" s="557" t="str">
        <f t="shared" si="41"/>
        <v/>
      </c>
      <c r="E460" s="560"/>
      <c r="F460" s="559"/>
      <c r="G460" s="559" t="str">
        <f t="shared" si="42"/>
        <v/>
      </c>
      <c r="H460" s="559" t="str">
        <f t="shared" si="43"/>
        <v/>
      </c>
      <c r="I460" s="559" t="str">
        <f t="shared" si="44"/>
        <v/>
      </c>
    </row>
    <row r="461" spans="2:9">
      <c r="B461" s="555" t="str">
        <f t="shared" si="39"/>
        <v/>
      </c>
      <c r="C461" s="556" t="str">
        <f t="shared" si="40"/>
        <v/>
      </c>
      <c r="D461" s="557" t="str">
        <f t="shared" si="41"/>
        <v/>
      </c>
      <c r="E461" s="560"/>
      <c r="F461" s="559"/>
      <c r="G461" s="559" t="str">
        <f t="shared" si="42"/>
        <v/>
      </c>
      <c r="H461" s="559" t="str">
        <f t="shared" si="43"/>
        <v/>
      </c>
      <c r="I461" s="559" t="str">
        <f t="shared" si="44"/>
        <v/>
      </c>
    </row>
    <row r="462" spans="2:9">
      <c r="B462" s="555" t="str">
        <f t="shared" si="39"/>
        <v/>
      </c>
      <c r="C462" s="556" t="str">
        <f t="shared" si="40"/>
        <v/>
      </c>
      <c r="D462" s="557" t="str">
        <f t="shared" si="41"/>
        <v/>
      </c>
      <c r="E462" s="560"/>
      <c r="F462" s="559"/>
      <c r="G462" s="559" t="str">
        <f t="shared" si="42"/>
        <v/>
      </c>
      <c r="H462" s="559" t="str">
        <f t="shared" si="43"/>
        <v/>
      </c>
      <c r="I462" s="559" t="str">
        <f t="shared" si="44"/>
        <v/>
      </c>
    </row>
    <row r="463" spans="2:9">
      <c r="B463" s="555" t="str">
        <f t="shared" si="39"/>
        <v/>
      </c>
      <c r="C463" s="556" t="str">
        <f t="shared" si="40"/>
        <v/>
      </c>
      <c r="D463" s="557" t="str">
        <f t="shared" si="41"/>
        <v/>
      </c>
      <c r="E463" s="560"/>
      <c r="F463" s="559"/>
      <c r="G463" s="559" t="str">
        <f t="shared" si="42"/>
        <v/>
      </c>
      <c r="H463" s="559" t="str">
        <f t="shared" si="43"/>
        <v/>
      </c>
      <c r="I463" s="559" t="str">
        <f t="shared" si="44"/>
        <v/>
      </c>
    </row>
    <row r="464" spans="2:9">
      <c r="B464" s="555" t="str">
        <f t="shared" si="39"/>
        <v/>
      </c>
      <c r="C464" s="556" t="str">
        <f t="shared" si="40"/>
        <v/>
      </c>
      <c r="D464" s="557" t="str">
        <f t="shared" si="41"/>
        <v/>
      </c>
      <c r="E464" s="560"/>
      <c r="F464" s="559"/>
      <c r="G464" s="559" t="str">
        <f t="shared" si="42"/>
        <v/>
      </c>
      <c r="H464" s="559" t="str">
        <f t="shared" si="43"/>
        <v/>
      </c>
      <c r="I464" s="559" t="str">
        <f t="shared" si="44"/>
        <v/>
      </c>
    </row>
    <row r="465" spans="2:9">
      <c r="B465" s="555" t="str">
        <f t="shared" si="39"/>
        <v/>
      </c>
      <c r="C465" s="556" t="str">
        <f t="shared" si="40"/>
        <v/>
      </c>
      <c r="D465" s="557" t="str">
        <f t="shared" si="41"/>
        <v/>
      </c>
      <c r="E465" s="560"/>
      <c r="F465" s="559"/>
      <c r="G465" s="559" t="str">
        <f t="shared" si="42"/>
        <v/>
      </c>
      <c r="H465" s="559" t="str">
        <f t="shared" si="43"/>
        <v/>
      </c>
      <c r="I465" s="559" t="str">
        <f t="shared" si="44"/>
        <v/>
      </c>
    </row>
    <row r="466" spans="2:9">
      <c r="B466" s="555" t="str">
        <f t="shared" si="39"/>
        <v/>
      </c>
      <c r="C466" s="556" t="str">
        <f t="shared" si="40"/>
        <v/>
      </c>
      <c r="D466" s="557" t="str">
        <f t="shared" si="41"/>
        <v/>
      </c>
      <c r="E466" s="560"/>
      <c r="F466" s="559"/>
      <c r="G466" s="559" t="str">
        <f t="shared" si="42"/>
        <v/>
      </c>
      <c r="H466" s="559" t="str">
        <f t="shared" si="43"/>
        <v/>
      </c>
      <c r="I466" s="559" t="str">
        <f t="shared" si="44"/>
        <v/>
      </c>
    </row>
    <row r="467" spans="2:9">
      <c r="B467" s="555" t="str">
        <f t="shared" si="39"/>
        <v/>
      </c>
      <c r="C467" s="556" t="str">
        <f t="shared" si="40"/>
        <v/>
      </c>
      <c r="D467" s="557" t="str">
        <f t="shared" si="41"/>
        <v/>
      </c>
      <c r="E467" s="560"/>
      <c r="F467" s="559"/>
      <c r="G467" s="559" t="str">
        <f t="shared" si="42"/>
        <v/>
      </c>
      <c r="H467" s="559" t="str">
        <f t="shared" si="43"/>
        <v/>
      </c>
      <c r="I467" s="559" t="str">
        <f t="shared" si="44"/>
        <v/>
      </c>
    </row>
    <row r="468" spans="2:9">
      <c r="B468" s="555" t="str">
        <f t="shared" si="39"/>
        <v/>
      </c>
      <c r="C468" s="556" t="str">
        <f t="shared" si="40"/>
        <v/>
      </c>
      <c r="D468" s="557" t="str">
        <f t="shared" si="41"/>
        <v/>
      </c>
      <c r="E468" s="560"/>
      <c r="F468" s="559"/>
      <c r="G468" s="559" t="str">
        <f t="shared" si="42"/>
        <v/>
      </c>
      <c r="H468" s="559" t="str">
        <f t="shared" si="43"/>
        <v/>
      </c>
      <c r="I468" s="559" t="str">
        <f t="shared" si="44"/>
        <v/>
      </c>
    </row>
    <row r="469" spans="2:9">
      <c r="B469" s="555" t="str">
        <f t="shared" si="39"/>
        <v/>
      </c>
      <c r="C469" s="556" t="str">
        <f t="shared" si="40"/>
        <v/>
      </c>
      <c r="D469" s="557" t="str">
        <f t="shared" si="41"/>
        <v/>
      </c>
      <c r="E469" s="560"/>
      <c r="F469" s="559"/>
      <c r="G469" s="559" t="str">
        <f t="shared" si="42"/>
        <v/>
      </c>
      <c r="H469" s="559" t="str">
        <f t="shared" si="43"/>
        <v/>
      </c>
      <c r="I469" s="559" t="str">
        <f t="shared" si="44"/>
        <v/>
      </c>
    </row>
    <row r="470" spans="2:9">
      <c r="B470" s="555" t="str">
        <f t="shared" si="39"/>
        <v/>
      </c>
      <c r="C470" s="556" t="str">
        <f t="shared" si="40"/>
        <v/>
      </c>
      <c r="D470" s="557" t="str">
        <f t="shared" si="41"/>
        <v/>
      </c>
      <c r="E470" s="560"/>
      <c r="F470" s="559"/>
      <c r="G470" s="559" t="str">
        <f t="shared" si="42"/>
        <v/>
      </c>
      <c r="H470" s="559" t="str">
        <f t="shared" si="43"/>
        <v/>
      </c>
      <c r="I470" s="559" t="str">
        <f t="shared" si="44"/>
        <v/>
      </c>
    </row>
    <row r="471" spans="2:9">
      <c r="B471" s="555" t="str">
        <f t="shared" si="39"/>
        <v/>
      </c>
      <c r="C471" s="556" t="str">
        <f t="shared" si="40"/>
        <v/>
      </c>
      <c r="D471" s="557" t="str">
        <f t="shared" si="41"/>
        <v/>
      </c>
      <c r="E471" s="560"/>
      <c r="F471" s="559"/>
      <c r="G471" s="559" t="str">
        <f t="shared" si="42"/>
        <v/>
      </c>
      <c r="H471" s="559" t="str">
        <f t="shared" si="43"/>
        <v/>
      </c>
      <c r="I471" s="559" t="str">
        <f t="shared" si="44"/>
        <v/>
      </c>
    </row>
    <row r="472" spans="2:9">
      <c r="B472" s="555" t="str">
        <f t="shared" si="39"/>
        <v/>
      </c>
      <c r="C472" s="556" t="str">
        <f t="shared" si="40"/>
        <v/>
      </c>
      <c r="D472" s="557" t="str">
        <f t="shared" si="41"/>
        <v/>
      </c>
      <c r="E472" s="560"/>
      <c r="F472" s="559"/>
      <c r="G472" s="559" t="str">
        <f t="shared" si="42"/>
        <v/>
      </c>
      <c r="H472" s="559" t="str">
        <f t="shared" si="43"/>
        <v/>
      </c>
      <c r="I472" s="559" t="str">
        <f t="shared" si="44"/>
        <v/>
      </c>
    </row>
    <row r="473" spans="2:9">
      <c r="B473" s="555" t="str">
        <f t="shared" si="39"/>
        <v/>
      </c>
      <c r="C473" s="556" t="str">
        <f t="shared" si="40"/>
        <v/>
      </c>
      <c r="D473" s="557" t="str">
        <f t="shared" si="41"/>
        <v/>
      </c>
      <c r="E473" s="560"/>
      <c r="F473" s="559"/>
      <c r="G473" s="559" t="str">
        <f t="shared" si="42"/>
        <v/>
      </c>
      <c r="H473" s="559" t="str">
        <f t="shared" si="43"/>
        <v/>
      </c>
      <c r="I473" s="559" t="str">
        <f t="shared" si="44"/>
        <v/>
      </c>
    </row>
    <row r="474" spans="2:9">
      <c r="B474" s="555" t="str">
        <f t="shared" si="39"/>
        <v/>
      </c>
      <c r="C474" s="556" t="str">
        <f t="shared" si="40"/>
        <v/>
      </c>
      <c r="D474" s="557" t="str">
        <f t="shared" si="41"/>
        <v/>
      </c>
      <c r="E474" s="560"/>
      <c r="F474" s="559"/>
      <c r="G474" s="559" t="str">
        <f t="shared" si="42"/>
        <v/>
      </c>
      <c r="H474" s="559" t="str">
        <f t="shared" si="43"/>
        <v/>
      </c>
      <c r="I474" s="559" t="str">
        <f t="shared" si="44"/>
        <v/>
      </c>
    </row>
    <row r="475" spans="2:9">
      <c r="B475" s="555" t="str">
        <f t="shared" si="39"/>
        <v/>
      </c>
      <c r="C475" s="556" t="str">
        <f t="shared" si="40"/>
        <v/>
      </c>
      <c r="D475" s="557" t="str">
        <f t="shared" si="41"/>
        <v/>
      </c>
      <c r="E475" s="560"/>
      <c r="F475" s="559"/>
      <c r="G475" s="559" t="str">
        <f t="shared" si="42"/>
        <v/>
      </c>
      <c r="H475" s="559" t="str">
        <f t="shared" si="43"/>
        <v/>
      </c>
      <c r="I475" s="559" t="str">
        <f t="shared" si="44"/>
        <v/>
      </c>
    </row>
    <row r="476" spans="2:9">
      <c r="B476" s="555" t="str">
        <f t="shared" si="39"/>
        <v/>
      </c>
      <c r="C476" s="556" t="str">
        <f t="shared" si="40"/>
        <v/>
      </c>
      <c r="D476" s="557" t="str">
        <f t="shared" si="41"/>
        <v/>
      </c>
      <c r="E476" s="560"/>
      <c r="F476" s="559"/>
      <c r="G476" s="559" t="str">
        <f t="shared" si="42"/>
        <v/>
      </c>
      <c r="H476" s="559" t="str">
        <f t="shared" si="43"/>
        <v/>
      </c>
      <c r="I476" s="559" t="str">
        <f t="shared" si="44"/>
        <v/>
      </c>
    </row>
    <row r="477" spans="2:9">
      <c r="B477" s="555" t="str">
        <f t="shared" si="39"/>
        <v/>
      </c>
      <c r="C477" s="556" t="str">
        <f t="shared" si="40"/>
        <v/>
      </c>
      <c r="D477" s="557" t="str">
        <f t="shared" si="41"/>
        <v/>
      </c>
      <c r="E477" s="560"/>
      <c r="F477" s="559"/>
      <c r="G477" s="559" t="str">
        <f t="shared" si="42"/>
        <v/>
      </c>
      <c r="H477" s="559" t="str">
        <f t="shared" si="43"/>
        <v/>
      </c>
      <c r="I477" s="559" t="str">
        <f t="shared" si="44"/>
        <v/>
      </c>
    </row>
    <row r="478" spans="2:9">
      <c r="B478" s="555" t="str">
        <f t="shared" si="39"/>
        <v/>
      </c>
      <c r="C478" s="556" t="str">
        <f t="shared" si="40"/>
        <v/>
      </c>
      <c r="D478" s="557" t="str">
        <f t="shared" si="41"/>
        <v/>
      </c>
      <c r="E478" s="560"/>
      <c r="F478" s="559"/>
      <c r="G478" s="559" t="str">
        <f t="shared" si="42"/>
        <v/>
      </c>
      <c r="H478" s="559" t="str">
        <f t="shared" si="43"/>
        <v/>
      </c>
      <c r="I478" s="559" t="str">
        <f t="shared" si="44"/>
        <v/>
      </c>
    </row>
    <row r="479" spans="2:9">
      <c r="B479" s="555" t="str">
        <f t="shared" si="39"/>
        <v/>
      </c>
      <c r="C479" s="556" t="str">
        <f t="shared" si="40"/>
        <v/>
      </c>
      <c r="D479" s="557" t="str">
        <f t="shared" si="41"/>
        <v/>
      </c>
      <c r="E479" s="560"/>
      <c r="F479" s="559"/>
      <c r="G479" s="559" t="str">
        <f t="shared" si="42"/>
        <v/>
      </c>
      <c r="H479" s="559" t="str">
        <f t="shared" si="43"/>
        <v/>
      </c>
      <c r="I479" s="559" t="str">
        <f t="shared" si="44"/>
        <v/>
      </c>
    </row>
    <row r="480" spans="2:9">
      <c r="B480" s="555" t="str">
        <f t="shared" si="39"/>
        <v/>
      </c>
      <c r="C480" s="556" t="str">
        <f t="shared" si="40"/>
        <v/>
      </c>
      <c r="D480" s="557" t="str">
        <f t="shared" si="41"/>
        <v/>
      </c>
      <c r="E480" s="560"/>
      <c r="F480" s="559"/>
      <c r="G480" s="559" t="str">
        <f t="shared" si="42"/>
        <v/>
      </c>
      <c r="H480" s="559" t="str">
        <f t="shared" si="43"/>
        <v/>
      </c>
      <c r="I480" s="559" t="str">
        <f t="shared" si="44"/>
        <v/>
      </c>
    </row>
    <row r="481" spans="2:9">
      <c r="B481" s="555" t="str">
        <f t="shared" si="39"/>
        <v/>
      </c>
      <c r="C481" s="556" t="str">
        <f t="shared" si="40"/>
        <v/>
      </c>
      <c r="D481" s="557" t="str">
        <f t="shared" si="41"/>
        <v/>
      </c>
      <c r="E481" s="560"/>
      <c r="F481" s="559"/>
      <c r="G481" s="559" t="str">
        <f t="shared" si="42"/>
        <v/>
      </c>
      <c r="H481" s="559" t="str">
        <f t="shared" si="43"/>
        <v/>
      </c>
      <c r="I481" s="559" t="str">
        <f t="shared" si="44"/>
        <v/>
      </c>
    </row>
    <row r="482" spans="2:9">
      <c r="B482" s="555" t="str">
        <f t="shared" si="39"/>
        <v/>
      </c>
      <c r="C482" s="556" t="str">
        <f t="shared" si="40"/>
        <v/>
      </c>
      <c r="D482" s="557" t="str">
        <f t="shared" si="41"/>
        <v/>
      </c>
      <c r="E482" s="560"/>
      <c r="F482" s="559"/>
      <c r="G482" s="559" t="str">
        <f t="shared" si="42"/>
        <v/>
      </c>
      <c r="H482" s="559" t="str">
        <f t="shared" si="43"/>
        <v/>
      </c>
      <c r="I482" s="559" t="str">
        <f t="shared" si="44"/>
        <v/>
      </c>
    </row>
    <row r="483" spans="2:9">
      <c r="B483" s="555" t="str">
        <f t="shared" si="39"/>
        <v/>
      </c>
      <c r="C483" s="556" t="str">
        <f t="shared" si="40"/>
        <v/>
      </c>
      <c r="D483" s="557" t="str">
        <f t="shared" si="41"/>
        <v/>
      </c>
      <c r="E483" s="560"/>
      <c r="F483" s="559"/>
      <c r="G483" s="559" t="str">
        <f t="shared" si="42"/>
        <v/>
      </c>
      <c r="H483" s="559" t="str">
        <f t="shared" si="43"/>
        <v/>
      </c>
      <c r="I483" s="559" t="str">
        <f t="shared" si="44"/>
        <v/>
      </c>
    </row>
    <row r="484" spans="2:9">
      <c r="B484" s="555" t="str">
        <f t="shared" si="39"/>
        <v/>
      </c>
      <c r="C484" s="556" t="str">
        <f t="shared" si="40"/>
        <v/>
      </c>
      <c r="D484" s="557" t="str">
        <f t="shared" si="41"/>
        <v/>
      </c>
      <c r="E484" s="560"/>
      <c r="F484" s="559"/>
      <c r="G484" s="559" t="str">
        <f t="shared" si="42"/>
        <v/>
      </c>
      <c r="H484" s="559" t="str">
        <f t="shared" si="43"/>
        <v/>
      </c>
      <c r="I484" s="559" t="str">
        <f t="shared" si="44"/>
        <v/>
      </c>
    </row>
    <row r="485" spans="2:9">
      <c r="B485" s="555" t="str">
        <f t="shared" si="39"/>
        <v/>
      </c>
      <c r="C485" s="556" t="str">
        <f t="shared" si="40"/>
        <v/>
      </c>
      <c r="D485" s="557" t="str">
        <f t="shared" si="41"/>
        <v/>
      </c>
      <c r="E485" s="560"/>
      <c r="F485" s="559"/>
      <c r="G485" s="559" t="str">
        <f t="shared" si="42"/>
        <v/>
      </c>
      <c r="H485" s="559" t="str">
        <f t="shared" si="43"/>
        <v/>
      </c>
      <c r="I485" s="559" t="str">
        <f t="shared" si="44"/>
        <v/>
      </c>
    </row>
    <row r="486" spans="2:9">
      <c r="B486" s="555" t="str">
        <f t="shared" si="39"/>
        <v/>
      </c>
      <c r="C486" s="556" t="str">
        <f t="shared" si="40"/>
        <v/>
      </c>
      <c r="D486" s="557" t="str">
        <f t="shared" si="41"/>
        <v/>
      </c>
      <c r="E486" s="560"/>
      <c r="F486" s="559"/>
      <c r="G486" s="559" t="str">
        <f t="shared" si="42"/>
        <v/>
      </c>
      <c r="H486" s="559" t="str">
        <f t="shared" si="43"/>
        <v/>
      </c>
      <c r="I486" s="559" t="str">
        <f t="shared" si="44"/>
        <v/>
      </c>
    </row>
    <row r="487" spans="2:9">
      <c r="B487" s="555" t="str">
        <f t="shared" si="39"/>
        <v/>
      </c>
      <c r="C487" s="556" t="str">
        <f t="shared" si="40"/>
        <v/>
      </c>
      <c r="D487" s="557" t="str">
        <f t="shared" si="41"/>
        <v/>
      </c>
      <c r="E487" s="560"/>
      <c r="F487" s="559"/>
      <c r="G487" s="559" t="str">
        <f t="shared" si="42"/>
        <v/>
      </c>
      <c r="H487" s="559" t="str">
        <f t="shared" si="43"/>
        <v/>
      </c>
      <c r="I487" s="559" t="str">
        <f t="shared" si="44"/>
        <v/>
      </c>
    </row>
    <row r="488" spans="2:9">
      <c r="B488" s="555" t="str">
        <f t="shared" si="39"/>
        <v/>
      </c>
      <c r="C488" s="556" t="str">
        <f t="shared" si="40"/>
        <v/>
      </c>
      <c r="D488" s="557" t="str">
        <f t="shared" si="41"/>
        <v/>
      </c>
      <c r="E488" s="560"/>
      <c r="F488" s="559"/>
      <c r="G488" s="559" t="str">
        <f t="shared" si="42"/>
        <v/>
      </c>
      <c r="H488" s="559" t="str">
        <f t="shared" si="43"/>
        <v/>
      </c>
      <c r="I488" s="559" t="str">
        <f t="shared" si="44"/>
        <v/>
      </c>
    </row>
    <row r="489" spans="2:9">
      <c r="B489" s="555" t="str">
        <f t="shared" si="39"/>
        <v/>
      </c>
      <c r="C489" s="556" t="str">
        <f t="shared" si="40"/>
        <v/>
      </c>
      <c r="D489" s="557" t="str">
        <f t="shared" si="41"/>
        <v/>
      </c>
      <c r="E489" s="560"/>
      <c r="F489" s="559"/>
      <c r="G489" s="559" t="str">
        <f t="shared" si="42"/>
        <v/>
      </c>
      <c r="H489" s="559" t="str">
        <f t="shared" si="43"/>
        <v/>
      </c>
      <c r="I489" s="559" t="str">
        <f t="shared" si="44"/>
        <v/>
      </c>
    </row>
    <row r="490" spans="2:9">
      <c r="B490" s="555" t="str">
        <f t="shared" si="39"/>
        <v/>
      </c>
      <c r="C490" s="556" t="str">
        <f t="shared" si="40"/>
        <v/>
      </c>
      <c r="D490" s="557" t="str">
        <f t="shared" si="41"/>
        <v/>
      </c>
      <c r="E490" s="560"/>
      <c r="F490" s="559"/>
      <c r="G490" s="559" t="str">
        <f t="shared" si="42"/>
        <v/>
      </c>
      <c r="H490" s="559" t="str">
        <f t="shared" si="43"/>
        <v/>
      </c>
      <c r="I490" s="559" t="str">
        <f t="shared" si="44"/>
        <v/>
      </c>
    </row>
    <row r="491" spans="2:9">
      <c r="B491" s="555" t="str">
        <f t="shared" si="39"/>
        <v/>
      </c>
      <c r="C491" s="556" t="str">
        <f t="shared" si="40"/>
        <v/>
      </c>
      <c r="D491" s="557" t="str">
        <f t="shared" si="41"/>
        <v/>
      </c>
      <c r="E491" s="560"/>
      <c r="F491" s="559"/>
      <c r="G491" s="559" t="str">
        <f t="shared" si="42"/>
        <v/>
      </c>
      <c r="H491" s="559" t="str">
        <f t="shared" si="43"/>
        <v/>
      </c>
      <c r="I491" s="559" t="str">
        <f t="shared" si="44"/>
        <v/>
      </c>
    </row>
    <row r="492" spans="2:9">
      <c r="B492" s="555" t="str">
        <f t="shared" si="39"/>
        <v/>
      </c>
      <c r="C492" s="556" t="str">
        <f t="shared" si="40"/>
        <v/>
      </c>
      <c r="D492" s="557" t="str">
        <f t="shared" si="41"/>
        <v/>
      </c>
      <c r="E492" s="560"/>
      <c r="F492" s="559"/>
      <c r="G492" s="559" t="str">
        <f t="shared" si="42"/>
        <v/>
      </c>
      <c r="H492" s="559" t="str">
        <f t="shared" si="43"/>
        <v/>
      </c>
      <c r="I492" s="559" t="str">
        <f t="shared" si="44"/>
        <v/>
      </c>
    </row>
    <row r="493" spans="2:9">
      <c r="B493" s="555" t="str">
        <f t="shared" si="39"/>
        <v/>
      </c>
      <c r="C493" s="556" t="str">
        <f t="shared" si="40"/>
        <v/>
      </c>
      <c r="D493" s="557" t="str">
        <f t="shared" si="41"/>
        <v/>
      </c>
      <c r="E493" s="560"/>
      <c r="F493" s="559"/>
      <c r="G493" s="559" t="str">
        <f t="shared" si="42"/>
        <v/>
      </c>
      <c r="H493" s="559" t="str">
        <f t="shared" si="43"/>
        <v/>
      </c>
      <c r="I493" s="559" t="str">
        <f t="shared" si="44"/>
        <v/>
      </c>
    </row>
    <row r="494" spans="2:9">
      <c r="B494" s="555" t="str">
        <f t="shared" si="39"/>
        <v/>
      </c>
      <c r="C494" s="556" t="str">
        <f t="shared" si="40"/>
        <v/>
      </c>
      <c r="D494" s="557" t="str">
        <f t="shared" si="41"/>
        <v/>
      </c>
      <c r="E494" s="560"/>
      <c r="F494" s="559"/>
      <c r="G494" s="559" t="str">
        <f t="shared" si="42"/>
        <v/>
      </c>
      <c r="H494" s="559" t="str">
        <f t="shared" si="43"/>
        <v/>
      </c>
      <c r="I494" s="559" t="str">
        <f t="shared" si="44"/>
        <v/>
      </c>
    </row>
    <row r="495" spans="2:9">
      <c r="B495" s="555" t="str">
        <f t="shared" si="39"/>
        <v/>
      </c>
      <c r="C495" s="556" t="str">
        <f t="shared" si="40"/>
        <v/>
      </c>
      <c r="D495" s="557" t="str">
        <f t="shared" si="41"/>
        <v/>
      </c>
      <c r="E495" s="560"/>
      <c r="F495" s="559"/>
      <c r="G495" s="559" t="str">
        <f t="shared" si="42"/>
        <v/>
      </c>
      <c r="H495" s="559" t="str">
        <f t="shared" si="43"/>
        <v/>
      </c>
      <c r="I495" s="559" t="str">
        <f t="shared" si="44"/>
        <v/>
      </c>
    </row>
    <row r="496" spans="2:9">
      <c r="B496" s="555" t="str">
        <f t="shared" si="39"/>
        <v/>
      </c>
      <c r="C496" s="556" t="str">
        <f t="shared" si="40"/>
        <v/>
      </c>
      <c r="D496" s="557" t="str">
        <f t="shared" si="41"/>
        <v/>
      </c>
      <c r="E496" s="560"/>
      <c r="F496" s="559"/>
      <c r="G496" s="559" t="str">
        <f t="shared" si="42"/>
        <v/>
      </c>
      <c r="H496" s="559" t="str">
        <f t="shared" si="43"/>
        <v/>
      </c>
      <c r="I496" s="559" t="str">
        <f t="shared" si="44"/>
        <v/>
      </c>
    </row>
    <row r="497" spans="2:9">
      <c r="B497" s="555" t="str">
        <f t="shared" si="39"/>
        <v/>
      </c>
      <c r="C497" s="556" t="str">
        <f t="shared" si="40"/>
        <v/>
      </c>
      <c r="D497" s="557" t="str">
        <f t="shared" si="41"/>
        <v/>
      </c>
      <c r="E497" s="560"/>
      <c r="F497" s="559"/>
      <c r="G497" s="559" t="str">
        <f t="shared" si="42"/>
        <v/>
      </c>
      <c r="H497" s="559" t="str">
        <f t="shared" si="43"/>
        <v/>
      </c>
      <c r="I497" s="559" t="str">
        <f t="shared" si="44"/>
        <v/>
      </c>
    </row>
    <row r="498" spans="2:9">
      <c r="B498" s="555" t="str">
        <f t="shared" si="39"/>
        <v/>
      </c>
      <c r="C498" s="556" t="str">
        <f t="shared" si="40"/>
        <v/>
      </c>
      <c r="D498" s="557" t="str">
        <f t="shared" si="41"/>
        <v/>
      </c>
      <c r="E498" s="560"/>
      <c r="F498" s="559"/>
      <c r="G498" s="559" t="str">
        <f t="shared" si="42"/>
        <v/>
      </c>
      <c r="H498" s="559" t="str">
        <f t="shared" si="43"/>
        <v/>
      </c>
      <c r="I498" s="559" t="str">
        <f t="shared" si="44"/>
        <v/>
      </c>
    </row>
    <row r="499" spans="2:9">
      <c r="B499" s="555" t="str">
        <f t="shared" si="39"/>
        <v/>
      </c>
      <c r="C499" s="556" t="str">
        <f t="shared" si="40"/>
        <v/>
      </c>
      <c r="D499" s="557" t="str">
        <f t="shared" si="41"/>
        <v/>
      </c>
      <c r="E499" s="560"/>
      <c r="F499" s="559"/>
      <c r="G499" s="559" t="str">
        <f t="shared" si="42"/>
        <v/>
      </c>
      <c r="H499" s="559" t="str">
        <f t="shared" si="43"/>
        <v/>
      </c>
      <c r="I499" s="559" t="str">
        <f t="shared" si="44"/>
        <v/>
      </c>
    </row>
    <row r="500" spans="2:9">
      <c r="B500" s="555" t="str">
        <f t="shared" si="39"/>
        <v/>
      </c>
      <c r="C500" s="556" t="str">
        <f t="shared" si="40"/>
        <v/>
      </c>
      <c r="D500" s="557" t="str">
        <f t="shared" si="41"/>
        <v/>
      </c>
      <c r="E500" s="560"/>
      <c r="F500" s="559"/>
      <c r="G500" s="559" t="str">
        <f t="shared" si="42"/>
        <v/>
      </c>
      <c r="H500" s="559" t="str">
        <f t="shared" si="43"/>
        <v/>
      </c>
      <c r="I500" s="559" t="str">
        <f t="shared" si="44"/>
        <v/>
      </c>
    </row>
    <row r="501" spans="2:9">
      <c r="B501" s="555" t="str">
        <f t="shared" si="39"/>
        <v/>
      </c>
      <c r="C501" s="556" t="str">
        <f t="shared" si="40"/>
        <v/>
      </c>
      <c r="D501" s="557" t="str">
        <f t="shared" si="41"/>
        <v/>
      </c>
      <c r="E501" s="560"/>
      <c r="F501" s="559"/>
      <c r="G501" s="559" t="str">
        <f t="shared" si="42"/>
        <v/>
      </c>
      <c r="H501" s="559" t="str">
        <f t="shared" si="43"/>
        <v/>
      </c>
      <c r="I501" s="559" t="str">
        <f t="shared" si="44"/>
        <v/>
      </c>
    </row>
    <row r="502" spans="2:9">
      <c r="B502" s="555" t="str">
        <f t="shared" si="39"/>
        <v/>
      </c>
      <c r="C502" s="556" t="str">
        <f t="shared" si="40"/>
        <v/>
      </c>
      <c r="D502" s="557" t="str">
        <f t="shared" si="41"/>
        <v/>
      </c>
      <c r="E502" s="560"/>
      <c r="F502" s="559"/>
      <c r="G502" s="559" t="str">
        <f t="shared" si="42"/>
        <v/>
      </c>
      <c r="H502" s="559" t="str">
        <f t="shared" si="43"/>
        <v/>
      </c>
      <c r="I502" s="559" t="str">
        <f t="shared" si="44"/>
        <v/>
      </c>
    </row>
    <row r="503" spans="2:9">
      <c r="B503" s="555" t="str">
        <f t="shared" si="39"/>
        <v/>
      </c>
      <c r="C503" s="556" t="str">
        <f t="shared" si="40"/>
        <v/>
      </c>
      <c r="D503" s="557" t="str">
        <f t="shared" si="41"/>
        <v/>
      </c>
      <c r="E503" s="560"/>
      <c r="F503" s="559"/>
      <c r="G503" s="559" t="str">
        <f t="shared" si="42"/>
        <v/>
      </c>
      <c r="H503" s="559" t="str">
        <f t="shared" si="43"/>
        <v/>
      </c>
      <c r="I503" s="559" t="str">
        <f t="shared" si="44"/>
        <v/>
      </c>
    </row>
    <row r="504" spans="2:9">
      <c r="B504" s="555" t="str">
        <f t="shared" si="39"/>
        <v/>
      </c>
      <c r="C504" s="556" t="str">
        <f t="shared" si="40"/>
        <v/>
      </c>
      <c r="D504" s="557" t="str">
        <f t="shared" si="41"/>
        <v/>
      </c>
      <c r="E504" s="560"/>
      <c r="F504" s="559"/>
      <c r="G504" s="559" t="str">
        <f t="shared" si="42"/>
        <v/>
      </c>
      <c r="H504" s="559" t="str">
        <f t="shared" si="43"/>
        <v/>
      </c>
      <c r="I504" s="559" t="str">
        <f t="shared" si="44"/>
        <v/>
      </c>
    </row>
    <row r="505" spans="2:9">
      <c r="B505" s="555" t="str">
        <f t="shared" si="39"/>
        <v/>
      </c>
      <c r="C505" s="556" t="str">
        <f t="shared" si="40"/>
        <v/>
      </c>
      <c r="D505" s="557" t="str">
        <f t="shared" si="41"/>
        <v/>
      </c>
      <c r="E505" s="560"/>
      <c r="F505" s="559"/>
      <c r="G505" s="559" t="str">
        <f t="shared" si="42"/>
        <v/>
      </c>
      <c r="H505" s="559" t="str">
        <f t="shared" si="43"/>
        <v/>
      </c>
      <c r="I505" s="559" t="str">
        <f t="shared" si="44"/>
        <v/>
      </c>
    </row>
    <row r="506" spans="2:9">
      <c r="B506" s="555" t="str">
        <f t="shared" si="39"/>
        <v/>
      </c>
      <c r="C506" s="556" t="str">
        <f t="shared" si="40"/>
        <v/>
      </c>
      <c r="D506" s="557" t="str">
        <f t="shared" si="41"/>
        <v/>
      </c>
      <c r="E506" s="560"/>
      <c r="F506" s="559"/>
      <c r="G506" s="559" t="str">
        <f t="shared" si="42"/>
        <v/>
      </c>
      <c r="H506" s="559" t="str">
        <f t="shared" si="43"/>
        <v/>
      </c>
      <c r="I506" s="559" t="str">
        <f t="shared" si="44"/>
        <v/>
      </c>
    </row>
    <row r="507" spans="2:9">
      <c r="B507" s="555" t="str">
        <f t="shared" si="39"/>
        <v/>
      </c>
      <c r="C507" s="556" t="str">
        <f t="shared" si="40"/>
        <v/>
      </c>
      <c r="D507" s="557" t="str">
        <f t="shared" si="41"/>
        <v/>
      </c>
      <c r="E507" s="560"/>
      <c r="F507" s="559"/>
      <c r="G507" s="559" t="str">
        <f t="shared" si="42"/>
        <v/>
      </c>
      <c r="H507" s="559" t="str">
        <f t="shared" si="43"/>
        <v/>
      </c>
      <c r="I507" s="559" t="str">
        <f t="shared" si="44"/>
        <v/>
      </c>
    </row>
    <row r="508" spans="2:9">
      <c r="B508" s="555" t="str">
        <f t="shared" si="39"/>
        <v/>
      </c>
      <c r="C508" s="556" t="str">
        <f t="shared" si="40"/>
        <v/>
      </c>
      <c r="D508" s="557" t="str">
        <f t="shared" si="41"/>
        <v/>
      </c>
      <c r="E508" s="560"/>
      <c r="F508" s="559"/>
      <c r="G508" s="559" t="str">
        <f t="shared" si="42"/>
        <v/>
      </c>
      <c r="H508" s="559" t="str">
        <f t="shared" si="43"/>
        <v/>
      </c>
      <c r="I508" s="559" t="str">
        <f t="shared" si="44"/>
        <v/>
      </c>
    </row>
    <row r="509" spans="2:9">
      <c r="B509" s="555" t="str">
        <f t="shared" ref="B509:B572" si="45">IF(I508="","",IF(roundOpt,IF(OR(B508&gt;=nper,ROUND(I508,2)&lt;=0),"",B508+1),IF(OR(B508&gt;=nper,I508&lt;=0),"",B508+1)))</f>
        <v/>
      </c>
      <c r="C509" s="556" t="str">
        <f t="shared" ref="C509:C572" si="46">IF(B509="","",IF(OR(periods_per_year=26,periods_per_year=52),IF(periods_per_year=26,IF(B509=1,fpdate,C508+14),IF(periods_per_year=52,IF(B509=1,fpdate,C508+7),"n/a")),IF(periods_per_year=24,DATE(YEAR(fpdate),MONTH(fpdate)+(B509-1)/2+IF(AND(DAY(fpdate)&gt;=15,MOD(B509,2)=0),1,0),IF(MOD(B509,2)=0,IF(DAY(fpdate)&gt;=15,DAY(fpdate)-14,DAY(fpdate)+14),DAY(fpdate))),IF(DAY(DATE(YEAR(fpdate),MONTH(fpdate)+(B509-1)*months_per_period,DAY(fpdate)))&lt;&gt;DAY(fpdate),DATE(YEAR(fpdate),MONTH(fpdate)+(B509-1)*months_per_period+1,0),DATE(YEAR(fpdate),MONTH(fpdate)+(B509-1)*months_per_period,DAY(fpdate))))))</f>
        <v/>
      </c>
      <c r="D509" s="557" t="str">
        <f t="shared" ref="D509:D572" si="47">IF(B509="","",IF(roundOpt,IF(OR(B509=nper,payment&gt;ROUND((1+rate)*I508,2)),ROUND((1+rate)*I508,2),payment),IF(OR(B509=nper,payment&gt;(1+rate)*I508),(1+rate)*I508,payment)))</f>
        <v/>
      </c>
      <c r="E509" s="560"/>
      <c r="F509" s="559"/>
      <c r="G509" s="559" t="str">
        <f t="shared" ref="G509:G572" si="48">IF(B509="","",IF(AND(B509=1,pmtType=1),0,IF(roundOpt,ROUND(rate*I508,2),rate*I508)))</f>
        <v/>
      </c>
      <c r="H509" s="559" t="str">
        <f t="shared" ref="H509:H572" si="49">IF(B509="","",D509-G509+E509)</f>
        <v/>
      </c>
      <c r="I509" s="559" t="str">
        <f t="shared" ref="I509:I572" si="50">IF(B509="","",I508-H509)</f>
        <v/>
      </c>
    </row>
    <row r="510" spans="2:9">
      <c r="B510" s="555" t="str">
        <f t="shared" si="45"/>
        <v/>
      </c>
      <c r="C510" s="556" t="str">
        <f t="shared" si="46"/>
        <v/>
      </c>
      <c r="D510" s="557" t="str">
        <f t="shared" si="47"/>
        <v/>
      </c>
      <c r="E510" s="560"/>
      <c r="F510" s="559"/>
      <c r="G510" s="559" t="str">
        <f t="shared" si="48"/>
        <v/>
      </c>
      <c r="H510" s="559" t="str">
        <f t="shared" si="49"/>
        <v/>
      </c>
      <c r="I510" s="559" t="str">
        <f t="shared" si="50"/>
        <v/>
      </c>
    </row>
    <row r="511" spans="2:9">
      <c r="B511" s="555" t="str">
        <f t="shared" si="45"/>
        <v/>
      </c>
      <c r="C511" s="556" t="str">
        <f t="shared" si="46"/>
        <v/>
      </c>
      <c r="D511" s="557" t="str">
        <f t="shared" si="47"/>
        <v/>
      </c>
      <c r="E511" s="560"/>
      <c r="F511" s="559"/>
      <c r="G511" s="559" t="str">
        <f t="shared" si="48"/>
        <v/>
      </c>
      <c r="H511" s="559" t="str">
        <f t="shared" si="49"/>
        <v/>
      </c>
      <c r="I511" s="559" t="str">
        <f t="shared" si="50"/>
        <v/>
      </c>
    </row>
    <row r="512" spans="2:9">
      <c r="B512" s="555" t="str">
        <f t="shared" si="45"/>
        <v/>
      </c>
      <c r="C512" s="556" t="str">
        <f t="shared" si="46"/>
        <v/>
      </c>
      <c r="D512" s="557" t="str">
        <f t="shared" si="47"/>
        <v/>
      </c>
      <c r="E512" s="560"/>
      <c r="F512" s="559"/>
      <c r="G512" s="559" t="str">
        <f t="shared" si="48"/>
        <v/>
      </c>
      <c r="H512" s="559" t="str">
        <f t="shared" si="49"/>
        <v/>
      </c>
      <c r="I512" s="559" t="str">
        <f t="shared" si="50"/>
        <v/>
      </c>
    </row>
    <row r="513" spans="2:9">
      <c r="B513" s="555" t="str">
        <f t="shared" si="45"/>
        <v/>
      </c>
      <c r="C513" s="556" t="str">
        <f t="shared" si="46"/>
        <v/>
      </c>
      <c r="D513" s="557" t="str">
        <f t="shared" si="47"/>
        <v/>
      </c>
      <c r="E513" s="560"/>
      <c r="F513" s="559"/>
      <c r="G513" s="559" t="str">
        <f t="shared" si="48"/>
        <v/>
      </c>
      <c r="H513" s="559" t="str">
        <f t="shared" si="49"/>
        <v/>
      </c>
      <c r="I513" s="559" t="str">
        <f t="shared" si="50"/>
        <v/>
      </c>
    </row>
    <row r="514" spans="2:9">
      <c r="B514" s="555" t="str">
        <f t="shared" si="45"/>
        <v/>
      </c>
      <c r="C514" s="556" t="str">
        <f t="shared" si="46"/>
        <v/>
      </c>
      <c r="D514" s="557" t="str">
        <f t="shared" si="47"/>
        <v/>
      </c>
      <c r="E514" s="560"/>
      <c r="F514" s="559"/>
      <c r="G514" s="559" t="str">
        <f t="shared" si="48"/>
        <v/>
      </c>
      <c r="H514" s="559" t="str">
        <f t="shared" si="49"/>
        <v/>
      </c>
      <c r="I514" s="559" t="str">
        <f t="shared" si="50"/>
        <v/>
      </c>
    </row>
    <row r="515" spans="2:9">
      <c r="B515" s="555" t="str">
        <f t="shared" si="45"/>
        <v/>
      </c>
      <c r="C515" s="556" t="str">
        <f t="shared" si="46"/>
        <v/>
      </c>
      <c r="D515" s="557" t="str">
        <f t="shared" si="47"/>
        <v/>
      </c>
      <c r="E515" s="560"/>
      <c r="F515" s="559"/>
      <c r="G515" s="559" t="str">
        <f t="shared" si="48"/>
        <v/>
      </c>
      <c r="H515" s="559" t="str">
        <f t="shared" si="49"/>
        <v/>
      </c>
      <c r="I515" s="559" t="str">
        <f t="shared" si="50"/>
        <v/>
      </c>
    </row>
    <row r="516" spans="2:9">
      <c r="B516" s="555" t="str">
        <f t="shared" si="45"/>
        <v/>
      </c>
      <c r="C516" s="556" t="str">
        <f t="shared" si="46"/>
        <v/>
      </c>
      <c r="D516" s="557" t="str">
        <f t="shared" si="47"/>
        <v/>
      </c>
      <c r="E516" s="560"/>
      <c r="F516" s="559"/>
      <c r="G516" s="559" t="str">
        <f t="shared" si="48"/>
        <v/>
      </c>
      <c r="H516" s="559" t="str">
        <f t="shared" si="49"/>
        <v/>
      </c>
      <c r="I516" s="559" t="str">
        <f t="shared" si="50"/>
        <v/>
      </c>
    </row>
    <row r="517" spans="2:9">
      <c r="B517" s="555" t="str">
        <f t="shared" si="45"/>
        <v/>
      </c>
      <c r="C517" s="556" t="str">
        <f t="shared" si="46"/>
        <v/>
      </c>
      <c r="D517" s="557" t="str">
        <f t="shared" si="47"/>
        <v/>
      </c>
      <c r="E517" s="560"/>
      <c r="F517" s="559"/>
      <c r="G517" s="559" t="str">
        <f t="shared" si="48"/>
        <v/>
      </c>
      <c r="H517" s="559" t="str">
        <f t="shared" si="49"/>
        <v/>
      </c>
      <c r="I517" s="559" t="str">
        <f t="shared" si="50"/>
        <v/>
      </c>
    </row>
    <row r="518" spans="2:9">
      <c r="B518" s="555" t="str">
        <f t="shared" si="45"/>
        <v/>
      </c>
      <c r="C518" s="556" t="str">
        <f t="shared" si="46"/>
        <v/>
      </c>
      <c r="D518" s="557" t="str">
        <f t="shared" si="47"/>
        <v/>
      </c>
      <c r="E518" s="560"/>
      <c r="F518" s="559"/>
      <c r="G518" s="559" t="str">
        <f t="shared" si="48"/>
        <v/>
      </c>
      <c r="H518" s="559" t="str">
        <f t="shared" si="49"/>
        <v/>
      </c>
      <c r="I518" s="559" t="str">
        <f t="shared" si="50"/>
        <v/>
      </c>
    </row>
    <row r="519" spans="2:9">
      <c r="B519" s="555" t="str">
        <f t="shared" si="45"/>
        <v/>
      </c>
      <c r="C519" s="556" t="str">
        <f t="shared" si="46"/>
        <v/>
      </c>
      <c r="D519" s="557" t="str">
        <f t="shared" si="47"/>
        <v/>
      </c>
      <c r="E519" s="560"/>
      <c r="F519" s="559"/>
      <c r="G519" s="559" t="str">
        <f t="shared" si="48"/>
        <v/>
      </c>
      <c r="H519" s="559" t="str">
        <f t="shared" si="49"/>
        <v/>
      </c>
      <c r="I519" s="559" t="str">
        <f t="shared" si="50"/>
        <v/>
      </c>
    </row>
    <row r="520" spans="2:9">
      <c r="B520" s="555" t="str">
        <f t="shared" si="45"/>
        <v/>
      </c>
      <c r="C520" s="556" t="str">
        <f t="shared" si="46"/>
        <v/>
      </c>
      <c r="D520" s="557" t="str">
        <f t="shared" si="47"/>
        <v/>
      </c>
      <c r="E520" s="560"/>
      <c r="F520" s="559"/>
      <c r="G520" s="559" t="str">
        <f t="shared" si="48"/>
        <v/>
      </c>
      <c r="H520" s="559" t="str">
        <f t="shared" si="49"/>
        <v/>
      </c>
      <c r="I520" s="559" t="str">
        <f t="shared" si="50"/>
        <v/>
      </c>
    </row>
    <row r="521" spans="2:9">
      <c r="B521" s="555" t="str">
        <f t="shared" si="45"/>
        <v/>
      </c>
      <c r="C521" s="556" t="str">
        <f t="shared" si="46"/>
        <v/>
      </c>
      <c r="D521" s="557" t="str">
        <f t="shared" si="47"/>
        <v/>
      </c>
      <c r="E521" s="560"/>
      <c r="F521" s="559"/>
      <c r="G521" s="559" t="str">
        <f t="shared" si="48"/>
        <v/>
      </c>
      <c r="H521" s="559" t="str">
        <f t="shared" si="49"/>
        <v/>
      </c>
      <c r="I521" s="559" t="str">
        <f t="shared" si="50"/>
        <v/>
      </c>
    </row>
    <row r="522" spans="2:9">
      <c r="B522" s="555" t="str">
        <f t="shared" si="45"/>
        <v/>
      </c>
      <c r="C522" s="556" t="str">
        <f t="shared" si="46"/>
        <v/>
      </c>
      <c r="D522" s="557" t="str">
        <f t="shared" si="47"/>
        <v/>
      </c>
      <c r="E522" s="560"/>
      <c r="F522" s="559"/>
      <c r="G522" s="559" t="str">
        <f t="shared" si="48"/>
        <v/>
      </c>
      <c r="H522" s="559" t="str">
        <f t="shared" si="49"/>
        <v/>
      </c>
      <c r="I522" s="559" t="str">
        <f t="shared" si="50"/>
        <v/>
      </c>
    </row>
    <row r="523" spans="2:9">
      <c r="B523" s="555" t="str">
        <f t="shared" si="45"/>
        <v/>
      </c>
      <c r="C523" s="556" t="str">
        <f t="shared" si="46"/>
        <v/>
      </c>
      <c r="D523" s="557" t="str">
        <f t="shared" si="47"/>
        <v/>
      </c>
      <c r="E523" s="560"/>
      <c r="F523" s="559"/>
      <c r="G523" s="559" t="str">
        <f t="shared" si="48"/>
        <v/>
      </c>
      <c r="H523" s="559" t="str">
        <f t="shared" si="49"/>
        <v/>
      </c>
      <c r="I523" s="559" t="str">
        <f t="shared" si="50"/>
        <v/>
      </c>
    </row>
    <row r="524" spans="2:9">
      <c r="B524" s="555" t="str">
        <f t="shared" si="45"/>
        <v/>
      </c>
      <c r="C524" s="556" t="str">
        <f t="shared" si="46"/>
        <v/>
      </c>
      <c r="D524" s="557" t="str">
        <f t="shared" si="47"/>
        <v/>
      </c>
      <c r="E524" s="560"/>
      <c r="F524" s="559"/>
      <c r="G524" s="559" t="str">
        <f t="shared" si="48"/>
        <v/>
      </c>
      <c r="H524" s="559" t="str">
        <f t="shared" si="49"/>
        <v/>
      </c>
      <c r="I524" s="559" t="str">
        <f t="shared" si="50"/>
        <v/>
      </c>
    </row>
    <row r="525" spans="2:9">
      <c r="B525" s="555" t="str">
        <f t="shared" si="45"/>
        <v/>
      </c>
      <c r="C525" s="556" t="str">
        <f t="shared" si="46"/>
        <v/>
      </c>
      <c r="D525" s="557" t="str">
        <f t="shared" si="47"/>
        <v/>
      </c>
      <c r="E525" s="560"/>
      <c r="F525" s="559"/>
      <c r="G525" s="559" t="str">
        <f t="shared" si="48"/>
        <v/>
      </c>
      <c r="H525" s="559" t="str">
        <f t="shared" si="49"/>
        <v/>
      </c>
      <c r="I525" s="559" t="str">
        <f t="shared" si="50"/>
        <v/>
      </c>
    </row>
    <row r="526" spans="2:9">
      <c r="B526" s="555" t="str">
        <f t="shared" si="45"/>
        <v/>
      </c>
      <c r="C526" s="556" t="str">
        <f t="shared" si="46"/>
        <v/>
      </c>
      <c r="D526" s="557" t="str">
        <f t="shared" si="47"/>
        <v/>
      </c>
      <c r="E526" s="560"/>
      <c r="F526" s="559"/>
      <c r="G526" s="559" t="str">
        <f t="shared" si="48"/>
        <v/>
      </c>
      <c r="H526" s="559" t="str">
        <f t="shared" si="49"/>
        <v/>
      </c>
      <c r="I526" s="559" t="str">
        <f t="shared" si="50"/>
        <v/>
      </c>
    </row>
    <row r="527" spans="2:9">
      <c r="B527" s="555" t="str">
        <f t="shared" si="45"/>
        <v/>
      </c>
      <c r="C527" s="556" t="str">
        <f t="shared" si="46"/>
        <v/>
      </c>
      <c r="D527" s="557" t="str">
        <f t="shared" si="47"/>
        <v/>
      </c>
      <c r="E527" s="560"/>
      <c r="F527" s="559"/>
      <c r="G527" s="559" t="str">
        <f t="shared" si="48"/>
        <v/>
      </c>
      <c r="H527" s="559" t="str">
        <f t="shared" si="49"/>
        <v/>
      </c>
      <c r="I527" s="559" t="str">
        <f t="shared" si="50"/>
        <v/>
      </c>
    </row>
    <row r="528" spans="2:9">
      <c r="B528" s="555" t="str">
        <f t="shared" si="45"/>
        <v/>
      </c>
      <c r="C528" s="556" t="str">
        <f t="shared" si="46"/>
        <v/>
      </c>
      <c r="D528" s="557" t="str">
        <f t="shared" si="47"/>
        <v/>
      </c>
      <c r="E528" s="560"/>
      <c r="F528" s="559"/>
      <c r="G528" s="559" t="str">
        <f t="shared" si="48"/>
        <v/>
      </c>
      <c r="H528" s="559" t="str">
        <f t="shared" si="49"/>
        <v/>
      </c>
      <c r="I528" s="559" t="str">
        <f t="shared" si="50"/>
        <v/>
      </c>
    </row>
    <row r="529" spans="2:9">
      <c r="B529" s="555" t="str">
        <f t="shared" si="45"/>
        <v/>
      </c>
      <c r="C529" s="556" t="str">
        <f t="shared" si="46"/>
        <v/>
      </c>
      <c r="D529" s="557" t="str">
        <f t="shared" si="47"/>
        <v/>
      </c>
      <c r="E529" s="560"/>
      <c r="F529" s="559"/>
      <c r="G529" s="559" t="str">
        <f t="shared" si="48"/>
        <v/>
      </c>
      <c r="H529" s="559" t="str">
        <f t="shared" si="49"/>
        <v/>
      </c>
      <c r="I529" s="559" t="str">
        <f t="shared" si="50"/>
        <v/>
      </c>
    </row>
    <row r="530" spans="2:9">
      <c r="B530" s="555" t="str">
        <f t="shared" si="45"/>
        <v/>
      </c>
      <c r="C530" s="556" t="str">
        <f t="shared" si="46"/>
        <v/>
      </c>
      <c r="D530" s="557" t="str">
        <f t="shared" si="47"/>
        <v/>
      </c>
      <c r="E530" s="560"/>
      <c r="F530" s="559"/>
      <c r="G530" s="559" t="str">
        <f t="shared" si="48"/>
        <v/>
      </c>
      <c r="H530" s="559" t="str">
        <f t="shared" si="49"/>
        <v/>
      </c>
      <c r="I530" s="559" t="str">
        <f t="shared" si="50"/>
        <v/>
      </c>
    </row>
    <row r="531" spans="2:9">
      <c r="B531" s="555" t="str">
        <f t="shared" si="45"/>
        <v/>
      </c>
      <c r="C531" s="556" t="str">
        <f t="shared" si="46"/>
        <v/>
      </c>
      <c r="D531" s="557" t="str">
        <f t="shared" si="47"/>
        <v/>
      </c>
      <c r="E531" s="560"/>
      <c r="F531" s="559"/>
      <c r="G531" s="559" t="str">
        <f t="shared" si="48"/>
        <v/>
      </c>
      <c r="H531" s="559" t="str">
        <f t="shared" si="49"/>
        <v/>
      </c>
      <c r="I531" s="559" t="str">
        <f t="shared" si="50"/>
        <v/>
      </c>
    </row>
    <row r="532" spans="2:9">
      <c r="B532" s="555" t="str">
        <f t="shared" si="45"/>
        <v/>
      </c>
      <c r="C532" s="556" t="str">
        <f t="shared" si="46"/>
        <v/>
      </c>
      <c r="D532" s="557" t="str">
        <f t="shared" si="47"/>
        <v/>
      </c>
      <c r="E532" s="560"/>
      <c r="F532" s="559"/>
      <c r="G532" s="559" t="str">
        <f t="shared" si="48"/>
        <v/>
      </c>
      <c r="H532" s="559" t="str">
        <f t="shared" si="49"/>
        <v/>
      </c>
      <c r="I532" s="559" t="str">
        <f t="shared" si="50"/>
        <v/>
      </c>
    </row>
    <row r="533" spans="2:9">
      <c r="B533" s="555" t="str">
        <f t="shared" si="45"/>
        <v/>
      </c>
      <c r="C533" s="556" t="str">
        <f t="shared" si="46"/>
        <v/>
      </c>
      <c r="D533" s="557" t="str">
        <f t="shared" si="47"/>
        <v/>
      </c>
      <c r="E533" s="560"/>
      <c r="F533" s="559"/>
      <c r="G533" s="559" t="str">
        <f t="shared" si="48"/>
        <v/>
      </c>
      <c r="H533" s="559" t="str">
        <f t="shared" si="49"/>
        <v/>
      </c>
      <c r="I533" s="559" t="str">
        <f t="shared" si="50"/>
        <v/>
      </c>
    </row>
    <row r="534" spans="2:9">
      <c r="B534" s="555" t="str">
        <f t="shared" si="45"/>
        <v/>
      </c>
      <c r="C534" s="556" t="str">
        <f t="shared" si="46"/>
        <v/>
      </c>
      <c r="D534" s="557" t="str">
        <f t="shared" si="47"/>
        <v/>
      </c>
      <c r="E534" s="560"/>
      <c r="F534" s="559"/>
      <c r="G534" s="559" t="str">
        <f t="shared" si="48"/>
        <v/>
      </c>
      <c r="H534" s="559" t="str">
        <f t="shared" si="49"/>
        <v/>
      </c>
      <c r="I534" s="559" t="str">
        <f t="shared" si="50"/>
        <v/>
      </c>
    </row>
    <row r="535" spans="2:9">
      <c r="B535" s="555" t="str">
        <f t="shared" si="45"/>
        <v/>
      </c>
      <c r="C535" s="556" t="str">
        <f t="shared" si="46"/>
        <v/>
      </c>
      <c r="D535" s="557" t="str">
        <f t="shared" si="47"/>
        <v/>
      </c>
      <c r="E535" s="560"/>
      <c r="F535" s="559"/>
      <c r="G535" s="559" t="str">
        <f t="shared" si="48"/>
        <v/>
      </c>
      <c r="H535" s="559" t="str">
        <f t="shared" si="49"/>
        <v/>
      </c>
      <c r="I535" s="559" t="str">
        <f t="shared" si="50"/>
        <v/>
      </c>
    </row>
    <row r="536" spans="2:9">
      <c r="B536" s="555" t="str">
        <f t="shared" si="45"/>
        <v/>
      </c>
      <c r="C536" s="556" t="str">
        <f t="shared" si="46"/>
        <v/>
      </c>
      <c r="D536" s="557" t="str">
        <f t="shared" si="47"/>
        <v/>
      </c>
      <c r="E536" s="560"/>
      <c r="F536" s="559"/>
      <c r="G536" s="559" t="str">
        <f t="shared" si="48"/>
        <v/>
      </c>
      <c r="H536" s="559" t="str">
        <f t="shared" si="49"/>
        <v/>
      </c>
      <c r="I536" s="559" t="str">
        <f t="shared" si="50"/>
        <v/>
      </c>
    </row>
    <row r="537" spans="2:9">
      <c r="B537" s="555" t="str">
        <f t="shared" si="45"/>
        <v/>
      </c>
      <c r="C537" s="556" t="str">
        <f t="shared" si="46"/>
        <v/>
      </c>
      <c r="D537" s="557" t="str">
        <f t="shared" si="47"/>
        <v/>
      </c>
      <c r="E537" s="560"/>
      <c r="F537" s="559"/>
      <c r="G537" s="559" t="str">
        <f t="shared" si="48"/>
        <v/>
      </c>
      <c r="H537" s="559" t="str">
        <f t="shared" si="49"/>
        <v/>
      </c>
      <c r="I537" s="559" t="str">
        <f t="shared" si="50"/>
        <v/>
      </c>
    </row>
    <row r="538" spans="2:9">
      <c r="B538" s="555" t="str">
        <f t="shared" si="45"/>
        <v/>
      </c>
      <c r="C538" s="556" t="str">
        <f t="shared" si="46"/>
        <v/>
      </c>
      <c r="D538" s="557" t="str">
        <f t="shared" si="47"/>
        <v/>
      </c>
      <c r="E538" s="560"/>
      <c r="F538" s="559"/>
      <c r="G538" s="559" t="str">
        <f t="shared" si="48"/>
        <v/>
      </c>
      <c r="H538" s="559" t="str">
        <f t="shared" si="49"/>
        <v/>
      </c>
      <c r="I538" s="559" t="str">
        <f t="shared" si="50"/>
        <v/>
      </c>
    </row>
    <row r="539" spans="2:9">
      <c r="B539" s="555" t="str">
        <f t="shared" si="45"/>
        <v/>
      </c>
      <c r="C539" s="556" t="str">
        <f t="shared" si="46"/>
        <v/>
      </c>
      <c r="D539" s="557" t="str">
        <f t="shared" si="47"/>
        <v/>
      </c>
      <c r="E539" s="560"/>
      <c r="F539" s="559"/>
      <c r="G539" s="559" t="str">
        <f t="shared" si="48"/>
        <v/>
      </c>
      <c r="H539" s="559" t="str">
        <f t="shared" si="49"/>
        <v/>
      </c>
      <c r="I539" s="559" t="str">
        <f t="shared" si="50"/>
        <v/>
      </c>
    </row>
    <row r="540" spans="2:9">
      <c r="B540" s="555" t="str">
        <f t="shared" si="45"/>
        <v/>
      </c>
      <c r="C540" s="556" t="str">
        <f t="shared" si="46"/>
        <v/>
      </c>
      <c r="D540" s="557" t="str">
        <f t="shared" si="47"/>
        <v/>
      </c>
      <c r="E540" s="560"/>
      <c r="F540" s="559"/>
      <c r="G540" s="559" t="str">
        <f t="shared" si="48"/>
        <v/>
      </c>
      <c r="H540" s="559" t="str">
        <f t="shared" si="49"/>
        <v/>
      </c>
      <c r="I540" s="559" t="str">
        <f t="shared" si="50"/>
        <v/>
      </c>
    </row>
    <row r="541" spans="2:9">
      <c r="B541" s="555" t="str">
        <f t="shared" si="45"/>
        <v/>
      </c>
      <c r="C541" s="556" t="str">
        <f t="shared" si="46"/>
        <v/>
      </c>
      <c r="D541" s="557" t="str">
        <f t="shared" si="47"/>
        <v/>
      </c>
      <c r="E541" s="560"/>
      <c r="F541" s="559"/>
      <c r="G541" s="559" t="str">
        <f t="shared" si="48"/>
        <v/>
      </c>
      <c r="H541" s="559" t="str">
        <f t="shared" si="49"/>
        <v/>
      </c>
      <c r="I541" s="559" t="str">
        <f t="shared" si="50"/>
        <v/>
      </c>
    </row>
    <row r="542" spans="2:9">
      <c r="B542" s="555" t="str">
        <f t="shared" si="45"/>
        <v/>
      </c>
      <c r="C542" s="556" t="str">
        <f t="shared" si="46"/>
        <v/>
      </c>
      <c r="D542" s="557" t="str">
        <f t="shared" si="47"/>
        <v/>
      </c>
      <c r="E542" s="560"/>
      <c r="F542" s="559"/>
      <c r="G542" s="559" t="str">
        <f t="shared" si="48"/>
        <v/>
      </c>
      <c r="H542" s="559" t="str">
        <f t="shared" si="49"/>
        <v/>
      </c>
      <c r="I542" s="559" t="str">
        <f t="shared" si="50"/>
        <v/>
      </c>
    </row>
    <row r="543" spans="2:9">
      <c r="B543" s="555" t="str">
        <f t="shared" si="45"/>
        <v/>
      </c>
      <c r="C543" s="556" t="str">
        <f t="shared" si="46"/>
        <v/>
      </c>
      <c r="D543" s="557" t="str">
        <f t="shared" si="47"/>
        <v/>
      </c>
      <c r="E543" s="560"/>
      <c r="F543" s="559"/>
      <c r="G543" s="559" t="str">
        <f t="shared" si="48"/>
        <v/>
      </c>
      <c r="H543" s="559" t="str">
        <f t="shared" si="49"/>
        <v/>
      </c>
      <c r="I543" s="559" t="str">
        <f t="shared" si="50"/>
        <v/>
      </c>
    </row>
    <row r="544" spans="2:9">
      <c r="B544" s="555" t="str">
        <f t="shared" si="45"/>
        <v/>
      </c>
      <c r="C544" s="556" t="str">
        <f t="shared" si="46"/>
        <v/>
      </c>
      <c r="D544" s="557" t="str">
        <f t="shared" si="47"/>
        <v/>
      </c>
      <c r="E544" s="560"/>
      <c r="F544" s="559"/>
      <c r="G544" s="559" t="str">
        <f t="shared" si="48"/>
        <v/>
      </c>
      <c r="H544" s="559" t="str">
        <f t="shared" si="49"/>
        <v/>
      </c>
      <c r="I544" s="559" t="str">
        <f t="shared" si="50"/>
        <v/>
      </c>
    </row>
    <row r="545" spans="2:9">
      <c r="B545" s="555" t="str">
        <f t="shared" si="45"/>
        <v/>
      </c>
      <c r="C545" s="556" t="str">
        <f t="shared" si="46"/>
        <v/>
      </c>
      <c r="D545" s="557" t="str">
        <f t="shared" si="47"/>
        <v/>
      </c>
      <c r="E545" s="560"/>
      <c r="F545" s="559"/>
      <c r="G545" s="559" t="str">
        <f t="shared" si="48"/>
        <v/>
      </c>
      <c r="H545" s="559" t="str">
        <f t="shared" si="49"/>
        <v/>
      </c>
      <c r="I545" s="559" t="str">
        <f t="shared" si="50"/>
        <v/>
      </c>
    </row>
    <row r="546" spans="2:9">
      <c r="B546" s="555" t="str">
        <f t="shared" si="45"/>
        <v/>
      </c>
      <c r="C546" s="556" t="str">
        <f t="shared" si="46"/>
        <v/>
      </c>
      <c r="D546" s="557" t="str">
        <f t="shared" si="47"/>
        <v/>
      </c>
      <c r="E546" s="560"/>
      <c r="F546" s="559"/>
      <c r="G546" s="559" t="str">
        <f t="shared" si="48"/>
        <v/>
      </c>
      <c r="H546" s="559" t="str">
        <f t="shared" si="49"/>
        <v/>
      </c>
      <c r="I546" s="559" t="str">
        <f t="shared" si="50"/>
        <v/>
      </c>
    </row>
    <row r="547" spans="2:9">
      <c r="B547" s="555" t="str">
        <f t="shared" si="45"/>
        <v/>
      </c>
      <c r="C547" s="556" t="str">
        <f t="shared" si="46"/>
        <v/>
      </c>
      <c r="D547" s="557" t="str">
        <f t="shared" si="47"/>
        <v/>
      </c>
      <c r="E547" s="560"/>
      <c r="F547" s="559"/>
      <c r="G547" s="559" t="str">
        <f t="shared" si="48"/>
        <v/>
      </c>
      <c r="H547" s="559" t="str">
        <f t="shared" si="49"/>
        <v/>
      </c>
      <c r="I547" s="559" t="str">
        <f t="shared" si="50"/>
        <v/>
      </c>
    </row>
    <row r="548" spans="2:9">
      <c r="B548" s="555" t="str">
        <f t="shared" si="45"/>
        <v/>
      </c>
      <c r="C548" s="556" t="str">
        <f t="shared" si="46"/>
        <v/>
      </c>
      <c r="D548" s="557" t="str">
        <f t="shared" si="47"/>
        <v/>
      </c>
      <c r="E548" s="560"/>
      <c r="F548" s="559"/>
      <c r="G548" s="559" t="str">
        <f t="shared" si="48"/>
        <v/>
      </c>
      <c r="H548" s="559" t="str">
        <f t="shared" si="49"/>
        <v/>
      </c>
      <c r="I548" s="559" t="str">
        <f t="shared" si="50"/>
        <v/>
      </c>
    </row>
    <row r="549" spans="2:9">
      <c r="B549" s="555" t="str">
        <f t="shared" si="45"/>
        <v/>
      </c>
      <c r="C549" s="556" t="str">
        <f t="shared" si="46"/>
        <v/>
      </c>
      <c r="D549" s="557" t="str">
        <f t="shared" si="47"/>
        <v/>
      </c>
      <c r="E549" s="560"/>
      <c r="F549" s="559"/>
      <c r="G549" s="559" t="str">
        <f t="shared" si="48"/>
        <v/>
      </c>
      <c r="H549" s="559" t="str">
        <f t="shared" si="49"/>
        <v/>
      </c>
      <c r="I549" s="559" t="str">
        <f t="shared" si="50"/>
        <v/>
      </c>
    </row>
    <row r="550" spans="2:9">
      <c r="B550" s="555" t="str">
        <f t="shared" si="45"/>
        <v/>
      </c>
      <c r="C550" s="556" t="str">
        <f t="shared" si="46"/>
        <v/>
      </c>
      <c r="D550" s="557" t="str">
        <f t="shared" si="47"/>
        <v/>
      </c>
      <c r="E550" s="560"/>
      <c r="F550" s="559"/>
      <c r="G550" s="559" t="str">
        <f t="shared" si="48"/>
        <v/>
      </c>
      <c r="H550" s="559" t="str">
        <f t="shared" si="49"/>
        <v/>
      </c>
      <c r="I550" s="559" t="str">
        <f t="shared" si="50"/>
        <v/>
      </c>
    </row>
    <row r="551" spans="2:9">
      <c r="B551" s="555" t="str">
        <f t="shared" si="45"/>
        <v/>
      </c>
      <c r="C551" s="556" t="str">
        <f t="shared" si="46"/>
        <v/>
      </c>
      <c r="D551" s="557" t="str">
        <f t="shared" si="47"/>
        <v/>
      </c>
      <c r="E551" s="560"/>
      <c r="F551" s="559"/>
      <c r="G551" s="559" t="str">
        <f t="shared" si="48"/>
        <v/>
      </c>
      <c r="H551" s="559" t="str">
        <f t="shared" si="49"/>
        <v/>
      </c>
      <c r="I551" s="559" t="str">
        <f t="shared" si="50"/>
        <v/>
      </c>
    </row>
    <row r="552" spans="2:9">
      <c r="B552" s="555" t="str">
        <f t="shared" si="45"/>
        <v/>
      </c>
      <c r="C552" s="556" t="str">
        <f t="shared" si="46"/>
        <v/>
      </c>
      <c r="D552" s="557" t="str">
        <f t="shared" si="47"/>
        <v/>
      </c>
      <c r="E552" s="560"/>
      <c r="F552" s="559"/>
      <c r="G552" s="559" t="str">
        <f t="shared" si="48"/>
        <v/>
      </c>
      <c r="H552" s="559" t="str">
        <f t="shared" si="49"/>
        <v/>
      </c>
      <c r="I552" s="559" t="str">
        <f t="shared" si="50"/>
        <v/>
      </c>
    </row>
    <row r="553" spans="2:9">
      <c r="B553" s="555" t="str">
        <f t="shared" si="45"/>
        <v/>
      </c>
      <c r="C553" s="556" t="str">
        <f t="shared" si="46"/>
        <v/>
      </c>
      <c r="D553" s="557" t="str">
        <f t="shared" si="47"/>
        <v/>
      </c>
      <c r="E553" s="560"/>
      <c r="F553" s="559"/>
      <c r="G553" s="559" t="str">
        <f t="shared" si="48"/>
        <v/>
      </c>
      <c r="H553" s="559" t="str">
        <f t="shared" si="49"/>
        <v/>
      </c>
      <c r="I553" s="559" t="str">
        <f t="shared" si="50"/>
        <v/>
      </c>
    </row>
    <row r="554" spans="2:9">
      <c r="B554" s="555" t="str">
        <f t="shared" si="45"/>
        <v/>
      </c>
      <c r="C554" s="556" t="str">
        <f t="shared" si="46"/>
        <v/>
      </c>
      <c r="D554" s="557" t="str">
        <f t="shared" si="47"/>
        <v/>
      </c>
      <c r="E554" s="560"/>
      <c r="F554" s="559"/>
      <c r="G554" s="559" t="str">
        <f t="shared" si="48"/>
        <v/>
      </c>
      <c r="H554" s="559" t="str">
        <f t="shared" si="49"/>
        <v/>
      </c>
      <c r="I554" s="559" t="str">
        <f t="shared" si="50"/>
        <v/>
      </c>
    </row>
    <row r="555" spans="2:9">
      <c r="B555" s="555" t="str">
        <f t="shared" si="45"/>
        <v/>
      </c>
      <c r="C555" s="556" t="str">
        <f t="shared" si="46"/>
        <v/>
      </c>
      <c r="D555" s="557" t="str">
        <f t="shared" si="47"/>
        <v/>
      </c>
      <c r="E555" s="560"/>
      <c r="F555" s="559"/>
      <c r="G555" s="559" t="str">
        <f t="shared" si="48"/>
        <v/>
      </c>
      <c r="H555" s="559" t="str">
        <f t="shared" si="49"/>
        <v/>
      </c>
      <c r="I555" s="559" t="str">
        <f t="shared" si="50"/>
        <v/>
      </c>
    </row>
    <row r="556" spans="2:9">
      <c r="B556" s="555" t="str">
        <f t="shared" si="45"/>
        <v/>
      </c>
      <c r="C556" s="556" t="str">
        <f t="shared" si="46"/>
        <v/>
      </c>
      <c r="D556" s="557" t="str">
        <f t="shared" si="47"/>
        <v/>
      </c>
      <c r="E556" s="560"/>
      <c r="F556" s="559"/>
      <c r="G556" s="559" t="str">
        <f t="shared" si="48"/>
        <v/>
      </c>
      <c r="H556" s="559" t="str">
        <f t="shared" si="49"/>
        <v/>
      </c>
      <c r="I556" s="559" t="str">
        <f t="shared" si="50"/>
        <v/>
      </c>
    </row>
    <row r="557" spans="2:9">
      <c r="B557" s="555" t="str">
        <f t="shared" si="45"/>
        <v/>
      </c>
      <c r="C557" s="556" t="str">
        <f t="shared" si="46"/>
        <v/>
      </c>
      <c r="D557" s="557" t="str">
        <f t="shared" si="47"/>
        <v/>
      </c>
      <c r="E557" s="560"/>
      <c r="F557" s="559"/>
      <c r="G557" s="559" t="str">
        <f t="shared" si="48"/>
        <v/>
      </c>
      <c r="H557" s="559" t="str">
        <f t="shared" si="49"/>
        <v/>
      </c>
      <c r="I557" s="559" t="str">
        <f t="shared" si="50"/>
        <v/>
      </c>
    </row>
    <row r="558" spans="2:9">
      <c r="B558" s="555" t="str">
        <f t="shared" si="45"/>
        <v/>
      </c>
      <c r="C558" s="556" t="str">
        <f t="shared" si="46"/>
        <v/>
      </c>
      <c r="D558" s="557" t="str">
        <f t="shared" si="47"/>
        <v/>
      </c>
      <c r="E558" s="560"/>
      <c r="F558" s="559"/>
      <c r="G558" s="559" t="str">
        <f t="shared" si="48"/>
        <v/>
      </c>
      <c r="H558" s="559" t="str">
        <f t="shared" si="49"/>
        <v/>
      </c>
      <c r="I558" s="559" t="str">
        <f t="shared" si="50"/>
        <v/>
      </c>
    </row>
    <row r="559" spans="2:9">
      <c r="B559" s="555" t="str">
        <f t="shared" si="45"/>
        <v/>
      </c>
      <c r="C559" s="556" t="str">
        <f t="shared" si="46"/>
        <v/>
      </c>
      <c r="D559" s="557" t="str">
        <f t="shared" si="47"/>
        <v/>
      </c>
      <c r="E559" s="560"/>
      <c r="F559" s="559"/>
      <c r="G559" s="559" t="str">
        <f t="shared" si="48"/>
        <v/>
      </c>
      <c r="H559" s="559" t="str">
        <f t="shared" si="49"/>
        <v/>
      </c>
      <c r="I559" s="559" t="str">
        <f t="shared" si="50"/>
        <v/>
      </c>
    </row>
    <row r="560" spans="2:9">
      <c r="B560" s="555" t="str">
        <f t="shared" si="45"/>
        <v/>
      </c>
      <c r="C560" s="556" t="str">
        <f t="shared" si="46"/>
        <v/>
      </c>
      <c r="D560" s="557" t="str">
        <f t="shared" si="47"/>
        <v/>
      </c>
      <c r="E560" s="560"/>
      <c r="F560" s="559"/>
      <c r="G560" s="559" t="str">
        <f t="shared" si="48"/>
        <v/>
      </c>
      <c r="H560" s="559" t="str">
        <f t="shared" si="49"/>
        <v/>
      </c>
      <c r="I560" s="559" t="str">
        <f t="shared" si="50"/>
        <v/>
      </c>
    </row>
    <row r="561" spans="2:9">
      <c r="B561" s="555" t="str">
        <f t="shared" si="45"/>
        <v/>
      </c>
      <c r="C561" s="556" t="str">
        <f t="shared" si="46"/>
        <v/>
      </c>
      <c r="D561" s="557" t="str">
        <f t="shared" si="47"/>
        <v/>
      </c>
      <c r="E561" s="560"/>
      <c r="F561" s="559"/>
      <c r="G561" s="559" t="str">
        <f t="shared" si="48"/>
        <v/>
      </c>
      <c r="H561" s="559" t="str">
        <f t="shared" si="49"/>
        <v/>
      </c>
      <c r="I561" s="559" t="str">
        <f t="shared" si="50"/>
        <v/>
      </c>
    </row>
    <row r="562" spans="2:9">
      <c r="B562" s="555" t="str">
        <f t="shared" si="45"/>
        <v/>
      </c>
      <c r="C562" s="556" t="str">
        <f t="shared" si="46"/>
        <v/>
      </c>
      <c r="D562" s="557" t="str">
        <f t="shared" si="47"/>
        <v/>
      </c>
      <c r="E562" s="560"/>
      <c r="F562" s="559"/>
      <c r="G562" s="559" t="str">
        <f t="shared" si="48"/>
        <v/>
      </c>
      <c r="H562" s="559" t="str">
        <f t="shared" si="49"/>
        <v/>
      </c>
      <c r="I562" s="559" t="str">
        <f t="shared" si="50"/>
        <v/>
      </c>
    </row>
    <row r="563" spans="2:9">
      <c r="B563" s="555" t="str">
        <f t="shared" si="45"/>
        <v/>
      </c>
      <c r="C563" s="556" t="str">
        <f t="shared" si="46"/>
        <v/>
      </c>
      <c r="D563" s="557" t="str">
        <f t="shared" si="47"/>
        <v/>
      </c>
      <c r="E563" s="560"/>
      <c r="F563" s="559"/>
      <c r="G563" s="559" t="str">
        <f t="shared" si="48"/>
        <v/>
      </c>
      <c r="H563" s="559" t="str">
        <f t="shared" si="49"/>
        <v/>
      </c>
      <c r="I563" s="559" t="str">
        <f t="shared" si="50"/>
        <v/>
      </c>
    </row>
    <row r="564" spans="2:9">
      <c r="B564" s="555" t="str">
        <f t="shared" si="45"/>
        <v/>
      </c>
      <c r="C564" s="556" t="str">
        <f t="shared" si="46"/>
        <v/>
      </c>
      <c r="D564" s="557" t="str">
        <f t="shared" si="47"/>
        <v/>
      </c>
      <c r="E564" s="560"/>
      <c r="F564" s="559"/>
      <c r="G564" s="559" t="str">
        <f t="shared" si="48"/>
        <v/>
      </c>
      <c r="H564" s="559" t="str">
        <f t="shared" si="49"/>
        <v/>
      </c>
      <c r="I564" s="559" t="str">
        <f t="shared" si="50"/>
        <v/>
      </c>
    </row>
    <row r="565" spans="2:9">
      <c r="B565" s="555" t="str">
        <f t="shared" si="45"/>
        <v/>
      </c>
      <c r="C565" s="556" t="str">
        <f t="shared" si="46"/>
        <v/>
      </c>
      <c r="D565" s="557" t="str">
        <f t="shared" si="47"/>
        <v/>
      </c>
      <c r="E565" s="560"/>
      <c r="F565" s="559"/>
      <c r="G565" s="559" t="str">
        <f t="shared" si="48"/>
        <v/>
      </c>
      <c r="H565" s="559" t="str">
        <f t="shared" si="49"/>
        <v/>
      </c>
      <c r="I565" s="559" t="str">
        <f t="shared" si="50"/>
        <v/>
      </c>
    </row>
    <row r="566" spans="2:9">
      <c r="B566" s="555" t="str">
        <f t="shared" si="45"/>
        <v/>
      </c>
      <c r="C566" s="556" t="str">
        <f t="shared" si="46"/>
        <v/>
      </c>
      <c r="D566" s="557" t="str">
        <f t="shared" si="47"/>
        <v/>
      </c>
      <c r="E566" s="560"/>
      <c r="F566" s="559"/>
      <c r="G566" s="559" t="str">
        <f t="shared" si="48"/>
        <v/>
      </c>
      <c r="H566" s="559" t="str">
        <f t="shared" si="49"/>
        <v/>
      </c>
      <c r="I566" s="559" t="str">
        <f t="shared" si="50"/>
        <v/>
      </c>
    </row>
    <row r="567" spans="2:9">
      <c r="B567" s="555" t="str">
        <f t="shared" si="45"/>
        <v/>
      </c>
      <c r="C567" s="556" t="str">
        <f t="shared" si="46"/>
        <v/>
      </c>
      <c r="D567" s="557" t="str">
        <f t="shared" si="47"/>
        <v/>
      </c>
      <c r="E567" s="560"/>
      <c r="F567" s="559"/>
      <c r="G567" s="559" t="str">
        <f t="shared" si="48"/>
        <v/>
      </c>
      <c r="H567" s="559" t="str">
        <f t="shared" si="49"/>
        <v/>
      </c>
      <c r="I567" s="559" t="str">
        <f t="shared" si="50"/>
        <v/>
      </c>
    </row>
    <row r="568" spans="2:9">
      <c r="B568" s="555" t="str">
        <f t="shared" si="45"/>
        <v/>
      </c>
      <c r="C568" s="556" t="str">
        <f t="shared" si="46"/>
        <v/>
      </c>
      <c r="D568" s="557" t="str">
        <f t="shared" si="47"/>
        <v/>
      </c>
      <c r="E568" s="560"/>
      <c r="F568" s="559"/>
      <c r="G568" s="559" t="str">
        <f t="shared" si="48"/>
        <v/>
      </c>
      <c r="H568" s="559" t="str">
        <f t="shared" si="49"/>
        <v/>
      </c>
      <c r="I568" s="559" t="str">
        <f t="shared" si="50"/>
        <v/>
      </c>
    </row>
    <row r="569" spans="2:9">
      <c r="B569" s="555" t="str">
        <f t="shared" si="45"/>
        <v/>
      </c>
      <c r="C569" s="556" t="str">
        <f t="shared" si="46"/>
        <v/>
      </c>
      <c r="D569" s="557" t="str">
        <f t="shared" si="47"/>
        <v/>
      </c>
      <c r="E569" s="560"/>
      <c r="F569" s="559"/>
      <c r="G569" s="559" t="str">
        <f t="shared" si="48"/>
        <v/>
      </c>
      <c r="H569" s="559" t="str">
        <f t="shared" si="49"/>
        <v/>
      </c>
      <c r="I569" s="559" t="str">
        <f t="shared" si="50"/>
        <v/>
      </c>
    </row>
    <row r="570" spans="2:9">
      <c r="B570" s="555" t="str">
        <f t="shared" si="45"/>
        <v/>
      </c>
      <c r="C570" s="556" t="str">
        <f t="shared" si="46"/>
        <v/>
      </c>
      <c r="D570" s="557" t="str">
        <f t="shared" si="47"/>
        <v/>
      </c>
      <c r="E570" s="560"/>
      <c r="F570" s="559"/>
      <c r="G570" s="559" t="str">
        <f t="shared" si="48"/>
        <v/>
      </c>
      <c r="H570" s="559" t="str">
        <f t="shared" si="49"/>
        <v/>
      </c>
      <c r="I570" s="559" t="str">
        <f t="shared" si="50"/>
        <v/>
      </c>
    </row>
    <row r="571" spans="2:9">
      <c r="B571" s="555" t="str">
        <f t="shared" si="45"/>
        <v/>
      </c>
      <c r="C571" s="556" t="str">
        <f t="shared" si="46"/>
        <v/>
      </c>
      <c r="D571" s="557" t="str">
        <f t="shared" si="47"/>
        <v/>
      </c>
      <c r="E571" s="560"/>
      <c r="F571" s="559"/>
      <c r="G571" s="559" t="str">
        <f t="shared" si="48"/>
        <v/>
      </c>
      <c r="H571" s="559" t="str">
        <f t="shared" si="49"/>
        <v/>
      </c>
      <c r="I571" s="559" t="str">
        <f t="shared" si="50"/>
        <v/>
      </c>
    </row>
    <row r="572" spans="2:9">
      <c r="B572" s="555" t="str">
        <f t="shared" si="45"/>
        <v/>
      </c>
      <c r="C572" s="556" t="str">
        <f t="shared" si="46"/>
        <v/>
      </c>
      <c r="D572" s="557" t="str">
        <f t="shared" si="47"/>
        <v/>
      </c>
      <c r="E572" s="560"/>
      <c r="F572" s="559"/>
      <c r="G572" s="559" t="str">
        <f t="shared" si="48"/>
        <v/>
      </c>
      <c r="H572" s="559" t="str">
        <f t="shared" si="49"/>
        <v/>
      </c>
      <c r="I572" s="559" t="str">
        <f t="shared" si="50"/>
        <v/>
      </c>
    </row>
    <row r="573" spans="2:9">
      <c r="B573" s="555" t="str">
        <f t="shared" ref="B573:B636" si="51">IF(I572="","",IF(roundOpt,IF(OR(B572&gt;=nper,ROUND(I572,2)&lt;=0),"",B572+1),IF(OR(B572&gt;=nper,I572&lt;=0),"",B572+1)))</f>
        <v/>
      </c>
      <c r="C573" s="556" t="str">
        <f t="shared" ref="C573:C636" si="52">IF(B573="","",IF(OR(periods_per_year=26,periods_per_year=52),IF(periods_per_year=26,IF(B573=1,fpdate,C572+14),IF(periods_per_year=52,IF(B573=1,fpdate,C572+7),"n/a")),IF(periods_per_year=24,DATE(YEAR(fpdate),MONTH(fpdate)+(B573-1)/2+IF(AND(DAY(fpdate)&gt;=15,MOD(B573,2)=0),1,0),IF(MOD(B573,2)=0,IF(DAY(fpdate)&gt;=15,DAY(fpdate)-14,DAY(fpdate)+14),DAY(fpdate))),IF(DAY(DATE(YEAR(fpdate),MONTH(fpdate)+(B573-1)*months_per_period,DAY(fpdate)))&lt;&gt;DAY(fpdate),DATE(YEAR(fpdate),MONTH(fpdate)+(B573-1)*months_per_period+1,0),DATE(YEAR(fpdate),MONTH(fpdate)+(B573-1)*months_per_period,DAY(fpdate))))))</f>
        <v/>
      </c>
      <c r="D573" s="557" t="str">
        <f t="shared" ref="D573:D636" si="53">IF(B573="","",IF(roundOpt,IF(OR(B573=nper,payment&gt;ROUND((1+rate)*I572,2)),ROUND((1+rate)*I572,2),payment),IF(OR(B573=nper,payment&gt;(1+rate)*I572),(1+rate)*I572,payment)))</f>
        <v/>
      </c>
      <c r="E573" s="560"/>
      <c r="F573" s="559"/>
      <c r="G573" s="559" t="str">
        <f t="shared" ref="G573:G636" si="54">IF(B573="","",IF(AND(B573=1,pmtType=1),0,IF(roundOpt,ROUND(rate*I572,2),rate*I572)))</f>
        <v/>
      </c>
      <c r="H573" s="559" t="str">
        <f t="shared" ref="H573:H636" si="55">IF(B573="","",D573-G573+E573)</f>
        <v/>
      </c>
      <c r="I573" s="559" t="str">
        <f t="shared" ref="I573:I636" si="56">IF(B573="","",I572-H573)</f>
        <v/>
      </c>
    </row>
    <row r="574" spans="2:9">
      <c r="B574" s="555" t="str">
        <f t="shared" si="51"/>
        <v/>
      </c>
      <c r="C574" s="556" t="str">
        <f t="shared" si="52"/>
        <v/>
      </c>
      <c r="D574" s="557" t="str">
        <f t="shared" si="53"/>
        <v/>
      </c>
      <c r="E574" s="560"/>
      <c r="F574" s="559"/>
      <c r="G574" s="559" t="str">
        <f t="shared" si="54"/>
        <v/>
      </c>
      <c r="H574" s="559" t="str">
        <f t="shared" si="55"/>
        <v/>
      </c>
      <c r="I574" s="559" t="str">
        <f t="shared" si="56"/>
        <v/>
      </c>
    </row>
    <row r="575" spans="2:9">
      <c r="B575" s="555" t="str">
        <f t="shared" si="51"/>
        <v/>
      </c>
      <c r="C575" s="556" t="str">
        <f t="shared" si="52"/>
        <v/>
      </c>
      <c r="D575" s="557" t="str">
        <f t="shared" si="53"/>
        <v/>
      </c>
      <c r="E575" s="560"/>
      <c r="F575" s="559"/>
      <c r="G575" s="559" t="str">
        <f t="shared" si="54"/>
        <v/>
      </c>
      <c r="H575" s="559" t="str">
        <f t="shared" si="55"/>
        <v/>
      </c>
      <c r="I575" s="559" t="str">
        <f t="shared" si="56"/>
        <v/>
      </c>
    </row>
    <row r="576" spans="2:9">
      <c r="B576" s="555" t="str">
        <f t="shared" si="51"/>
        <v/>
      </c>
      <c r="C576" s="556" t="str">
        <f t="shared" si="52"/>
        <v/>
      </c>
      <c r="D576" s="557" t="str">
        <f t="shared" si="53"/>
        <v/>
      </c>
      <c r="E576" s="560"/>
      <c r="F576" s="559"/>
      <c r="G576" s="559" t="str">
        <f t="shared" si="54"/>
        <v/>
      </c>
      <c r="H576" s="559" t="str">
        <f t="shared" si="55"/>
        <v/>
      </c>
      <c r="I576" s="559" t="str">
        <f t="shared" si="56"/>
        <v/>
      </c>
    </row>
    <row r="577" spans="2:9">
      <c r="B577" s="555" t="str">
        <f t="shared" si="51"/>
        <v/>
      </c>
      <c r="C577" s="556" t="str">
        <f t="shared" si="52"/>
        <v/>
      </c>
      <c r="D577" s="557" t="str">
        <f t="shared" si="53"/>
        <v/>
      </c>
      <c r="E577" s="560"/>
      <c r="F577" s="559"/>
      <c r="G577" s="559" t="str">
        <f t="shared" si="54"/>
        <v/>
      </c>
      <c r="H577" s="559" t="str">
        <f t="shared" si="55"/>
        <v/>
      </c>
      <c r="I577" s="559" t="str">
        <f t="shared" si="56"/>
        <v/>
      </c>
    </row>
    <row r="578" spans="2:9">
      <c r="B578" s="555" t="str">
        <f t="shared" si="51"/>
        <v/>
      </c>
      <c r="C578" s="556" t="str">
        <f t="shared" si="52"/>
        <v/>
      </c>
      <c r="D578" s="557" t="str">
        <f t="shared" si="53"/>
        <v/>
      </c>
      <c r="E578" s="560"/>
      <c r="F578" s="559"/>
      <c r="G578" s="559" t="str">
        <f t="shared" si="54"/>
        <v/>
      </c>
      <c r="H578" s="559" t="str">
        <f t="shared" si="55"/>
        <v/>
      </c>
      <c r="I578" s="559" t="str">
        <f t="shared" si="56"/>
        <v/>
      </c>
    </row>
    <row r="579" spans="2:9">
      <c r="B579" s="555" t="str">
        <f t="shared" si="51"/>
        <v/>
      </c>
      <c r="C579" s="556" t="str">
        <f t="shared" si="52"/>
        <v/>
      </c>
      <c r="D579" s="557" t="str">
        <f t="shared" si="53"/>
        <v/>
      </c>
      <c r="E579" s="560"/>
      <c r="F579" s="559"/>
      <c r="G579" s="559" t="str">
        <f t="shared" si="54"/>
        <v/>
      </c>
      <c r="H579" s="559" t="str">
        <f t="shared" si="55"/>
        <v/>
      </c>
      <c r="I579" s="559" t="str">
        <f t="shared" si="56"/>
        <v/>
      </c>
    </row>
    <row r="580" spans="2:9">
      <c r="B580" s="555" t="str">
        <f t="shared" si="51"/>
        <v/>
      </c>
      <c r="C580" s="556" t="str">
        <f t="shared" si="52"/>
        <v/>
      </c>
      <c r="D580" s="557" t="str">
        <f t="shared" si="53"/>
        <v/>
      </c>
      <c r="E580" s="560"/>
      <c r="F580" s="559"/>
      <c r="G580" s="559" t="str">
        <f t="shared" si="54"/>
        <v/>
      </c>
      <c r="H580" s="559" t="str">
        <f t="shared" si="55"/>
        <v/>
      </c>
      <c r="I580" s="559" t="str">
        <f t="shared" si="56"/>
        <v/>
      </c>
    </row>
    <row r="581" spans="2:9">
      <c r="B581" s="555" t="str">
        <f t="shared" si="51"/>
        <v/>
      </c>
      <c r="C581" s="556" t="str">
        <f t="shared" si="52"/>
        <v/>
      </c>
      <c r="D581" s="557" t="str">
        <f t="shared" si="53"/>
        <v/>
      </c>
      <c r="E581" s="560"/>
      <c r="F581" s="559"/>
      <c r="G581" s="559" t="str">
        <f t="shared" si="54"/>
        <v/>
      </c>
      <c r="H581" s="559" t="str">
        <f t="shared" si="55"/>
        <v/>
      </c>
      <c r="I581" s="559" t="str">
        <f t="shared" si="56"/>
        <v/>
      </c>
    </row>
    <row r="582" spans="2:9">
      <c r="B582" s="555" t="str">
        <f t="shared" si="51"/>
        <v/>
      </c>
      <c r="C582" s="556" t="str">
        <f t="shared" si="52"/>
        <v/>
      </c>
      <c r="D582" s="557" t="str">
        <f t="shared" si="53"/>
        <v/>
      </c>
      <c r="E582" s="560"/>
      <c r="F582" s="559"/>
      <c r="G582" s="559" t="str">
        <f t="shared" si="54"/>
        <v/>
      </c>
      <c r="H582" s="559" t="str">
        <f t="shared" si="55"/>
        <v/>
      </c>
      <c r="I582" s="559" t="str">
        <f t="shared" si="56"/>
        <v/>
      </c>
    </row>
    <row r="583" spans="2:9">
      <c r="B583" s="555" t="str">
        <f t="shared" si="51"/>
        <v/>
      </c>
      <c r="C583" s="556" t="str">
        <f t="shared" si="52"/>
        <v/>
      </c>
      <c r="D583" s="557" t="str">
        <f t="shared" si="53"/>
        <v/>
      </c>
      <c r="E583" s="560"/>
      <c r="F583" s="559"/>
      <c r="G583" s="559" t="str">
        <f t="shared" si="54"/>
        <v/>
      </c>
      <c r="H583" s="559" t="str">
        <f t="shared" si="55"/>
        <v/>
      </c>
      <c r="I583" s="559" t="str">
        <f t="shared" si="56"/>
        <v/>
      </c>
    </row>
    <row r="584" spans="2:9">
      <c r="B584" s="555" t="str">
        <f t="shared" si="51"/>
        <v/>
      </c>
      <c r="C584" s="556" t="str">
        <f t="shared" si="52"/>
        <v/>
      </c>
      <c r="D584" s="557" t="str">
        <f t="shared" si="53"/>
        <v/>
      </c>
      <c r="E584" s="560"/>
      <c r="F584" s="559"/>
      <c r="G584" s="559" t="str">
        <f t="shared" si="54"/>
        <v/>
      </c>
      <c r="H584" s="559" t="str">
        <f t="shared" si="55"/>
        <v/>
      </c>
      <c r="I584" s="559" t="str">
        <f t="shared" si="56"/>
        <v/>
      </c>
    </row>
    <row r="585" spans="2:9">
      <c r="B585" s="555" t="str">
        <f t="shared" si="51"/>
        <v/>
      </c>
      <c r="C585" s="556" t="str">
        <f t="shared" si="52"/>
        <v/>
      </c>
      <c r="D585" s="557" t="str">
        <f t="shared" si="53"/>
        <v/>
      </c>
      <c r="E585" s="560"/>
      <c r="F585" s="559"/>
      <c r="G585" s="559" t="str">
        <f t="shared" si="54"/>
        <v/>
      </c>
      <c r="H585" s="559" t="str">
        <f t="shared" si="55"/>
        <v/>
      </c>
      <c r="I585" s="559" t="str">
        <f t="shared" si="56"/>
        <v/>
      </c>
    </row>
    <row r="586" spans="2:9">
      <c r="B586" s="555" t="str">
        <f t="shared" si="51"/>
        <v/>
      </c>
      <c r="C586" s="556" t="str">
        <f t="shared" si="52"/>
        <v/>
      </c>
      <c r="D586" s="557" t="str">
        <f t="shared" si="53"/>
        <v/>
      </c>
      <c r="E586" s="560"/>
      <c r="F586" s="559"/>
      <c r="G586" s="559" t="str">
        <f t="shared" si="54"/>
        <v/>
      </c>
      <c r="H586" s="559" t="str">
        <f t="shared" si="55"/>
        <v/>
      </c>
      <c r="I586" s="559" t="str">
        <f t="shared" si="56"/>
        <v/>
      </c>
    </row>
    <row r="587" spans="2:9">
      <c r="B587" s="555" t="str">
        <f t="shared" si="51"/>
        <v/>
      </c>
      <c r="C587" s="556" t="str">
        <f t="shared" si="52"/>
        <v/>
      </c>
      <c r="D587" s="557" t="str">
        <f t="shared" si="53"/>
        <v/>
      </c>
      <c r="E587" s="560"/>
      <c r="F587" s="559"/>
      <c r="G587" s="559" t="str">
        <f t="shared" si="54"/>
        <v/>
      </c>
      <c r="H587" s="559" t="str">
        <f t="shared" si="55"/>
        <v/>
      </c>
      <c r="I587" s="559" t="str">
        <f t="shared" si="56"/>
        <v/>
      </c>
    </row>
    <row r="588" spans="2:9">
      <c r="B588" s="555" t="str">
        <f t="shared" si="51"/>
        <v/>
      </c>
      <c r="C588" s="556" t="str">
        <f t="shared" si="52"/>
        <v/>
      </c>
      <c r="D588" s="557" t="str">
        <f t="shared" si="53"/>
        <v/>
      </c>
      <c r="E588" s="560"/>
      <c r="F588" s="559"/>
      <c r="G588" s="559" t="str">
        <f t="shared" si="54"/>
        <v/>
      </c>
      <c r="H588" s="559" t="str">
        <f t="shared" si="55"/>
        <v/>
      </c>
      <c r="I588" s="559" t="str">
        <f t="shared" si="56"/>
        <v/>
      </c>
    </row>
    <row r="589" spans="2:9">
      <c r="B589" s="555" t="str">
        <f t="shared" si="51"/>
        <v/>
      </c>
      <c r="C589" s="556" t="str">
        <f t="shared" si="52"/>
        <v/>
      </c>
      <c r="D589" s="557" t="str">
        <f t="shared" si="53"/>
        <v/>
      </c>
      <c r="E589" s="560"/>
      <c r="F589" s="559"/>
      <c r="G589" s="559" t="str">
        <f t="shared" si="54"/>
        <v/>
      </c>
      <c r="H589" s="559" t="str">
        <f t="shared" si="55"/>
        <v/>
      </c>
      <c r="I589" s="559" t="str">
        <f t="shared" si="56"/>
        <v/>
      </c>
    </row>
    <row r="590" spans="2:9">
      <c r="B590" s="555" t="str">
        <f t="shared" si="51"/>
        <v/>
      </c>
      <c r="C590" s="556" t="str">
        <f t="shared" si="52"/>
        <v/>
      </c>
      <c r="D590" s="557" t="str">
        <f t="shared" si="53"/>
        <v/>
      </c>
      <c r="E590" s="560"/>
      <c r="F590" s="559"/>
      <c r="G590" s="559" t="str">
        <f t="shared" si="54"/>
        <v/>
      </c>
      <c r="H590" s="559" t="str">
        <f t="shared" si="55"/>
        <v/>
      </c>
      <c r="I590" s="559" t="str">
        <f t="shared" si="56"/>
        <v/>
      </c>
    </row>
    <row r="591" spans="2:9">
      <c r="B591" s="555" t="str">
        <f t="shared" si="51"/>
        <v/>
      </c>
      <c r="C591" s="556" t="str">
        <f t="shared" si="52"/>
        <v/>
      </c>
      <c r="D591" s="557" t="str">
        <f t="shared" si="53"/>
        <v/>
      </c>
      <c r="E591" s="560"/>
      <c r="F591" s="559"/>
      <c r="G591" s="559" t="str">
        <f t="shared" si="54"/>
        <v/>
      </c>
      <c r="H591" s="559" t="str">
        <f t="shared" si="55"/>
        <v/>
      </c>
      <c r="I591" s="559" t="str">
        <f t="shared" si="56"/>
        <v/>
      </c>
    </row>
    <row r="592" spans="2:9">
      <c r="B592" s="555" t="str">
        <f t="shared" si="51"/>
        <v/>
      </c>
      <c r="C592" s="556" t="str">
        <f t="shared" si="52"/>
        <v/>
      </c>
      <c r="D592" s="557" t="str">
        <f t="shared" si="53"/>
        <v/>
      </c>
      <c r="E592" s="560"/>
      <c r="F592" s="559"/>
      <c r="G592" s="559" t="str">
        <f t="shared" si="54"/>
        <v/>
      </c>
      <c r="H592" s="559" t="str">
        <f t="shared" si="55"/>
        <v/>
      </c>
      <c r="I592" s="559" t="str">
        <f t="shared" si="56"/>
        <v/>
      </c>
    </row>
    <row r="593" spans="2:9">
      <c r="B593" s="555" t="str">
        <f t="shared" si="51"/>
        <v/>
      </c>
      <c r="C593" s="556" t="str">
        <f t="shared" si="52"/>
        <v/>
      </c>
      <c r="D593" s="557" t="str">
        <f t="shared" si="53"/>
        <v/>
      </c>
      <c r="E593" s="560"/>
      <c r="F593" s="559"/>
      <c r="G593" s="559" t="str">
        <f t="shared" si="54"/>
        <v/>
      </c>
      <c r="H593" s="559" t="str">
        <f t="shared" si="55"/>
        <v/>
      </c>
      <c r="I593" s="559" t="str">
        <f t="shared" si="56"/>
        <v/>
      </c>
    </row>
    <row r="594" spans="2:9">
      <c r="B594" s="555" t="str">
        <f t="shared" si="51"/>
        <v/>
      </c>
      <c r="C594" s="556" t="str">
        <f t="shared" si="52"/>
        <v/>
      </c>
      <c r="D594" s="557" t="str">
        <f t="shared" si="53"/>
        <v/>
      </c>
      <c r="E594" s="560"/>
      <c r="F594" s="559"/>
      <c r="G594" s="559" t="str">
        <f t="shared" si="54"/>
        <v/>
      </c>
      <c r="H594" s="559" t="str">
        <f t="shared" si="55"/>
        <v/>
      </c>
      <c r="I594" s="559" t="str">
        <f t="shared" si="56"/>
        <v/>
      </c>
    </row>
    <row r="595" spans="2:9">
      <c r="B595" s="555" t="str">
        <f t="shared" si="51"/>
        <v/>
      </c>
      <c r="C595" s="556" t="str">
        <f t="shared" si="52"/>
        <v/>
      </c>
      <c r="D595" s="557" t="str">
        <f t="shared" si="53"/>
        <v/>
      </c>
      <c r="E595" s="560"/>
      <c r="F595" s="559"/>
      <c r="G595" s="559" t="str">
        <f t="shared" si="54"/>
        <v/>
      </c>
      <c r="H595" s="559" t="str">
        <f t="shared" si="55"/>
        <v/>
      </c>
      <c r="I595" s="559" t="str">
        <f t="shared" si="56"/>
        <v/>
      </c>
    </row>
    <row r="596" spans="2:9">
      <c r="B596" s="555" t="str">
        <f t="shared" si="51"/>
        <v/>
      </c>
      <c r="C596" s="556" t="str">
        <f t="shared" si="52"/>
        <v/>
      </c>
      <c r="D596" s="557" t="str">
        <f t="shared" si="53"/>
        <v/>
      </c>
      <c r="E596" s="560"/>
      <c r="F596" s="559"/>
      <c r="G596" s="559" t="str">
        <f t="shared" si="54"/>
        <v/>
      </c>
      <c r="H596" s="559" t="str">
        <f t="shared" si="55"/>
        <v/>
      </c>
      <c r="I596" s="559" t="str">
        <f t="shared" si="56"/>
        <v/>
      </c>
    </row>
    <row r="597" spans="2:9">
      <c r="B597" s="555" t="str">
        <f t="shared" si="51"/>
        <v/>
      </c>
      <c r="C597" s="556" t="str">
        <f t="shared" si="52"/>
        <v/>
      </c>
      <c r="D597" s="557" t="str">
        <f t="shared" si="53"/>
        <v/>
      </c>
      <c r="E597" s="560"/>
      <c r="F597" s="559"/>
      <c r="G597" s="559" t="str">
        <f t="shared" si="54"/>
        <v/>
      </c>
      <c r="H597" s="559" t="str">
        <f t="shared" si="55"/>
        <v/>
      </c>
      <c r="I597" s="559" t="str">
        <f t="shared" si="56"/>
        <v/>
      </c>
    </row>
    <row r="598" spans="2:9">
      <c r="B598" s="555" t="str">
        <f t="shared" si="51"/>
        <v/>
      </c>
      <c r="C598" s="556" t="str">
        <f t="shared" si="52"/>
        <v/>
      </c>
      <c r="D598" s="557" t="str">
        <f t="shared" si="53"/>
        <v/>
      </c>
      <c r="E598" s="560"/>
      <c r="F598" s="559"/>
      <c r="G598" s="559" t="str">
        <f t="shared" si="54"/>
        <v/>
      </c>
      <c r="H598" s="559" t="str">
        <f t="shared" si="55"/>
        <v/>
      </c>
      <c r="I598" s="559" t="str">
        <f t="shared" si="56"/>
        <v/>
      </c>
    </row>
    <row r="599" spans="2:9">
      <c r="B599" s="555" t="str">
        <f t="shared" si="51"/>
        <v/>
      </c>
      <c r="C599" s="556" t="str">
        <f t="shared" si="52"/>
        <v/>
      </c>
      <c r="D599" s="557" t="str">
        <f t="shared" si="53"/>
        <v/>
      </c>
      <c r="E599" s="560"/>
      <c r="F599" s="559"/>
      <c r="G599" s="559" t="str">
        <f t="shared" si="54"/>
        <v/>
      </c>
      <c r="H599" s="559" t="str">
        <f t="shared" si="55"/>
        <v/>
      </c>
      <c r="I599" s="559" t="str">
        <f t="shared" si="56"/>
        <v/>
      </c>
    </row>
    <row r="600" spans="2:9">
      <c r="B600" s="555" t="str">
        <f t="shared" si="51"/>
        <v/>
      </c>
      <c r="C600" s="556" t="str">
        <f t="shared" si="52"/>
        <v/>
      </c>
      <c r="D600" s="557" t="str">
        <f t="shared" si="53"/>
        <v/>
      </c>
      <c r="E600" s="560"/>
      <c r="F600" s="559"/>
      <c r="G600" s="559" t="str">
        <f t="shared" si="54"/>
        <v/>
      </c>
      <c r="H600" s="559" t="str">
        <f t="shared" si="55"/>
        <v/>
      </c>
      <c r="I600" s="559" t="str">
        <f t="shared" si="56"/>
        <v/>
      </c>
    </row>
    <row r="601" spans="2:9">
      <c r="B601" s="555" t="str">
        <f t="shared" si="51"/>
        <v/>
      </c>
      <c r="C601" s="556" t="str">
        <f t="shared" si="52"/>
        <v/>
      </c>
      <c r="D601" s="557" t="str">
        <f t="shared" si="53"/>
        <v/>
      </c>
      <c r="E601" s="560"/>
      <c r="F601" s="559"/>
      <c r="G601" s="559" t="str">
        <f t="shared" si="54"/>
        <v/>
      </c>
      <c r="H601" s="559" t="str">
        <f t="shared" si="55"/>
        <v/>
      </c>
      <c r="I601" s="559" t="str">
        <f t="shared" si="56"/>
        <v/>
      </c>
    </row>
    <row r="602" spans="2:9">
      <c r="B602" s="555" t="str">
        <f t="shared" si="51"/>
        <v/>
      </c>
      <c r="C602" s="556" t="str">
        <f t="shared" si="52"/>
        <v/>
      </c>
      <c r="D602" s="557" t="str">
        <f t="shared" si="53"/>
        <v/>
      </c>
      <c r="E602" s="560"/>
      <c r="F602" s="559"/>
      <c r="G602" s="559" t="str">
        <f t="shared" si="54"/>
        <v/>
      </c>
      <c r="H602" s="559" t="str">
        <f t="shared" si="55"/>
        <v/>
      </c>
      <c r="I602" s="559" t="str">
        <f t="shared" si="56"/>
        <v/>
      </c>
    </row>
    <row r="603" spans="2:9">
      <c r="B603" s="555" t="str">
        <f t="shared" si="51"/>
        <v/>
      </c>
      <c r="C603" s="556" t="str">
        <f t="shared" si="52"/>
        <v/>
      </c>
      <c r="D603" s="557" t="str">
        <f t="shared" si="53"/>
        <v/>
      </c>
      <c r="E603" s="560"/>
      <c r="F603" s="559"/>
      <c r="G603" s="559" t="str">
        <f t="shared" si="54"/>
        <v/>
      </c>
      <c r="H603" s="559" t="str">
        <f t="shared" si="55"/>
        <v/>
      </c>
      <c r="I603" s="559" t="str">
        <f t="shared" si="56"/>
        <v/>
      </c>
    </row>
    <row r="604" spans="2:9">
      <c r="B604" s="555" t="str">
        <f t="shared" si="51"/>
        <v/>
      </c>
      <c r="C604" s="556" t="str">
        <f t="shared" si="52"/>
        <v/>
      </c>
      <c r="D604" s="557" t="str">
        <f t="shared" si="53"/>
        <v/>
      </c>
      <c r="E604" s="560"/>
      <c r="F604" s="559"/>
      <c r="G604" s="559" t="str">
        <f t="shared" si="54"/>
        <v/>
      </c>
      <c r="H604" s="559" t="str">
        <f t="shared" si="55"/>
        <v/>
      </c>
      <c r="I604" s="559" t="str">
        <f t="shared" si="56"/>
        <v/>
      </c>
    </row>
    <row r="605" spans="2:9">
      <c r="B605" s="555" t="str">
        <f t="shared" si="51"/>
        <v/>
      </c>
      <c r="C605" s="556" t="str">
        <f t="shared" si="52"/>
        <v/>
      </c>
      <c r="D605" s="557" t="str">
        <f t="shared" si="53"/>
        <v/>
      </c>
      <c r="E605" s="560"/>
      <c r="F605" s="559"/>
      <c r="G605" s="559" t="str">
        <f t="shared" si="54"/>
        <v/>
      </c>
      <c r="H605" s="559" t="str">
        <f t="shared" si="55"/>
        <v/>
      </c>
      <c r="I605" s="559" t="str">
        <f t="shared" si="56"/>
        <v/>
      </c>
    </row>
    <row r="606" spans="2:9">
      <c r="B606" s="555" t="str">
        <f t="shared" si="51"/>
        <v/>
      </c>
      <c r="C606" s="556" t="str">
        <f t="shared" si="52"/>
        <v/>
      </c>
      <c r="D606" s="557" t="str">
        <f t="shared" si="53"/>
        <v/>
      </c>
      <c r="E606" s="560"/>
      <c r="F606" s="559"/>
      <c r="G606" s="559" t="str">
        <f t="shared" si="54"/>
        <v/>
      </c>
      <c r="H606" s="559" t="str">
        <f t="shared" si="55"/>
        <v/>
      </c>
      <c r="I606" s="559" t="str">
        <f t="shared" si="56"/>
        <v/>
      </c>
    </row>
    <row r="607" spans="2:9">
      <c r="B607" s="555" t="str">
        <f t="shared" si="51"/>
        <v/>
      </c>
      <c r="C607" s="556" t="str">
        <f t="shared" si="52"/>
        <v/>
      </c>
      <c r="D607" s="557" t="str">
        <f t="shared" si="53"/>
        <v/>
      </c>
      <c r="E607" s="560"/>
      <c r="F607" s="559"/>
      <c r="G607" s="559" t="str">
        <f t="shared" si="54"/>
        <v/>
      </c>
      <c r="H607" s="559" t="str">
        <f t="shared" si="55"/>
        <v/>
      </c>
      <c r="I607" s="559" t="str">
        <f t="shared" si="56"/>
        <v/>
      </c>
    </row>
    <row r="608" spans="2:9">
      <c r="B608" s="555" t="str">
        <f t="shared" si="51"/>
        <v/>
      </c>
      <c r="C608" s="556" t="str">
        <f t="shared" si="52"/>
        <v/>
      </c>
      <c r="D608" s="557" t="str">
        <f t="shared" si="53"/>
        <v/>
      </c>
      <c r="E608" s="560"/>
      <c r="F608" s="559"/>
      <c r="G608" s="559" t="str">
        <f t="shared" si="54"/>
        <v/>
      </c>
      <c r="H608" s="559" t="str">
        <f t="shared" si="55"/>
        <v/>
      </c>
      <c r="I608" s="559" t="str">
        <f t="shared" si="56"/>
        <v/>
      </c>
    </row>
    <row r="609" spans="2:9">
      <c r="B609" s="555" t="str">
        <f t="shared" si="51"/>
        <v/>
      </c>
      <c r="C609" s="556" t="str">
        <f t="shared" si="52"/>
        <v/>
      </c>
      <c r="D609" s="557" t="str">
        <f t="shared" si="53"/>
        <v/>
      </c>
      <c r="E609" s="560"/>
      <c r="F609" s="559"/>
      <c r="G609" s="559" t="str">
        <f t="shared" si="54"/>
        <v/>
      </c>
      <c r="H609" s="559" t="str">
        <f t="shared" si="55"/>
        <v/>
      </c>
      <c r="I609" s="559" t="str">
        <f t="shared" si="56"/>
        <v/>
      </c>
    </row>
    <row r="610" spans="2:9">
      <c r="B610" s="555" t="str">
        <f t="shared" si="51"/>
        <v/>
      </c>
      <c r="C610" s="556" t="str">
        <f t="shared" si="52"/>
        <v/>
      </c>
      <c r="D610" s="557" t="str">
        <f t="shared" si="53"/>
        <v/>
      </c>
      <c r="E610" s="560"/>
      <c r="F610" s="559"/>
      <c r="G610" s="559" t="str">
        <f t="shared" si="54"/>
        <v/>
      </c>
      <c r="H610" s="559" t="str">
        <f t="shared" si="55"/>
        <v/>
      </c>
      <c r="I610" s="559" t="str">
        <f t="shared" si="56"/>
        <v/>
      </c>
    </row>
    <row r="611" spans="2:9">
      <c r="B611" s="555" t="str">
        <f t="shared" si="51"/>
        <v/>
      </c>
      <c r="C611" s="556" t="str">
        <f t="shared" si="52"/>
        <v/>
      </c>
      <c r="D611" s="557" t="str">
        <f t="shared" si="53"/>
        <v/>
      </c>
      <c r="E611" s="560"/>
      <c r="F611" s="559"/>
      <c r="G611" s="559" t="str">
        <f t="shared" si="54"/>
        <v/>
      </c>
      <c r="H611" s="559" t="str">
        <f t="shared" si="55"/>
        <v/>
      </c>
      <c r="I611" s="559" t="str">
        <f t="shared" si="56"/>
        <v/>
      </c>
    </row>
    <row r="612" spans="2:9">
      <c r="B612" s="555" t="str">
        <f t="shared" si="51"/>
        <v/>
      </c>
      <c r="C612" s="556" t="str">
        <f t="shared" si="52"/>
        <v/>
      </c>
      <c r="D612" s="557" t="str">
        <f t="shared" si="53"/>
        <v/>
      </c>
      <c r="E612" s="560"/>
      <c r="F612" s="559"/>
      <c r="G612" s="559" t="str">
        <f t="shared" si="54"/>
        <v/>
      </c>
      <c r="H612" s="559" t="str">
        <f t="shared" si="55"/>
        <v/>
      </c>
      <c r="I612" s="559" t="str">
        <f t="shared" si="56"/>
        <v/>
      </c>
    </row>
    <row r="613" spans="2:9">
      <c r="B613" s="555" t="str">
        <f t="shared" si="51"/>
        <v/>
      </c>
      <c r="C613" s="556" t="str">
        <f t="shared" si="52"/>
        <v/>
      </c>
      <c r="D613" s="557" t="str">
        <f t="shared" si="53"/>
        <v/>
      </c>
      <c r="E613" s="560"/>
      <c r="F613" s="559"/>
      <c r="G613" s="559" t="str">
        <f t="shared" si="54"/>
        <v/>
      </c>
      <c r="H613" s="559" t="str">
        <f t="shared" si="55"/>
        <v/>
      </c>
      <c r="I613" s="559" t="str">
        <f t="shared" si="56"/>
        <v/>
      </c>
    </row>
    <row r="614" spans="2:9">
      <c r="B614" s="555" t="str">
        <f t="shared" si="51"/>
        <v/>
      </c>
      <c r="C614" s="556" t="str">
        <f t="shared" si="52"/>
        <v/>
      </c>
      <c r="D614" s="557" t="str">
        <f t="shared" si="53"/>
        <v/>
      </c>
      <c r="E614" s="560"/>
      <c r="F614" s="559"/>
      <c r="G614" s="559" t="str">
        <f t="shared" si="54"/>
        <v/>
      </c>
      <c r="H614" s="559" t="str">
        <f t="shared" si="55"/>
        <v/>
      </c>
      <c r="I614" s="559" t="str">
        <f t="shared" si="56"/>
        <v/>
      </c>
    </row>
    <row r="615" spans="2:9">
      <c r="B615" s="555" t="str">
        <f t="shared" si="51"/>
        <v/>
      </c>
      <c r="C615" s="556" t="str">
        <f t="shared" si="52"/>
        <v/>
      </c>
      <c r="D615" s="557" t="str">
        <f t="shared" si="53"/>
        <v/>
      </c>
      <c r="E615" s="560"/>
      <c r="F615" s="559"/>
      <c r="G615" s="559" t="str">
        <f t="shared" si="54"/>
        <v/>
      </c>
      <c r="H615" s="559" t="str">
        <f t="shared" si="55"/>
        <v/>
      </c>
      <c r="I615" s="559" t="str">
        <f t="shared" si="56"/>
        <v/>
      </c>
    </row>
    <row r="616" spans="2:9">
      <c r="B616" s="555" t="str">
        <f t="shared" si="51"/>
        <v/>
      </c>
      <c r="C616" s="556" t="str">
        <f t="shared" si="52"/>
        <v/>
      </c>
      <c r="D616" s="557" t="str">
        <f t="shared" si="53"/>
        <v/>
      </c>
      <c r="E616" s="560"/>
      <c r="F616" s="559"/>
      <c r="G616" s="559" t="str">
        <f t="shared" si="54"/>
        <v/>
      </c>
      <c r="H616" s="559" t="str">
        <f t="shared" si="55"/>
        <v/>
      </c>
      <c r="I616" s="559" t="str">
        <f t="shared" si="56"/>
        <v/>
      </c>
    </row>
    <row r="617" spans="2:9">
      <c r="B617" s="555" t="str">
        <f t="shared" si="51"/>
        <v/>
      </c>
      <c r="C617" s="556" t="str">
        <f t="shared" si="52"/>
        <v/>
      </c>
      <c r="D617" s="557" t="str">
        <f t="shared" si="53"/>
        <v/>
      </c>
      <c r="E617" s="560"/>
      <c r="F617" s="559"/>
      <c r="G617" s="559" t="str">
        <f t="shared" si="54"/>
        <v/>
      </c>
      <c r="H617" s="559" t="str">
        <f t="shared" si="55"/>
        <v/>
      </c>
      <c r="I617" s="559" t="str">
        <f t="shared" si="56"/>
        <v/>
      </c>
    </row>
    <row r="618" spans="2:9">
      <c r="B618" s="555" t="str">
        <f t="shared" si="51"/>
        <v/>
      </c>
      <c r="C618" s="556" t="str">
        <f t="shared" si="52"/>
        <v/>
      </c>
      <c r="D618" s="557" t="str">
        <f t="shared" si="53"/>
        <v/>
      </c>
      <c r="E618" s="560"/>
      <c r="F618" s="559"/>
      <c r="G618" s="559" t="str">
        <f t="shared" si="54"/>
        <v/>
      </c>
      <c r="H618" s="559" t="str">
        <f t="shared" si="55"/>
        <v/>
      </c>
      <c r="I618" s="559" t="str">
        <f t="shared" si="56"/>
        <v/>
      </c>
    </row>
    <row r="619" spans="2:9">
      <c r="B619" s="555" t="str">
        <f t="shared" si="51"/>
        <v/>
      </c>
      <c r="C619" s="556" t="str">
        <f t="shared" si="52"/>
        <v/>
      </c>
      <c r="D619" s="557" t="str">
        <f t="shared" si="53"/>
        <v/>
      </c>
      <c r="E619" s="560"/>
      <c r="F619" s="559"/>
      <c r="G619" s="559" t="str">
        <f t="shared" si="54"/>
        <v/>
      </c>
      <c r="H619" s="559" t="str">
        <f t="shared" si="55"/>
        <v/>
      </c>
      <c r="I619" s="559" t="str">
        <f t="shared" si="56"/>
        <v/>
      </c>
    </row>
    <row r="620" spans="2:9">
      <c r="B620" s="555" t="str">
        <f t="shared" si="51"/>
        <v/>
      </c>
      <c r="C620" s="556" t="str">
        <f t="shared" si="52"/>
        <v/>
      </c>
      <c r="D620" s="557" t="str">
        <f t="shared" si="53"/>
        <v/>
      </c>
      <c r="E620" s="560"/>
      <c r="F620" s="559"/>
      <c r="G620" s="559" t="str">
        <f t="shared" si="54"/>
        <v/>
      </c>
      <c r="H620" s="559" t="str">
        <f t="shared" si="55"/>
        <v/>
      </c>
      <c r="I620" s="559" t="str">
        <f t="shared" si="56"/>
        <v/>
      </c>
    </row>
    <row r="621" spans="2:9">
      <c r="B621" s="555" t="str">
        <f t="shared" si="51"/>
        <v/>
      </c>
      <c r="C621" s="556" t="str">
        <f t="shared" si="52"/>
        <v/>
      </c>
      <c r="D621" s="557" t="str">
        <f t="shared" si="53"/>
        <v/>
      </c>
      <c r="E621" s="560"/>
      <c r="F621" s="559"/>
      <c r="G621" s="559" t="str">
        <f t="shared" si="54"/>
        <v/>
      </c>
      <c r="H621" s="559" t="str">
        <f t="shared" si="55"/>
        <v/>
      </c>
      <c r="I621" s="559" t="str">
        <f t="shared" si="56"/>
        <v/>
      </c>
    </row>
    <row r="622" spans="2:9">
      <c r="B622" s="555" t="str">
        <f t="shared" si="51"/>
        <v/>
      </c>
      <c r="C622" s="556" t="str">
        <f t="shared" si="52"/>
        <v/>
      </c>
      <c r="D622" s="557" t="str">
        <f t="shared" si="53"/>
        <v/>
      </c>
      <c r="E622" s="560"/>
      <c r="F622" s="559"/>
      <c r="G622" s="559" t="str">
        <f t="shared" si="54"/>
        <v/>
      </c>
      <c r="H622" s="559" t="str">
        <f t="shared" si="55"/>
        <v/>
      </c>
      <c r="I622" s="559" t="str">
        <f t="shared" si="56"/>
        <v/>
      </c>
    </row>
    <row r="623" spans="2:9">
      <c r="B623" s="555" t="str">
        <f t="shared" si="51"/>
        <v/>
      </c>
      <c r="C623" s="556" t="str">
        <f t="shared" si="52"/>
        <v/>
      </c>
      <c r="D623" s="557" t="str">
        <f t="shared" si="53"/>
        <v/>
      </c>
      <c r="E623" s="560"/>
      <c r="F623" s="559"/>
      <c r="G623" s="559" t="str">
        <f t="shared" si="54"/>
        <v/>
      </c>
      <c r="H623" s="559" t="str">
        <f t="shared" si="55"/>
        <v/>
      </c>
      <c r="I623" s="559" t="str">
        <f t="shared" si="56"/>
        <v/>
      </c>
    </row>
    <row r="624" spans="2:9">
      <c r="B624" s="555" t="str">
        <f t="shared" si="51"/>
        <v/>
      </c>
      <c r="C624" s="556" t="str">
        <f t="shared" si="52"/>
        <v/>
      </c>
      <c r="D624" s="557" t="str">
        <f t="shared" si="53"/>
        <v/>
      </c>
      <c r="E624" s="560"/>
      <c r="F624" s="559"/>
      <c r="G624" s="559" t="str">
        <f t="shared" si="54"/>
        <v/>
      </c>
      <c r="H624" s="559" t="str">
        <f t="shared" si="55"/>
        <v/>
      </c>
      <c r="I624" s="559" t="str">
        <f t="shared" si="56"/>
        <v/>
      </c>
    </row>
    <row r="625" spans="2:9">
      <c r="B625" s="555" t="str">
        <f t="shared" si="51"/>
        <v/>
      </c>
      <c r="C625" s="556" t="str">
        <f t="shared" si="52"/>
        <v/>
      </c>
      <c r="D625" s="557" t="str">
        <f t="shared" si="53"/>
        <v/>
      </c>
      <c r="E625" s="560"/>
      <c r="F625" s="559"/>
      <c r="G625" s="559" t="str">
        <f t="shared" si="54"/>
        <v/>
      </c>
      <c r="H625" s="559" t="str">
        <f t="shared" si="55"/>
        <v/>
      </c>
      <c r="I625" s="559" t="str">
        <f t="shared" si="56"/>
        <v/>
      </c>
    </row>
    <row r="626" spans="2:9">
      <c r="B626" s="555" t="str">
        <f t="shared" si="51"/>
        <v/>
      </c>
      <c r="C626" s="556" t="str">
        <f t="shared" si="52"/>
        <v/>
      </c>
      <c r="D626" s="557" t="str">
        <f t="shared" si="53"/>
        <v/>
      </c>
      <c r="E626" s="560"/>
      <c r="F626" s="559"/>
      <c r="G626" s="559" t="str">
        <f t="shared" si="54"/>
        <v/>
      </c>
      <c r="H626" s="559" t="str">
        <f t="shared" si="55"/>
        <v/>
      </c>
      <c r="I626" s="559" t="str">
        <f t="shared" si="56"/>
        <v/>
      </c>
    </row>
    <row r="627" spans="2:9">
      <c r="B627" s="555" t="str">
        <f t="shared" si="51"/>
        <v/>
      </c>
      <c r="C627" s="556" t="str">
        <f t="shared" si="52"/>
        <v/>
      </c>
      <c r="D627" s="557" t="str">
        <f t="shared" si="53"/>
        <v/>
      </c>
      <c r="E627" s="560"/>
      <c r="F627" s="559"/>
      <c r="G627" s="559" t="str">
        <f t="shared" si="54"/>
        <v/>
      </c>
      <c r="H627" s="559" t="str">
        <f t="shared" si="55"/>
        <v/>
      </c>
      <c r="I627" s="559" t="str">
        <f t="shared" si="56"/>
        <v/>
      </c>
    </row>
    <row r="628" spans="2:9">
      <c r="B628" s="555" t="str">
        <f t="shared" si="51"/>
        <v/>
      </c>
      <c r="C628" s="556" t="str">
        <f t="shared" si="52"/>
        <v/>
      </c>
      <c r="D628" s="557" t="str">
        <f t="shared" si="53"/>
        <v/>
      </c>
      <c r="E628" s="560"/>
      <c r="F628" s="559"/>
      <c r="G628" s="559" t="str">
        <f t="shared" si="54"/>
        <v/>
      </c>
      <c r="H628" s="559" t="str">
        <f t="shared" si="55"/>
        <v/>
      </c>
      <c r="I628" s="559" t="str">
        <f t="shared" si="56"/>
        <v/>
      </c>
    </row>
    <row r="629" spans="2:9">
      <c r="B629" s="555" t="str">
        <f t="shared" si="51"/>
        <v/>
      </c>
      <c r="C629" s="556" t="str">
        <f t="shared" si="52"/>
        <v/>
      </c>
      <c r="D629" s="557" t="str">
        <f t="shared" si="53"/>
        <v/>
      </c>
      <c r="E629" s="560"/>
      <c r="F629" s="559"/>
      <c r="G629" s="559" t="str">
        <f t="shared" si="54"/>
        <v/>
      </c>
      <c r="H629" s="559" t="str">
        <f t="shared" si="55"/>
        <v/>
      </c>
      <c r="I629" s="559" t="str">
        <f t="shared" si="56"/>
        <v/>
      </c>
    </row>
    <row r="630" spans="2:9">
      <c r="B630" s="555" t="str">
        <f t="shared" si="51"/>
        <v/>
      </c>
      <c r="C630" s="556" t="str">
        <f t="shared" si="52"/>
        <v/>
      </c>
      <c r="D630" s="557" t="str">
        <f t="shared" si="53"/>
        <v/>
      </c>
      <c r="E630" s="560"/>
      <c r="F630" s="559"/>
      <c r="G630" s="559" t="str">
        <f t="shared" si="54"/>
        <v/>
      </c>
      <c r="H630" s="559" t="str">
        <f t="shared" si="55"/>
        <v/>
      </c>
      <c r="I630" s="559" t="str">
        <f t="shared" si="56"/>
        <v/>
      </c>
    </row>
    <row r="631" spans="2:9">
      <c r="B631" s="555" t="str">
        <f t="shared" si="51"/>
        <v/>
      </c>
      <c r="C631" s="556" t="str">
        <f t="shared" si="52"/>
        <v/>
      </c>
      <c r="D631" s="557" t="str">
        <f t="shared" si="53"/>
        <v/>
      </c>
      <c r="E631" s="560"/>
      <c r="F631" s="559"/>
      <c r="G631" s="559" t="str">
        <f t="shared" si="54"/>
        <v/>
      </c>
      <c r="H631" s="559" t="str">
        <f t="shared" si="55"/>
        <v/>
      </c>
      <c r="I631" s="559" t="str">
        <f t="shared" si="56"/>
        <v/>
      </c>
    </row>
    <row r="632" spans="2:9">
      <c r="B632" s="555" t="str">
        <f t="shared" si="51"/>
        <v/>
      </c>
      <c r="C632" s="556" t="str">
        <f t="shared" si="52"/>
        <v/>
      </c>
      <c r="D632" s="557" t="str">
        <f t="shared" si="53"/>
        <v/>
      </c>
      <c r="E632" s="560"/>
      <c r="F632" s="559"/>
      <c r="G632" s="559" t="str">
        <f t="shared" si="54"/>
        <v/>
      </c>
      <c r="H632" s="559" t="str">
        <f t="shared" si="55"/>
        <v/>
      </c>
      <c r="I632" s="559" t="str">
        <f t="shared" si="56"/>
        <v/>
      </c>
    </row>
    <row r="633" spans="2:9">
      <c r="B633" s="555" t="str">
        <f t="shared" si="51"/>
        <v/>
      </c>
      <c r="C633" s="556" t="str">
        <f t="shared" si="52"/>
        <v/>
      </c>
      <c r="D633" s="557" t="str">
        <f t="shared" si="53"/>
        <v/>
      </c>
      <c r="E633" s="560"/>
      <c r="F633" s="559"/>
      <c r="G633" s="559" t="str">
        <f t="shared" si="54"/>
        <v/>
      </c>
      <c r="H633" s="559" t="str">
        <f t="shared" si="55"/>
        <v/>
      </c>
      <c r="I633" s="559" t="str">
        <f t="shared" si="56"/>
        <v/>
      </c>
    </row>
    <row r="634" spans="2:9">
      <c r="B634" s="555" t="str">
        <f t="shared" si="51"/>
        <v/>
      </c>
      <c r="C634" s="556" t="str">
        <f t="shared" si="52"/>
        <v/>
      </c>
      <c r="D634" s="557" t="str">
        <f t="shared" si="53"/>
        <v/>
      </c>
      <c r="E634" s="560"/>
      <c r="F634" s="559"/>
      <c r="G634" s="559" t="str">
        <f t="shared" si="54"/>
        <v/>
      </c>
      <c r="H634" s="559" t="str">
        <f t="shared" si="55"/>
        <v/>
      </c>
      <c r="I634" s="559" t="str">
        <f t="shared" si="56"/>
        <v/>
      </c>
    </row>
    <row r="635" spans="2:9">
      <c r="B635" s="555" t="str">
        <f t="shared" si="51"/>
        <v/>
      </c>
      <c r="C635" s="556" t="str">
        <f t="shared" si="52"/>
        <v/>
      </c>
      <c r="D635" s="557" t="str">
        <f t="shared" si="53"/>
        <v/>
      </c>
      <c r="E635" s="560"/>
      <c r="F635" s="559"/>
      <c r="G635" s="559" t="str">
        <f t="shared" si="54"/>
        <v/>
      </c>
      <c r="H635" s="559" t="str">
        <f t="shared" si="55"/>
        <v/>
      </c>
      <c r="I635" s="559" t="str">
        <f t="shared" si="56"/>
        <v/>
      </c>
    </row>
    <row r="636" spans="2:9">
      <c r="B636" s="555" t="str">
        <f t="shared" si="51"/>
        <v/>
      </c>
      <c r="C636" s="556" t="str">
        <f t="shared" si="52"/>
        <v/>
      </c>
      <c r="D636" s="557" t="str">
        <f t="shared" si="53"/>
        <v/>
      </c>
      <c r="E636" s="560"/>
      <c r="F636" s="559"/>
      <c r="G636" s="559" t="str">
        <f t="shared" si="54"/>
        <v/>
      </c>
      <c r="H636" s="559" t="str">
        <f t="shared" si="55"/>
        <v/>
      </c>
      <c r="I636" s="559" t="str">
        <f t="shared" si="56"/>
        <v/>
      </c>
    </row>
    <row r="637" spans="2:9">
      <c r="B637" s="555" t="str">
        <f t="shared" ref="B637:B700" si="57">IF(I636="","",IF(roundOpt,IF(OR(B636&gt;=nper,ROUND(I636,2)&lt;=0),"",B636+1),IF(OR(B636&gt;=nper,I636&lt;=0),"",B636+1)))</f>
        <v/>
      </c>
      <c r="C637" s="556" t="str">
        <f t="shared" ref="C637:C700" si="58">IF(B637="","",IF(OR(periods_per_year=26,periods_per_year=52),IF(periods_per_year=26,IF(B637=1,fpdate,C636+14),IF(periods_per_year=52,IF(B637=1,fpdate,C636+7),"n/a")),IF(periods_per_year=24,DATE(YEAR(fpdate),MONTH(fpdate)+(B637-1)/2+IF(AND(DAY(fpdate)&gt;=15,MOD(B637,2)=0),1,0),IF(MOD(B637,2)=0,IF(DAY(fpdate)&gt;=15,DAY(fpdate)-14,DAY(fpdate)+14),DAY(fpdate))),IF(DAY(DATE(YEAR(fpdate),MONTH(fpdate)+(B637-1)*months_per_period,DAY(fpdate)))&lt;&gt;DAY(fpdate),DATE(YEAR(fpdate),MONTH(fpdate)+(B637-1)*months_per_period+1,0),DATE(YEAR(fpdate),MONTH(fpdate)+(B637-1)*months_per_period,DAY(fpdate))))))</f>
        <v/>
      </c>
      <c r="D637" s="557" t="str">
        <f t="shared" ref="D637:D700" si="59">IF(B637="","",IF(roundOpt,IF(OR(B637=nper,payment&gt;ROUND((1+rate)*I636,2)),ROUND((1+rate)*I636,2),payment),IF(OR(B637=nper,payment&gt;(1+rate)*I636),(1+rate)*I636,payment)))</f>
        <v/>
      </c>
      <c r="E637" s="560"/>
      <c r="F637" s="559"/>
      <c r="G637" s="559" t="str">
        <f t="shared" ref="G637:G700" si="60">IF(B637="","",IF(AND(B637=1,pmtType=1),0,IF(roundOpt,ROUND(rate*I636,2),rate*I636)))</f>
        <v/>
      </c>
      <c r="H637" s="559" t="str">
        <f t="shared" ref="H637:H700" si="61">IF(B637="","",D637-G637+E637)</f>
        <v/>
      </c>
      <c r="I637" s="559" t="str">
        <f t="shared" ref="I637:I700" si="62">IF(B637="","",I636-H637)</f>
        <v/>
      </c>
    </row>
    <row r="638" spans="2:9">
      <c r="B638" s="555" t="str">
        <f t="shared" si="57"/>
        <v/>
      </c>
      <c r="C638" s="556" t="str">
        <f t="shared" si="58"/>
        <v/>
      </c>
      <c r="D638" s="557" t="str">
        <f t="shared" si="59"/>
        <v/>
      </c>
      <c r="E638" s="560"/>
      <c r="F638" s="559"/>
      <c r="G638" s="559" t="str">
        <f t="shared" si="60"/>
        <v/>
      </c>
      <c r="H638" s="559" t="str">
        <f t="shared" si="61"/>
        <v/>
      </c>
      <c r="I638" s="559" t="str">
        <f t="shared" si="62"/>
        <v/>
      </c>
    </row>
    <row r="639" spans="2:9">
      <c r="B639" s="555" t="str">
        <f t="shared" si="57"/>
        <v/>
      </c>
      <c r="C639" s="556" t="str">
        <f t="shared" si="58"/>
        <v/>
      </c>
      <c r="D639" s="557" t="str">
        <f t="shared" si="59"/>
        <v/>
      </c>
      <c r="E639" s="560"/>
      <c r="F639" s="559"/>
      <c r="G639" s="559" t="str">
        <f t="shared" si="60"/>
        <v/>
      </c>
      <c r="H639" s="559" t="str">
        <f t="shared" si="61"/>
        <v/>
      </c>
      <c r="I639" s="559" t="str">
        <f t="shared" si="62"/>
        <v/>
      </c>
    </row>
    <row r="640" spans="2:9">
      <c r="B640" s="555" t="str">
        <f t="shared" si="57"/>
        <v/>
      </c>
      <c r="C640" s="556" t="str">
        <f t="shared" si="58"/>
        <v/>
      </c>
      <c r="D640" s="557" t="str">
        <f t="shared" si="59"/>
        <v/>
      </c>
      <c r="E640" s="560"/>
      <c r="F640" s="559"/>
      <c r="G640" s="559" t="str">
        <f t="shared" si="60"/>
        <v/>
      </c>
      <c r="H640" s="559" t="str">
        <f t="shared" si="61"/>
        <v/>
      </c>
      <c r="I640" s="559" t="str">
        <f t="shared" si="62"/>
        <v/>
      </c>
    </row>
    <row r="641" spans="2:9">
      <c r="B641" s="555" t="str">
        <f t="shared" si="57"/>
        <v/>
      </c>
      <c r="C641" s="556" t="str">
        <f t="shared" si="58"/>
        <v/>
      </c>
      <c r="D641" s="557" t="str">
        <f t="shared" si="59"/>
        <v/>
      </c>
      <c r="E641" s="560"/>
      <c r="F641" s="559"/>
      <c r="G641" s="559" t="str">
        <f t="shared" si="60"/>
        <v/>
      </c>
      <c r="H641" s="559" t="str">
        <f t="shared" si="61"/>
        <v/>
      </c>
      <c r="I641" s="559" t="str">
        <f t="shared" si="62"/>
        <v/>
      </c>
    </row>
    <row r="642" spans="2:9">
      <c r="B642" s="555" t="str">
        <f t="shared" si="57"/>
        <v/>
      </c>
      <c r="C642" s="556" t="str">
        <f t="shared" si="58"/>
        <v/>
      </c>
      <c r="D642" s="557" t="str">
        <f t="shared" si="59"/>
        <v/>
      </c>
      <c r="E642" s="560"/>
      <c r="F642" s="559"/>
      <c r="G642" s="559" t="str">
        <f t="shared" si="60"/>
        <v/>
      </c>
      <c r="H642" s="559" t="str">
        <f t="shared" si="61"/>
        <v/>
      </c>
      <c r="I642" s="559" t="str">
        <f t="shared" si="62"/>
        <v/>
      </c>
    </row>
    <row r="643" spans="2:9">
      <c r="B643" s="555" t="str">
        <f t="shared" si="57"/>
        <v/>
      </c>
      <c r="C643" s="556" t="str">
        <f t="shared" si="58"/>
        <v/>
      </c>
      <c r="D643" s="557" t="str">
        <f t="shared" si="59"/>
        <v/>
      </c>
      <c r="E643" s="560"/>
      <c r="F643" s="559"/>
      <c r="G643" s="559" t="str">
        <f t="shared" si="60"/>
        <v/>
      </c>
      <c r="H643" s="559" t="str">
        <f t="shared" si="61"/>
        <v/>
      </c>
      <c r="I643" s="559" t="str">
        <f t="shared" si="62"/>
        <v/>
      </c>
    </row>
    <row r="644" spans="2:9">
      <c r="B644" s="555" t="str">
        <f t="shared" si="57"/>
        <v/>
      </c>
      <c r="C644" s="556" t="str">
        <f t="shared" si="58"/>
        <v/>
      </c>
      <c r="D644" s="557" t="str">
        <f t="shared" si="59"/>
        <v/>
      </c>
      <c r="E644" s="560"/>
      <c r="F644" s="559"/>
      <c r="G644" s="559" t="str">
        <f t="shared" si="60"/>
        <v/>
      </c>
      <c r="H644" s="559" t="str">
        <f t="shared" si="61"/>
        <v/>
      </c>
      <c r="I644" s="559" t="str">
        <f t="shared" si="62"/>
        <v/>
      </c>
    </row>
    <row r="645" spans="2:9">
      <c r="B645" s="555" t="str">
        <f t="shared" si="57"/>
        <v/>
      </c>
      <c r="C645" s="556" t="str">
        <f t="shared" si="58"/>
        <v/>
      </c>
      <c r="D645" s="557" t="str">
        <f t="shared" si="59"/>
        <v/>
      </c>
      <c r="E645" s="560"/>
      <c r="F645" s="559"/>
      <c r="G645" s="559" t="str">
        <f t="shared" si="60"/>
        <v/>
      </c>
      <c r="H645" s="559" t="str">
        <f t="shared" si="61"/>
        <v/>
      </c>
      <c r="I645" s="559" t="str">
        <f t="shared" si="62"/>
        <v/>
      </c>
    </row>
    <row r="646" spans="2:9">
      <c r="B646" s="555" t="str">
        <f t="shared" si="57"/>
        <v/>
      </c>
      <c r="C646" s="556" t="str">
        <f t="shared" si="58"/>
        <v/>
      </c>
      <c r="D646" s="557" t="str">
        <f t="shared" si="59"/>
        <v/>
      </c>
      <c r="E646" s="560"/>
      <c r="F646" s="559"/>
      <c r="G646" s="559" t="str">
        <f t="shared" si="60"/>
        <v/>
      </c>
      <c r="H646" s="559" t="str">
        <f t="shared" si="61"/>
        <v/>
      </c>
      <c r="I646" s="559" t="str">
        <f t="shared" si="62"/>
        <v/>
      </c>
    </row>
    <row r="647" spans="2:9">
      <c r="B647" s="555" t="str">
        <f t="shared" si="57"/>
        <v/>
      </c>
      <c r="C647" s="556" t="str">
        <f t="shared" si="58"/>
        <v/>
      </c>
      <c r="D647" s="557" t="str">
        <f t="shared" si="59"/>
        <v/>
      </c>
      <c r="E647" s="560"/>
      <c r="F647" s="559"/>
      <c r="G647" s="559" t="str">
        <f t="shared" si="60"/>
        <v/>
      </c>
      <c r="H647" s="559" t="str">
        <f t="shared" si="61"/>
        <v/>
      </c>
      <c r="I647" s="559" t="str">
        <f t="shared" si="62"/>
        <v/>
      </c>
    </row>
    <row r="648" spans="2:9">
      <c r="B648" s="555" t="str">
        <f t="shared" si="57"/>
        <v/>
      </c>
      <c r="C648" s="556" t="str">
        <f t="shared" si="58"/>
        <v/>
      </c>
      <c r="D648" s="557" t="str">
        <f t="shared" si="59"/>
        <v/>
      </c>
      <c r="E648" s="560"/>
      <c r="F648" s="559"/>
      <c r="G648" s="559" t="str">
        <f t="shared" si="60"/>
        <v/>
      </c>
      <c r="H648" s="559" t="str">
        <f t="shared" si="61"/>
        <v/>
      </c>
      <c r="I648" s="559" t="str">
        <f t="shared" si="62"/>
        <v/>
      </c>
    </row>
    <row r="649" spans="2:9">
      <c r="B649" s="555" t="str">
        <f t="shared" si="57"/>
        <v/>
      </c>
      <c r="C649" s="556" t="str">
        <f t="shared" si="58"/>
        <v/>
      </c>
      <c r="D649" s="557" t="str">
        <f t="shared" si="59"/>
        <v/>
      </c>
      <c r="E649" s="560"/>
      <c r="F649" s="559"/>
      <c r="G649" s="559" t="str">
        <f t="shared" si="60"/>
        <v/>
      </c>
      <c r="H649" s="559" t="str">
        <f t="shared" si="61"/>
        <v/>
      </c>
      <c r="I649" s="559" t="str">
        <f t="shared" si="62"/>
        <v/>
      </c>
    </row>
    <row r="650" spans="2:9">
      <c r="B650" s="555" t="str">
        <f t="shared" si="57"/>
        <v/>
      </c>
      <c r="C650" s="556" t="str">
        <f t="shared" si="58"/>
        <v/>
      </c>
      <c r="D650" s="557" t="str">
        <f t="shared" si="59"/>
        <v/>
      </c>
      <c r="E650" s="560"/>
      <c r="F650" s="559"/>
      <c r="G650" s="559" t="str">
        <f t="shared" si="60"/>
        <v/>
      </c>
      <c r="H650" s="559" t="str">
        <f t="shared" si="61"/>
        <v/>
      </c>
      <c r="I650" s="559" t="str">
        <f t="shared" si="62"/>
        <v/>
      </c>
    </row>
    <row r="651" spans="2:9">
      <c r="B651" s="555" t="str">
        <f t="shared" si="57"/>
        <v/>
      </c>
      <c r="C651" s="556" t="str">
        <f t="shared" si="58"/>
        <v/>
      </c>
      <c r="D651" s="557" t="str">
        <f t="shared" si="59"/>
        <v/>
      </c>
      <c r="E651" s="560"/>
      <c r="F651" s="559"/>
      <c r="G651" s="559" t="str">
        <f t="shared" si="60"/>
        <v/>
      </c>
      <c r="H651" s="559" t="str">
        <f t="shared" si="61"/>
        <v/>
      </c>
      <c r="I651" s="559" t="str">
        <f t="shared" si="62"/>
        <v/>
      </c>
    </row>
    <row r="652" spans="2:9">
      <c r="B652" s="555" t="str">
        <f t="shared" si="57"/>
        <v/>
      </c>
      <c r="C652" s="556" t="str">
        <f t="shared" si="58"/>
        <v/>
      </c>
      <c r="D652" s="557" t="str">
        <f t="shared" si="59"/>
        <v/>
      </c>
      <c r="E652" s="560"/>
      <c r="F652" s="559"/>
      <c r="G652" s="559" t="str">
        <f t="shared" si="60"/>
        <v/>
      </c>
      <c r="H652" s="559" t="str">
        <f t="shared" si="61"/>
        <v/>
      </c>
      <c r="I652" s="559" t="str">
        <f t="shared" si="62"/>
        <v/>
      </c>
    </row>
    <row r="653" spans="2:9">
      <c r="B653" s="555" t="str">
        <f t="shared" si="57"/>
        <v/>
      </c>
      <c r="C653" s="556" t="str">
        <f t="shared" si="58"/>
        <v/>
      </c>
      <c r="D653" s="557" t="str">
        <f t="shared" si="59"/>
        <v/>
      </c>
      <c r="E653" s="560"/>
      <c r="F653" s="559"/>
      <c r="G653" s="559" t="str">
        <f t="shared" si="60"/>
        <v/>
      </c>
      <c r="H653" s="559" t="str">
        <f t="shared" si="61"/>
        <v/>
      </c>
      <c r="I653" s="559" t="str">
        <f t="shared" si="62"/>
        <v/>
      </c>
    </row>
    <row r="654" spans="2:9">
      <c r="B654" s="555" t="str">
        <f t="shared" si="57"/>
        <v/>
      </c>
      <c r="C654" s="556" t="str">
        <f t="shared" si="58"/>
        <v/>
      </c>
      <c r="D654" s="557" t="str">
        <f t="shared" si="59"/>
        <v/>
      </c>
      <c r="E654" s="560"/>
      <c r="F654" s="559"/>
      <c r="G654" s="559" t="str">
        <f t="shared" si="60"/>
        <v/>
      </c>
      <c r="H654" s="559" t="str">
        <f t="shared" si="61"/>
        <v/>
      </c>
      <c r="I654" s="559" t="str">
        <f t="shared" si="62"/>
        <v/>
      </c>
    </row>
    <row r="655" spans="2:9">
      <c r="B655" s="555" t="str">
        <f t="shared" si="57"/>
        <v/>
      </c>
      <c r="C655" s="556" t="str">
        <f t="shared" si="58"/>
        <v/>
      </c>
      <c r="D655" s="557" t="str">
        <f t="shared" si="59"/>
        <v/>
      </c>
      <c r="E655" s="560"/>
      <c r="F655" s="559"/>
      <c r="G655" s="559" t="str">
        <f t="shared" si="60"/>
        <v/>
      </c>
      <c r="H655" s="559" t="str">
        <f t="shared" si="61"/>
        <v/>
      </c>
      <c r="I655" s="559" t="str">
        <f t="shared" si="62"/>
        <v/>
      </c>
    </row>
    <row r="656" spans="2:9">
      <c r="B656" s="555" t="str">
        <f t="shared" si="57"/>
        <v/>
      </c>
      <c r="C656" s="556" t="str">
        <f t="shared" si="58"/>
        <v/>
      </c>
      <c r="D656" s="557" t="str">
        <f t="shared" si="59"/>
        <v/>
      </c>
      <c r="E656" s="560"/>
      <c r="F656" s="559"/>
      <c r="G656" s="559" t="str">
        <f t="shared" si="60"/>
        <v/>
      </c>
      <c r="H656" s="559" t="str">
        <f t="shared" si="61"/>
        <v/>
      </c>
      <c r="I656" s="559" t="str">
        <f t="shared" si="62"/>
        <v/>
      </c>
    </row>
    <row r="657" spans="2:9">
      <c r="B657" s="555" t="str">
        <f t="shared" si="57"/>
        <v/>
      </c>
      <c r="C657" s="556" t="str">
        <f t="shared" si="58"/>
        <v/>
      </c>
      <c r="D657" s="557" t="str">
        <f t="shared" si="59"/>
        <v/>
      </c>
      <c r="E657" s="560"/>
      <c r="F657" s="559"/>
      <c r="G657" s="559" t="str">
        <f t="shared" si="60"/>
        <v/>
      </c>
      <c r="H657" s="559" t="str">
        <f t="shared" si="61"/>
        <v/>
      </c>
      <c r="I657" s="559" t="str">
        <f t="shared" si="62"/>
        <v/>
      </c>
    </row>
    <row r="658" spans="2:9">
      <c r="B658" s="555" t="str">
        <f t="shared" si="57"/>
        <v/>
      </c>
      <c r="C658" s="556" t="str">
        <f t="shared" si="58"/>
        <v/>
      </c>
      <c r="D658" s="557" t="str">
        <f t="shared" si="59"/>
        <v/>
      </c>
      <c r="E658" s="560"/>
      <c r="F658" s="559"/>
      <c r="G658" s="559" t="str">
        <f t="shared" si="60"/>
        <v/>
      </c>
      <c r="H658" s="559" t="str">
        <f t="shared" si="61"/>
        <v/>
      </c>
      <c r="I658" s="559" t="str">
        <f t="shared" si="62"/>
        <v/>
      </c>
    </row>
    <row r="659" spans="2:9">
      <c r="B659" s="555" t="str">
        <f t="shared" si="57"/>
        <v/>
      </c>
      <c r="C659" s="556" t="str">
        <f t="shared" si="58"/>
        <v/>
      </c>
      <c r="D659" s="557" t="str">
        <f t="shared" si="59"/>
        <v/>
      </c>
      <c r="E659" s="560"/>
      <c r="F659" s="559"/>
      <c r="G659" s="559" t="str">
        <f t="shared" si="60"/>
        <v/>
      </c>
      <c r="H659" s="559" t="str">
        <f t="shared" si="61"/>
        <v/>
      </c>
      <c r="I659" s="559" t="str">
        <f t="shared" si="62"/>
        <v/>
      </c>
    </row>
    <row r="660" spans="2:9">
      <c r="B660" s="555" t="str">
        <f t="shared" si="57"/>
        <v/>
      </c>
      <c r="C660" s="556" t="str">
        <f t="shared" si="58"/>
        <v/>
      </c>
      <c r="D660" s="557" t="str">
        <f t="shared" si="59"/>
        <v/>
      </c>
      <c r="E660" s="560"/>
      <c r="F660" s="559"/>
      <c r="G660" s="559" t="str">
        <f t="shared" si="60"/>
        <v/>
      </c>
      <c r="H660" s="559" t="str">
        <f t="shared" si="61"/>
        <v/>
      </c>
      <c r="I660" s="559" t="str">
        <f t="shared" si="62"/>
        <v/>
      </c>
    </row>
    <row r="661" spans="2:9">
      <c r="B661" s="555" t="str">
        <f t="shared" si="57"/>
        <v/>
      </c>
      <c r="C661" s="556" t="str">
        <f t="shared" si="58"/>
        <v/>
      </c>
      <c r="D661" s="557" t="str">
        <f t="shared" si="59"/>
        <v/>
      </c>
      <c r="E661" s="560"/>
      <c r="F661" s="559"/>
      <c r="G661" s="559" t="str">
        <f t="shared" si="60"/>
        <v/>
      </c>
      <c r="H661" s="559" t="str">
        <f t="shared" si="61"/>
        <v/>
      </c>
      <c r="I661" s="559" t="str">
        <f t="shared" si="62"/>
        <v/>
      </c>
    </row>
    <row r="662" spans="2:9">
      <c r="B662" s="555" t="str">
        <f t="shared" si="57"/>
        <v/>
      </c>
      <c r="C662" s="556" t="str">
        <f t="shared" si="58"/>
        <v/>
      </c>
      <c r="D662" s="557" t="str">
        <f t="shared" si="59"/>
        <v/>
      </c>
      <c r="E662" s="560"/>
      <c r="F662" s="559"/>
      <c r="G662" s="559" t="str">
        <f t="shared" si="60"/>
        <v/>
      </c>
      <c r="H662" s="559" t="str">
        <f t="shared" si="61"/>
        <v/>
      </c>
      <c r="I662" s="559" t="str">
        <f t="shared" si="62"/>
        <v/>
      </c>
    </row>
    <row r="663" spans="2:9">
      <c r="B663" s="555" t="str">
        <f t="shared" si="57"/>
        <v/>
      </c>
      <c r="C663" s="556" t="str">
        <f t="shared" si="58"/>
        <v/>
      </c>
      <c r="D663" s="557" t="str">
        <f t="shared" si="59"/>
        <v/>
      </c>
      <c r="E663" s="560"/>
      <c r="F663" s="559"/>
      <c r="G663" s="559" t="str">
        <f t="shared" si="60"/>
        <v/>
      </c>
      <c r="H663" s="559" t="str">
        <f t="shared" si="61"/>
        <v/>
      </c>
      <c r="I663" s="559" t="str">
        <f t="shared" si="62"/>
        <v/>
      </c>
    </row>
    <row r="664" spans="2:9">
      <c r="B664" s="555" t="str">
        <f t="shared" si="57"/>
        <v/>
      </c>
      <c r="C664" s="556" t="str">
        <f t="shared" si="58"/>
        <v/>
      </c>
      <c r="D664" s="557" t="str">
        <f t="shared" si="59"/>
        <v/>
      </c>
      <c r="E664" s="560"/>
      <c r="F664" s="559"/>
      <c r="G664" s="559" t="str">
        <f t="shared" si="60"/>
        <v/>
      </c>
      <c r="H664" s="559" t="str">
        <f t="shared" si="61"/>
        <v/>
      </c>
      <c r="I664" s="559" t="str">
        <f t="shared" si="62"/>
        <v/>
      </c>
    </row>
    <row r="665" spans="2:9">
      <c r="B665" s="555" t="str">
        <f t="shared" si="57"/>
        <v/>
      </c>
      <c r="C665" s="556" t="str">
        <f t="shared" si="58"/>
        <v/>
      </c>
      <c r="D665" s="557" t="str">
        <f t="shared" si="59"/>
        <v/>
      </c>
      <c r="E665" s="560"/>
      <c r="F665" s="559"/>
      <c r="G665" s="559" t="str">
        <f t="shared" si="60"/>
        <v/>
      </c>
      <c r="H665" s="559" t="str">
        <f t="shared" si="61"/>
        <v/>
      </c>
      <c r="I665" s="559" t="str">
        <f t="shared" si="62"/>
        <v/>
      </c>
    </row>
    <row r="666" spans="2:9">
      <c r="B666" s="555" t="str">
        <f t="shared" si="57"/>
        <v/>
      </c>
      <c r="C666" s="556" t="str">
        <f t="shared" si="58"/>
        <v/>
      </c>
      <c r="D666" s="557" t="str">
        <f t="shared" si="59"/>
        <v/>
      </c>
      <c r="E666" s="560"/>
      <c r="F666" s="559"/>
      <c r="G666" s="559" t="str">
        <f t="shared" si="60"/>
        <v/>
      </c>
      <c r="H666" s="559" t="str">
        <f t="shared" si="61"/>
        <v/>
      </c>
      <c r="I666" s="559" t="str">
        <f t="shared" si="62"/>
        <v/>
      </c>
    </row>
    <row r="667" spans="2:9">
      <c r="B667" s="555" t="str">
        <f t="shared" si="57"/>
        <v/>
      </c>
      <c r="C667" s="556" t="str">
        <f t="shared" si="58"/>
        <v/>
      </c>
      <c r="D667" s="557" t="str">
        <f t="shared" si="59"/>
        <v/>
      </c>
      <c r="E667" s="560"/>
      <c r="F667" s="559"/>
      <c r="G667" s="559" t="str">
        <f t="shared" si="60"/>
        <v/>
      </c>
      <c r="H667" s="559" t="str">
        <f t="shared" si="61"/>
        <v/>
      </c>
      <c r="I667" s="559" t="str">
        <f t="shared" si="62"/>
        <v/>
      </c>
    </row>
    <row r="668" spans="2:9">
      <c r="B668" s="555" t="str">
        <f t="shared" si="57"/>
        <v/>
      </c>
      <c r="C668" s="556" t="str">
        <f t="shared" si="58"/>
        <v/>
      </c>
      <c r="D668" s="557" t="str">
        <f t="shared" si="59"/>
        <v/>
      </c>
      <c r="E668" s="560"/>
      <c r="F668" s="559"/>
      <c r="G668" s="559" t="str">
        <f t="shared" si="60"/>
        <v/>
      </c>
      <c r="H668" s="559" t="str">
        <f t="shared" si="61"/>
        <v/>
      </c>
      <c r="I668" s="559" t="str">
        <f t="shared" si="62"/>
        <v/>
      </c>
    </row>
    <row r="669" spans="2:9">
      <c r="B669" s="555" t="str">
        <f t="shared" si="57"/>
        <v/>
      </c>
      <c r="C669" s="556" t="str">
        <f t="shared" si="58"/>
        <v/>
      </c>
      <c r="D669" s="557" t="str">
        <f t="shared" si="59"/>
        <v/>
      </c>
      <c r="E669" s="560"/>
      <c r="F669" s="559"/>
      <c r="G669" s="559" t="str">
        <f t="shared" si="60"/>
        <v/>
      </c>
      <c r="H669" s="559" t="str">
        <f t="shared" si="61"/>
        <v/>
      </c>
      <c r="I669" s="559" t="str">
        <f t="shared" si="62"/>
        <v/>
      </c>
    </row>
    <row r="670" spans="2:9">
      <c r="B670" s="555" t="str">
        <f t="shared" si="57"/>
        <v/>
      </c>
      <c r="C670" s="556" t="str">
        <f t="shared" si="58"/>
        <v/>
      </c>
      <c r="D670" s="557" t="str">
        <f t="shared" si="59"/>
        <v/>
      </c>
      <c r="E670" s="560"/>
      <c r="F670" s="559"/>
      <c r="G670" s="559" t="str">
        <f t="shared" si="60"/>
        <v/>
      </c>
      <c r="H670" s="559" t="str">
        <f t="shared" si="61"/>
        <v/>
      </c>
      <c r="I670" s="559" t="str">
        <f t="shared" si="62"/>
        <v/>
      </c>
    </row>
    <row r="671" spans="2:9">
      <c r="B671" s="555" t="str">
        <f t="shared" si="57"/>
        <v/>
      </c>
      <c r="C671" s="556" t="str">
        <f t="shared" si="58"/>
        <v/>
      </c>
      <c r="D671" s="557" t="str">
        <f t="shared" si="59"/>
        <v/>
      </c>
      <c r="E671" s="560"/>
      <c r="F671" s="559"/>
      <c r="G671" s="559" t="str">
        <f t="shared" si="60"/>
        <v/>
      </c>
      <c r="H671" s="559" t="str">
        <f t="shared" si="61"/>
        <v/>
      </c>
      <c r="I671" s="559" t="str">
        <f t="shared" si="62"/>
        <v/>
      </c>
    </row>
    <row r="672" spans="2:9">
      <c r="B672" s="555" t="str">
        <f t="shared" si="57"/>
        <v/>
      </c>
      <c r="C672" s="556" t="str">
        <f t="shared" si="58"/>
        <v/>
      </c>
      <c r="D672" s="557" t="str">
        <f t="shared" si="59"/>
        <v/>
      </c>
      <c r="E672" s="560"/>
      <c r="F672" s="559"/>
      <c r="G672" s="559" t="str">
        <f t="shared" si="60"/>
        <v/>
      </c>
      <c r="H672" s="559" t="str">
        <f t="shared" si="61"/>
        <v/>
      </c>
      <c r="I672" s="559" t="str">
        <f t="shared" si="62"/>
        <v/>
      </c>
    </row>
    <row r="673" spans="2:9">
      <c r="B673" s="555" t="str">
        <f t="shared" si="57"/>
        <v/>
      </c>
      <c r="C673" s="556" t="str">
        <f t="shared" si="58"/>
        <v/>
      </c>
      <c r="D673" s="557" t="str">
        <f t="shared" si="59"/>
        <v/>
      </c>
      <c r="E673" s="560"/>
      <c r="F673" s="559"/>
      <c r="G673" s="559" t="str">
        <f t="shared" si="60"/>
        <v/>
      </c>
      <c r="H673" s="559" t="str">
        <f t="shared" si="61"/>
        <v/>
      </c>
      <c r="I673" s="559" t="str">
        <f t="shared" si="62"/>
        <v/>
      </c>
    </row>
    <row r="674" spans="2:9">
      <c r="B674" s="555" t="str">
        <f t="shared" si="57"/>
        <v/>
      </c>
      <c r="C674" s="556" t="str">
        <f t="shared" si="58"/>
        <v/>
      </c>
      <c r="D674" s="557" t="str">
        <f t="shared" si="59"/>
        <v/>
      </c>
      <c r="E674" s="560"/>
      <c r="F674" s="559"/>
      <c r="G674" s="559" t="str">
        <f t="shared" si="60"/>
        <v/>
      </c>
      <c r="H674" s="559" t="str">
        <f t="shared" si="61"/>
        <v/>
      </c>
      <c r="I674" s="559" t="str">
        <f t="shared" si="62"/>
        <v/>
      </c>
    </row>
    <row r="675" spans="2:9">
      <c r="B675" s="555" t="str">
        <f t="shared" si="57"/>
        <v/>
      </c>
      <c r="C675" s="556" t="str">
        <f t="shared" si="58"/>
        <v/>
      </c>
      <c r="D675" s="557" t="str">
        <f t="shared" si="59"/>
        <v/>
      </c>
      <c r="E675" s="560"/>
      <c r="F675" s="559"/>
      <c r="G675" s="559" t="str">
        <f t="shared" si="60"/>
        <v/>
      </c>
      <c r="H675" s="559" t="str">
        <f t="shared" si="61"/>
        <v/>
      </c>
      <c r="I675" s="559" t="str">
        <f t="shared" si="62"/>
        <v/>
      </c>
    </row>
    <row r="676" spans="2:9">
      <c r="B676" s="555" t="str">
        <f t="shared" si="57"/>
        <v/>
      </c>
      <c r="C676" s="556" t="str">
        <f t="shared" si="58"/>
        <v/>
      </c>
      <c r="D676" s="557" t="str">
        <f t="shared" si="59"/>
        <v/>
      </c>
      <c r="E676" s="560"/>
      <c r="F676" s="559"/>
      <c r="G676" s="559" t="str">
        <f t="shared" si="60"/>
        <v/>
      </c>
      <c r="H676" s="559" t="str">
        <f t="shared" si="61"/>
        <v/>
      </c>
      <c r="I676" s="559" t="str">
        <f t="shared" si="62"/>
        <v/>
      </c>
    </row>
    <row r="677" spans="2:9">
      <c r="B677" s="555" t="str">
        <f t="shared" si="57"/>
        <v/>
      </c>
      <c r="C677" s="556" t="str">
        <f t="shared" si="58"/>
        <v/>
      </c>
      <c r="D677" s="557" t="str">
        <f t="shared" si="59"/>
        <v/>
      </c>
      <c r="E677" s="560"/>
      <c r="F677" s="559"/>
      <c r="G677" s="559" t="str">
        <f t="shared" si="60"/>
        <v/>
      </c>
      <c r="H677" s="559" t="str">
        <f t="shared" si="61"/>
        <v/>
      </c>
      <c r="I677" s="559" t="str">
        <f t="shared" si="62"/>
        <v/>
      </c>
    </row>
    <row r="678" spans="2:9">
      <c r="B678" s="555" t="str">
        <f t="shared" si="57"/>
        <v/>
      </c>
      <c r="C678" s="556" t="str">
        <f t="shared" si="58"/>
        <v/>
      </c>
      <c r="D678" s="557" t="str">
        <f t="shared" si="59"/>
        <v/>
      </c>
      <c r="E678" s="560"/>
      <c r="F678" s="559"/>
      <c r="G678" s="559" t="str">
        <f t="shared" si="60"/>
        <v/>
      </c>
      <c r="H678" s="559" t="str">
        <f t="shared" si="61"/>
        <v/>
      </c>
      <c r="I678" s="559" t="str">
        <f t="shared" si="62"/>
        <v/>
      </c>
    </row>
    <row r="679" spans="2:9">
      <c r="B679" s="555" t="str">
        <f t="shared" si="57"/>
        <v/>
      </c>
      <c r="C679" s="556" t="str">
        <f t="shared" si="58"/>
        <v/>
      </c>
      <c r="D679" s="557" t="str">
        <f t="shared" si="59"/>
        <v/>
      </c>
      <c r="E679" s="560"/>
      <c r="F679" s="559"/>
      <c r="G679" s="559" t="str">
        <f t="shared" si="60"/>
        <v/>
      </c>
      <c r="H679" s="559" t="str">
        <f t="shared" si="61"/>
        <v/>
      </c>
      <c r="I679" s="559" t="str">
        <f t="shared" si="62"/>
        <v/>
      </c>
    </row>
    <row r="680" spans="2:9">
      <c r="B680" s="555" t="str">
        <f t="shared" si="57"/>
        <v/>
      </c>
      <c r="C680" s="556" t="str">
        <f t="shared" si="58"/>
        <v/>
      </c>
      <c r="D680" s="557" t="str">
        <f t="shared" si="59"/>
        <v/>
      </c>
      <c r="E680" s="560"/>
      <c r="F680" s="559"/>
      <c r="G680" s="559" t="str">
        <f t="shared" si="60"/>
        <v/>
      </c>
      <c r="H680" s="559" t="str">
        <f t="shared" si="61"/>
        <v/>
      </c>
      <c r="I680" s="559" t="str">
        <f t="shared" si="62"/>
        <v/>
      </c>
    </row>
    <row r="681" spans="2:9">
      <c r="B681" s="555" t="str">
        <f t="shared" si="57"/>
        <v/>
      </c>
      <c r="C681" s="556" t="str">
        <f t="shared" si="58"/>
        <v/>
      </c>
      <c r="D681" s="557" t="str">
        <f t="shared" si="59"/>
        <v/>
      </c>
      <c r="E681" s="560"/>
      <c r="F681" s="559"/>
      <c r="G681" s="559" t="str">
        <f t="shared" si="60"/>
        <v/>
      </c>
      <c r="H681" s="559" t="str">
        <f t="shared" si="61"/>
        <v/>
      </c>
      <c r="I681" s="559" t="str">
        <f t="shared" si="62"/>
        <v/>
      </c>
    </row>
    <row r="682" spans="2:9">
      <c r="B682" s="555" t="str">
        <f t="shared" si="57"/>
        <v/>
      </c>
      <c r="C682" s="556" t="str">
        <f t="shared" si="58"/>
        <v/>
      </c>
      <c r="D682" s="557" t="str">
        <f t="shared" si="59"/>
        <v/>
      </c>
      <c r="E682" s="560"/>
      <c r="F682" s="559"/>
      <c r="G682" s="559" t="str">
        <f t="shared" si="60"/>
        <v/>
      </c>
      <c r="H682" s="559" t="str">
        <f t="shared" si="61"/>
        <v/>
      </c>
      <c r="I682" s="559" t="str">
        <f t="shared" si="62"/>
        <v/>
      </c>
    </row>
    <row r="683" spans="2:9">
      <c r="B683" s="555" t="str">
        <f t="shared" si="57"/>
        <v/>
      </c>
      <c r="C683" s="556" t="str">
        <f t="shared" si="58"/>
        <v/>
      </c>
      <c r="D683" s="557" t="str">
        <f t="shared" si="59"/>
        <v/>
      </c>
      <c r="E683" s="560"/>
      <c r="F683" s="559"/>
      <c r="G683" s="559" t="str">
        <f t="shared" si="60"/>
        <v/>
      </c>
      <c r="H683" s="559" t="str">
        <f t="shared" si="61"/>
        <v/>
      </c>
      <c r="I683" s="559" t="str">
        <f t="shared" si="62"/>
        <v/>
      </c>
    </row>
    <row r="684" spans="2:9">
      <c r="B684" s="555" t="str">
        <f t="shared" si="57"/>
        <v/>
      </c>
      <c r="C684" s="556" t="str">
        <f t="shared" si="58"/>
        <v/>
      </c>
      <c r="D684" s="557" t="str">
        <f t="shared" si="59"/>
        <v/>
      </c>
      <c r="E684" s="560"/>
      <c r="F684" s="559"/>
      <c r="G684" s="559" t="str">
        <f t="shared" si="60"/>
        <v/>
      </c>
      <c r="H684" s="559" t="str">
        <f t="shared" si="61"/>
        <v/>
      </c>
      <c r="I684" s="559" t="str">
        <f t="shared" si="62"/>
        <v/>
      </c>
    </row>
    <row r="685" spans="2:9">
      <c r="B685" s="555" t="str">
        <f t="shared" si="57"/>
        <v/>
      </c>
      <c r="C685" s="556" t="str">
        <f t="shared" si="58"/>
        <v/>
      </c>
      <c r="D685" s="557" t="str">
        <f t="shared" si="59"/>
        <v/>
      </c>
      <c r="E685" s="560"/>
      <c r="F685" s="559"/>
      <c r="G685" s="559" t="str">
        <f t="shared" si="60"/>
        <v/>
      </c>
      <c r="H685" s="559" t="str">
        <f t="shared" si="61"/>
        <v/>
      </c>
      <c r="I685" s="559" t="str">
        <f t="shared" si="62"/>
        <v/>
      </c>
    </row>
    <row r="686" spans="2:9">
      <c r="B686" s="555" t="str">
        <f t="shared" si="57"/>
        <v/>
      </c>
      <c r="C686" s="556" t="str">
        <f t="shared" si="58"/>
        <v/>
      </c>
      <c r="D686" s="557" t="str">
        <f t="shared" si="59"/>
        <v/>
      </c>
      <c r="E686" s="560"/>
      <c r="F686" s="559"/>
      <c r="G686" s="559" t="str">
        <f t="shared" si="60"/>
        <v/>
      </c>
      <c r="H686" s="559" t="str">
        <f t="shared" si="61"/>
        <v/>
      </c>
      <c r="I686" s="559" t="str">
        <f t="shared" si="62"/>
        <v/>
      </c>
    </row>
    <row r="687" spans="2:9">
      <c r="B687" s="555" t="str">
        <f t="shared" si="57"/>
        <v/>
      </c>
      <c r="C687" s="556" t="str">
        <f t="shared" si="58"/>
        <v/>
      </c>
      <c r="D687" s="557" t="str">
        <f t="shared" si="59"/>
        <v/>
      </c>
      <c r="E687" s="560"/>
      <c r="F687" s="559"/>
      <c r="G687" s="559" t="str">
        <f t="shared" si="60"/>
        <v/>
      </c>
      <c r="H687" s="559" t="str">
        <f t="shared" si="61"/>
        <v/>
      </c>
      <c r="I687" s="559" t="str">
        <f t="shared" si="62"/>
        <v/>
      </c>
    </row>
    <row r="688" spans="2:9">
      <c r="B688" s="555" t="str">
        <f t="shared" si="57"/>
        <v/>
      </c>
      <c r="C688" s="556" t="str">
        <f t="shared" si="58"/>
        <v/>
      </c>
      <c r="D688" s="557" t="str">
        <f t="shared" si="59"/>
        <v/>
      </c>
      <c r="E688" s="560"/>
      <c r="F688" s="559"/>
      <c r="G688" s="559" t="str">
        <f t="shared" si="60"/>
        <v/>
      </c>
      <c r="H688" s="559" t="str">
        <f t="shared" si="61"/>
        <v/>
      </c>
      <c r="I688" s="559" t="str">
        <f t="shared" si="62"/>
        <v/>
      </c>
    </row>
    <row r="689" spans="2:9">
      <c r="B689" s="555" t="str">
        <f t="shared" si="57"/>
        <v/>
      </c>
      <c r="C689" s="556" t="str">
        <f t="shared" si="58"/>
        <v/>
      </c>
      <c r="D689" s="557" t="str">
        <f t="shared" si="59"/>
        <v/>
      </c>
      <c r="E689" s="560"/>
      <c r="F689" s="559"/>
      <c r="G689" s="559" t="str">
        <f t="shared" si="60"/>
        <v/>
      </c>
      <c r="H689" s="559" t="str">
        <f t="shared" si="61"/>
        <v/>
      </c>
      <c r="I689" s="559" t="str">
        <f t="shared" si="62"/>
        <v/>
      </c>
    </row>
    <row r="690" spans="2:9">
      <c r="B690" s="555" t="str">
        <f t="shared" si="57"/>
        <v/>
      </c>
      <c r="C690" s="556" t="str">
        <f t="shared" si="58"/>
        <v/>
      </c>
      <c r="D690" s="557" t="str">
        <f t="shared" si="59"/>
        <v/>
      </c>
      <c r="E690" s="560"/>
      <c r="F690" s="559"/>
      <c r="G690" s="559" t="str">
        <f t="shared" si="60"/>
        <v/>
      </c>
      <c r="H690" s="559" t="str">
        <f t="shared" si="61"/>
        <v/>
      </c>
      <c r="I690" s="559" t="str">
        <f t="shared" si="62"/>
        <v/>
      </c>
    </row>
    <row r="691" spans="2:9">
      <c r="B691" s="555" t="str">
        <f t="shared" si="57"/>
        <v/>
      </c>
      <c r="C691" s="556" t="str">
        <f t="shared" si="58"/>
        <v/>
      </c>
      <c r="D691" s="557" t="str">
        <f t="shared" si="59"/>
        <v/>
      </c>
      <c r="E691" s="560"/>
      <c r="F691" s="559"/>
      <c r="G691" s="559" t="str">
        <f t="shared" si="60"/>
        <v/>
      </c>
      <c r="H691" s="559" t="str">
        <f t="shared" si="61"/>
        <v/>
      </c>
      <c r="I691" s="559" t="str">
        <f t="shared" si="62"/>
        <v/>
      </c>
    </row>
    <row r="692" spans="2:9">
      <c r="B692" s="555" t="str">
        <f t="shared" si="57"/>
        <v/>
      </c>
      <c r="C692" s="556" t="str">
        <f t="shared" si="58"/>
        <v/>
      </c>
      <c r="D692" s="557" t="str">
        <f t="shared" si="59"/>
        <v/>
      </c>
      <c r="E692" s="560"/>
      <c r="F692" s="559"/>
      <c r="G692" s="559" t="str">
        <f t="shared" si="60"/>
        <v/>
      </c>
      <c r="H692" s="559" t="str">
        <f t="shared" si="61"/>
        <v/>
      </c>
      <c r="I692" s="559" t="str">
        <f t="shared" si="62"/>
        <v/>
      </c>
    </row>
    <row r="693" spans="2:9">
      <c r="B693" s="555" t="str">
        <f t="shared" si="57"/>
        <v/>
      </c>
      <c r="C693" s="556" t="str">
        <f t="shared" si="58"/>
        <v/>
      </c>
      <c r="D693" s="557" t="str">
        <f t="shared" si="59"/>
        <v/>
      </c>
      <c r="E693" s="560"/>
      <c r="F693" s="559"/>
      <c r="G693" s="559" t="str">
        <f t="shared" si="60"/>
        <v/>
      </c>
      <c r="H693" s="559" t="str">
        <f t="shared" si="61"/>
        <v/>
      </c>
      <c r="I693" s="559" t="str">
        <f t="shared" si="62"/>
        <v/>
      </c>
    </row>
    <row r="694" spans="2:9">
      <c r="B694" s="555" t="str">
        <f t="shared" si="57"/>
        <v/>
      </c>
      <c r="C694" s="556" t="str">
        <f t="shared" si="58"/>
        <v/>
      </c>
      <c r="D694" s="557" t="str">
        <f t="shared" si="59"/>
        <v/>
      </c>
      <c r="E694" s="560"/>
      <c r="F694" s="559"/>
      <c r="G694" s="559" t="str">
        <f t="shared" si="60"/>
        <v/>
      </c>
      <c r="H694" s="559" t="str">
        <f t="shared" si="61"/>
        <v/>
      </c>
      <c r="I694" s="559" t="str">
        <f t="shared" si="62"/>
        <v/>
      </c>
    </row>
    <row r="695" spans="2:9">
      <c r="B695" s="555" t="str">
        <f t="shared" si="57"/>
        <v/>
      </c>
      <c r="C695" s="556" t="str">
        <f t="shared" si="58"/>
        <v/>
      </c>
      <c r="D695" s="557" t="str">
        <f t="shared" si="59"/>
        <v/>
      </c>
      <c r="E695" s="560"/>
      <c r="F695" s="559"/>
      <c r="G695" s="559" t="str">
        <f t="shared" si="60"/>
        <v/>
      </c>
      <c r="H695" s="559" t="str">
        <f t="shared" si="61"/>
        <v/>
      </c>
      <c r="I695" s="559" t="str">
        <f t="shared" si="62"/>
        <v/>
      </c>
    </row>
    <row r="696" spans="2:9">
      <c r="B696" s="555" t="str">
        <f t="shared" si="57"/>
        <v/>
      </c>
      <c r="C696" s="556" t="str">
        <f t="shared" si="58"/>
        <v/>
      </c>
      <c r="D696" s="557" t="str">
        <f t="shared" si="59"/>
        <v/>
      </c>
      <c r="E696" s="560"/>
      <c r="F696" s="559"/>
      <c r="G696" s="559" t="str">
        <f t="shared" si="60"/>
        <v/>
      </c>
      <c r="H696" s="559" t="str">
        <f t="shared" si="61"/>
        <v/>
      </c>
      <c r="I696" s="559" t="str">
        <f t="shared" si="62"/>
        <v/>
      </c>
    </row>
    <row r="697" spans="2:9">
      <c r="B697" s="555" t="str">
        <f t="shared" si="57"/>
        <v/>
      </c>
      <c r="C697" s="556" t="str">
        <f t="shared" si="58"/>
        <v/>
      </c>
      <c r="D697" s="557" t="str">
        <f t="shared" si="59"/>
        <v/>
      </c>
      <c r="E697" s="560"/>
      <c r="F697" s="559"/>
      <c r="G697" s="559" t="str">
        <f t="shared" si="60"/>
        <v/>
      </c>
      <c r="H697" s="559" t="str">
        <f t="shared" si="61"/>
        <v/>
      </c>
      <c r="I697" s="559" t="str">
        <f t="shared" si="62"/>
        <v/>
      </c>
    </row>
    <row r="698" spans="2:9">
      <c r="B698" s="555" t="str">
        <f t="shared" si="57"/>
        <v/>
      </c>
      <c r="C698" s="556" t="str">
        <f t="shared" si="58"/>
        <v/>
      </c>
      <c r="D698" s="557" t="str">
        <f t="shared" si="59"/>
        <v/>
      </c>
      <c r="E698" s="560"/>
      <c r="F698" s="559"/>
      <c r="G698" s="559" t="str">
        <f t="shared" si="60"/>
        <v/>
      </c>
      <c r="H698" s="559" t="str">
        <f t="shared" si="61"/>
        <v/>
      </c>
      <c r="I698" s="559" t="str">
        <f t="shared" si="62"/>
        <v/>
      </c>
    </row>
    <row r="699" spans="2:9">
      <c r="B699" s="555" t="str">
        <f t="shared" si="57"/>
        <v/>
      </c>
      <c r="C699" s="556" t="str">
        <f t="shared" si="58"/>
        <v/>
      </c>
      <c r="D699" s="557" t="str">
        <f t="shared" si="59"/>
        <v/>
      </c>
      <c r="E699" s="560"/>
      <c r="F699" s="559"/>
      <c r="G699" s="559" t="str">
        <f t="shared" si="60"/>
        <v/>
      </c>
      <c r="H699" s="559" t="str">
        <f t="shared" si="61"/>
        <v/>
      </c>
      <c r="I699" s="559" t="str">
        <f t="shared" si="62"/>
        <v/>
      </c>
    </row>
    <row r="700" spans="2:9">
      <c r="B700" s="555" t="str">
        <f t="shared" si="57"/>
        <v/>
      </c>
      <c r="C700" s="556" t="str">
        <f t="shared" si="58"/>
        <v/>
      </c>
      <c r="D700" s="557" t="str">
        <f t="shared" si="59"/>
        <v/>
      </c>
      <c r="E700" s="560"/>
      <c r="F700" s="559"/>
      <c r="G700" s="559" t="str">
        <f t="shared" si="60"/>
        <v/>
      </c>
      <c r="H700" s="559" t="str">
        <f t="shared" si="61"/>
        <v/>
      </c>
      <c r="I700" s="559" t="str">
        <f t="shared" si="62"/>
        <v/>
      </c>
    </row>
    <row r="701" spans="2:9">
      <c r="B701" s="555" t="str">
        <f t="shared" ref="B701:B764" si="63">IF(I700="","",IF(roundOpt,IF(OR(B700&gt;=nper,ROUND(I700,2)&lt;=0),"",B700+1),IF(OR(B700&gt;=nper,I700&lt;=0),"",B700+1)))</f>
        <v/>
      </c>
      <c r="C701" s="556" t="str">
        <f t="shared" ref="C701:C764" si="64">IF(B701="","",IF(OR(periods_per_year=26,periods_per_year=52),IF(periods_per_year=26,IF(B701=1,fpdate,C700+14),IF(periods_per_year=52,IF(B701=1,fpdate,C700+7),"n/a")),IF(periods_per_year=24,DATE(YEAR(fpdate),MONTH(fpdate)+(B701-1)/2+IF(AND(DAY(fpdate)&gt;=15,MOD(B701,2)=0),1,0),IF(MOD(B701,2)=0,IF(DAY(fpdate)&gt;=15,DAY(fpdate)-14,DAY(fpdate)+14),DAY(fpdate))),IF(DAY(DATE(YEAR(fpdate),MONTH(fpdate)+(B701-1)*months_per_period,DAY(fpdate)))&lt;&gt;DAY(fpdate),DATE(YEAR(fpdate),MONTH(fpdate)+(B701-1)*months_per_period+1,0),DATE(YEAR(fpdate),MONTH(fpdate)+(B701-1)*months_per_period,DAY(fpdate))))))</f>
        <v/>
      </c>
      <c r="D701" s="557" t="str">
        <f t="shared" ref="D701:D764" si="65">IF(B701="","",IF(roundOpt,IF(OR(B701=nper,payment&gt;ROUND((1+rate)*I700,2)),ROUND((1+rate)*I700,2),payment),IF(OR(B701=nper,payment&gt;(1+rate)*I700),(1+rate)*I700,payment)))</f>
        <v/>
      </c>
      <c r="E701" s="560"/>
      <c r="F701" s="559"/>
      <c r="G701" s="559" t="str">
        <f t="shared" ref="G701:G764" si="66">IF(B701="","",IF(AND(B701=1,pmtType=1),0,IF(roundOpt,ROUND(rate*I700,2),rate*I700)))</f>
        <v/>
      </c>
      <c r="H701" s="559" t="str">
        <f t="shared" ref="H701:H764" si="67">IF(B701="","",D701-G701+E701)</f>
        <v/>
      </c>
      <c r="I701" s="559" t="str">
        <f t="shared" ref="I701:I764" si="68">IF(B701="","",I700-H701)</f>
        <v/>
      </c>
    </row>
    <row r="702" spans="2:9">
      <c r="B702" s="555" t="str">
        <f t="shared" si="63"/>
        <v/>
      </c>
      <c r="C702" s="556" t="str">
        <f t="shared" si="64"/>
        <v/>
      </c>
      <c r="D702" s="557" t="str">
        <f t="shared" si="65"/>
        <v/>
      </c>
      <c r="E702" s="560"/>
      <c r="F702" s="559"/>
      <c r="G702" s="559" t="str">
        <f t="shared" si="66"/>
        <v/>
      </c>
      <c r="H702" s="559" t="str">
        <f t="shared" si="67"/>
        <v/>
      </c>
      <c r="I702" s="559" t="str">
        <f t="shared" si="68"/>
        <v/>
      </c>
    </row>
    <row r="703" spans="2:9">
      <c r="B703" s="555" t="str">
        <f t="shared" si="63"/>
        <v/>
      </c>
      <c r="C703" s="556" t="str">
        <f t="shared" si="64"/>
        <v/>
      </c>
      <c r="D703" s="557" t="str">
        <f t="shared" si="65"/>
        <v/>
      </c>
      <c r="E703" s="560"/>
      <c r="F703" s="559"/>
      <c r="G703" s="559" t="str">
        <f t="shared" si="66"/>
        <v/>
      </c>
      <c r="H703" s="559" t="str">
        <f t="shared" si="67"/>
        <v/>
      </c>
      <c r="I703" s="559" t="str">
        <f t="shared" si="68"/>
        <v/>
      </c>
    </row>
    <row r="704" spans="2:9">
      <c r="B704" s="555" t="str">
        <f t="shared" si="63"/>
        <v/>
      </c>
      <c r="C704" s="556" t="str">
        <f t="shared" si="64"/>
        <v/>
      </c>
      <c r="D704" s="557" t="str">
        <f t="shared" si="65"/>
        <v/>
      </c>
      <c r="E704" s="560"/>
      <c r="F704" s="559"/>
      <c r="G704" s="559" t="str">
        <f t="shared" si="66"/>
        <v/>
      </c>
      <c r="H704" s="559" t="str">
        <f t="shared" si="67"/>
        <v/>
      </c>
      <c r="I704" s="559" t="str">
        <f t="shared" si="68"/>
        <v/>
      </c>
    </row>
    <row r="705" spans="2:9">
      <c r="B705" s="555" t="str">
        <f t="shared" si="63"/>
        <v/>
      </c>
      <c r="C705" s="556" t="str">
        <f t="shared" si="64"/>
        <v/>
      </c>
      <c r="D705" s="557" t="str">
        <f t="shared" si="65"/>
        <v/>
      </c>
      <c r="E705" s="560"/>
      <c r="F705" s="559"/>
      <c r="G705" s="559" t="str">
        <f t="shared" si="66"/>
        <v/>
      </c>
      <c r="H705" s="559" t="str">
        <f t="shared" si="67"/>
        <v/>
      </c>
      <c r="I705" s="559" t="str">
        <f t="shared" si="68"/>
        <v/>
      </c>
    </row>
    <row r="706" spans="2:9">
      <c r="B706" s="555" t="str">
        <f t="shared" si="63"/>
        <v/>
      </c>
      <c r="C706" s="556" t="str">
        <f t="shared" si="64"/>
        <v/>
      </c>
      <c r="D706" s="557" t="str">
        <f t="shared" si="65"/>
        <v/>
      </c>
      <c r="E706" s="560"/>
      <c r="F706" s="559"/>
      <c r="G706" s="559" t="str">
        <f t="shared" si="66"/>
        <v/>
      </c>
      <c r="H706" s="559" t="str">
        <f t="shared" si="67"/>
        <v/>
      </c>
      <c r="I706" s="559" t="str">
        <f t="shared" si="68"/>
        <v/>
      </c>
    </row>
    <row r="707" spans="2:9">
      <c r="B707" s="555" t="str">
        <f t="shared" si="63"/>
        <v/>
      </c>
      <c r="C707" s="556" t="str">
        <f t="shared" si="64"/>
        <v/>
      </c>
      <c r="D707" s="557" t="str">
        <f t="shared" si="65"/>
        <v/>
      </c>
      <c r="E707" s="560"/>
      <c r="F707" s="559"/>
      <c r="G707" s="559" t="str">
        <f t="shared" si="66"/>
        <v/>
      </c>
      <c r="H707" s="559" t="str">
        <f t="shared" si="67"/>
        <v/>
      </c>
      <c r="I707" s="559" t="str">
        <f t="shared" si="68"/>
        <v/>
      </c>
    </row>
    <row r="708" spans="2:9">
      <c r="B708" s="555" t="str">
        <f t="shared" si="63"/>
        <v/>
      </c>
      <c r="C708" s="556" t="str">
        <f t="shared" si="64"/>
        <v/>
      </c>
      <c r="D708" s="557" t="str">
        <f t="shared" si="65"/>
        <v/>
      </c>
      <c r="E708" s="560"/>
      <c r="F708" s="559"/>
      <c r="G708" s="559" t="str">
        <f t="shared" si="66"/>
        <v/>
      </c>
      <c r="H708" s="559" t="str">
        <f t="shared" si="67"/>
        <v/>
      </c>
      <c r="I708" s="559" t="str">
        <f t="shared" si="68"/>
        <v/>
      </c>
    </row>
    <row r="709" spans="2:9">
      <c r="B709" s="555" t="str">
        <f t="shared" si="63"/>
        <v/>
      </c>
      <c r="C709" s="556" t="str">
        <f t="shared" si="64"/>
        <v/>
      </c>
      <c r="D709" s="557" t="str">
        <f t="shared" si="65"/>
        <v/>
      </c>
      <c r="E709" s="560"/>
      <c r="F709" s="559"/>
      <c r="G709" s="559" t="str">
        <f t="shared" si="66"/>
        <v/>
      </c>
      <c r="H709" s="559" t="str">
        <f t="shared" si="67"/>
        <v/>
      </c>
      <c r="I709" s="559" t="str">
        <f t="shared" si="68"/>
        <v/>
      </c>
    </row>
    <row r="710" spans="2:9">
      <c r="B710" s="555" t="str">
        <f t="shared" si="63"/>
        <v/>
      </c>
      <c r="C710" s="556" t="str">
        <f t="shared" si="64"/>
        <v/>
      </c>
      <c r="D710" s="557" t="str">
        <f t="shared" si="65"/>
        <v/>
      </c>
      <c r="E710" s="560"/>
      <c r="F710" s="559"/>
      <c r="G710" s="559" t="str">
        <f t="shared" si="66"/>
        <v/>
      </c>
      <c r="H710" s="559" t="str">
        <f t="shared" si="67"/>
        <v/>
      </c>
      <c r="I710" s="559" t="str">
        <f t="shared" si="68"/>
        <v/>
      </c>
    </row>
    <row r="711" spans="2:9">
      <c r="B711" s="555" t="str">
        <f t="shared" si="63"/>
        <v/>
      </c>
      <c r="C711" s="556" t="str">
        <f t="shared" si="64"/>
        <v/>
      </c>
      <c r="D711" s="557" t="str">
        <f t="shared" si="65"/>
        <v/>
      </c>
      <c r="E711" s="560"/>
      <c r="F711" s="559"/>
      <c r="G711" s="559" t="str">
        <f t="shared" si="66"/>
        <v/>
      </c>
      <c r="H711" s="559" t="str">
        <f t="shared" si="67"/>
        <v/>
      </c>
      <c r="I711" s="559" t="str">
        <f t="shared" si="68"/>
        <v/>
      </c>
    </row>
    <row r="712" spans="2:9">
      <c r="B712" s="555" t="str">
        <f t="shared" si="63"/>
        <v/>
      </c>
      <c r="C712" s="556" t="str">
        <f t="shared" si="64"/>
        <v/>
      </c>
      <c r="D712" s="557" t="str">
        <f t="shared" si="65"/>
        <v/>
      </c>
      <c r="E712" s="560"/>
      <c r="F712" s="559"/>
      <c r="G712" s="559" t="str">
        <f t="shared" si="66"/>
        <v/>
      </c>
      <c r="H712" s="559" t="str">
        <f t="shared" si="67"/>
        <v/>
      </c>
      <c r="I712" s="559" t="str">
        <f t="shared" si="68"/>
        <v/>
      </c>
    </row>
    <row r="713" spans="2:9">
      <c r="B713" s="555" t="str">
        <f t="shared" si="63"/>
        <v/>
      </c>
      <c r="C713" s="556" t="str">
        <f t="shared" si="64"/>
        <v/>
      </c>
      <c r="D713" s="557" t="str">
        <f t="shared" si="65"/>
        <v/>
      </c>
      <c r="E713" s="560"/>
      <c r="F713" s="559"/>
      <c r="G713" s="559" t="str">
        <f t="shared" si="66"/>
        <v/>
      </c>
      <c r="H713" s="559" t="str">
        <f t="shared" si="67"/>
        <v/>
      </c>
      <c r="I713" s="559" t="str">
        <f t="shared" si="68"/>
        <v/>
      </c>
    </row>
    <row r="714" spans="2:9">
      <c r="B714" s="555" t="str">
        <f t="shared" si="63"/>
        <v/>
      </c>
      <c r="C714" s="556" t="str">
        <f t="shared" si="64"/>
        <v/>
      </c>
      <c r="D714" s="557" t="str">
        <f t="shared" si="65"/>
        <v/>
      </c>
      <c r="E714" s="560"/>
      <c r="F714" s="559"/>
      <c r="G714" s="559" t="str">
        <f t="shared" si="66"/>
        <v/>
      </c>
      <c r="H714" s="559" t="str">
        <f t="shared" si="67"/>
        <v/>
      </c>
      <c r="I714" s="559" t="str">
        <f t="shared" si="68"/>
        <v/>
      </c>
    </row>
    <row r="715" spans="2:9">
      <c r="B715" s="555" t="str">
        <f t="shared" si="63"/>
        <v/>
      </c>
      <c r="C715" s="556" t="str">
        <f t="shared" si="64"/>
        <v/>
      </c>
      <c r="D715" s="557" t="str">
        <f t="shared" si="65"/>
        <v/>
      </c>
      <c r="E715" s="560"/>
      <c r="F715" s="559"/>
      <c r="G715" s="559" t="str">
        <f t="shared" si="66"/>
        <v/>
      </c>
      <c r="H715" s="559" t="str">
        <f t="shared" si="67"/>
        <v/>
      </c>
      <c r="I715" s="559" t="str">
        <f t="shared" si="68"/>
        <v/>
      </c>
    </row>
    <row r="716" spans="2:9">
      <c r="B716" s="555" t="str">
        <f t="shared" si="63"/>
        <v/>
      </c>
      <c r="C716" s="556" t="str">
        <f t="shared" si="64"/>
        <v/>
      </c>
      <c r="D716" s="557" t="str">
        <f t="shared" si="65"/>
        <v/>
      </c>
      <c r="E716" s="560"/>
      <c r="F716" s="559"/>
      <c r="G716" s="559" t="str">
        <f t="shared" si="66"/>
        <v/>
      </c>
      <c r="H716" s="559" t="str">
        <f t="shared" si="67"/>
        <v/>
      </c>
      <c r="I716" s="559" t="str">
        <f t="shared" si="68"/>
        <v/>
      </c>
    </row>
    <row r="717" spans="2:9">
      <c r="B717" s="555" t="str">
        <f t="shared" si="63"/>
        <v/>
      </c>
      <c r="C717" s="556" t="str">
        <f t="shared" si="64"/>
        <v/>
      </c>
      <c r="D717" s="557" t="str">
        <f t="shared" si="65"/>
        <v/>
      </c>
      <c r="E717" s="560"/>
      <c r="F717" s="559"/>
      <c r="G717" s="559" t="str">
        <f t="shared" si="66"/>
        <v/>
      </c>
      <c r="H717" s="559" t="str">
        <f t="shared" si="67"/>
        <v/>
      </c>
      <c r="I717" s="559" t="str">
        <f t="shared" si="68"/>
        <v/>
      </c>
    </row>
    <row r="718" spans="2:9">
      <c r="B718" s="555" t="str">
        <f t="shared" si="63"/>
        <v/>
      </c>
      <c r="C718" s="556" t="str">
        <f t="shared" si="64"/>
        <v/>
      </c>
      <c r="D718" s="557" t="str">
        <f t="shared" si="65"/>
        <v/>
      </c>
      <c r="E718" s="560"/>
      <c r="F718" s="559"/>
      <c r="G718" s="559" t="str">
        <f t="shared" si="66"/>
        <v/>
      </c>
      <c r="H718" s="559" t="str">
        <f t="shared" si="67"/>
        <v/>
      </c>
      <c r="I718" s="559" t="str">
        <f t="shared" si="68"/>
        <v/>
      </c>
    </row>
    <row r="719" spans="2:9">
      <c r="B719" s="555" t="str">
        <f t="shared" si="63"/>
        <v/>
      </c>
      <c r="C719" s="556" t="str">
        <f t="shared" si="64"/>
        <v/>
      </c>
      <c r="D719" s="557" t="str">
        <f t="shared" si="65"/>
        <v/>
      </c>
      <c r="E719" s="560"/>
      <c r="F719" s="559"/>
      <c r="G719" s="559" t="str">
        <f t="shared" si="66"/>
        <v/>
      </c>
      <c r="H719" s="559" t="str">
        <f t="shared" si="67"/>
        <v/>
      </c>
      <c r="I719" s="559" t="str">
        <f t="shared" si="68"/>
        <v/>
      </c>
    </row>
    <row r="720" spans="2:9">
      <c r="B720" s="555" t="str">
        <f t="shared" si="63"/>
        <v/>
      </c>
      <c r="C720" s="556" t="str">
        <f t="shared" si="64"/>
        <v/>
      </c>
      <c r="D720" s="557" t="str">
        <f t="shared" si="65"/>
        <v/>
      </c>
      <c r="E720" s="560"/>
      <c r="F720" s="559"/>
      <c r="G720" s="559" t="str">
        <f t="shared" si="66"/>
        <v/>
      </c>
      <c r="H720" s="559" t="str">
        <f t="shared" si="67"/>
        <v/>
      </c>
      <c r="I720" s="559" t="str">
        <f t="shared" si="68"/>
        <v/>
      </c>
    </row>
    <row r="721" spans="2:9">
      <c r="B721" s="555" t="str">
        <f t="shared" si="63"/>
        <v/>
      </c>
      <c r="C721" s="556" t="str">
        <f t="shared" si="64"/>
        <v/>
      </c>
      <c r="D721" s="557" t="str">
        <f t="shared" si="65"/>
        <v/>
      </c>
      <c r="E721" s="560"/>
      <c r="F721" s="559"/>
      <c r="G721" s="559" t="str">
        <f t="shared" si="66"/>
        <v/>
      </c>
      <c r="H721" s="559" t="str">
        <f t="shared" si="67"/>
        <v/>
      </c>
      <c r="I721" s="559" t="str">
        <f t="shared" si="68"/>
        <v/>
      </c>
    </row>
    <row r="722" spans="2:9">
      <c r="B722" s="555" t="str">
        <f t="shared" si="63"/>
        <v/>
      </c>
      <c r="C722" s="556" t="str">
        <f t="shared" si="64"/>
        <v/>
      </c>
      <c r="D722" s="557" t="str">
        <f t="shared" si="65"/>
        <v/>
      </c>
      <c r="E722" s="560"/>
      <c r="F722" s="559"/>
      <c r="G722" s="559" t="str">
        <f t="shared" si="66"/>
        <v/>
      </c>
      <c r="H722" s="559" t="str">
        <f t="shared" si="67"/>
        <v/>
      </c>
      <c r="I722" s="559" t="str">
        <f t="shared" si="68"/>
        <v/>
      </c>
    </row>
    <row r="723" spans="2:9">
      <c r="B723" s="555" t="str">
        <f t="shared" si="63"/>
        <v/>
      </c>
      <c r="C723" s="556" t="str">
        <f t="shared" si="64"/>
        <v/>
      </c>
      <c r="D723" s="557" t="str">
        <f t="shared" si="65"/>
        <v/>
      </c>
      <c r="E723" s="560"/>
      <c r="F723" s="559"/>
      <c r="G723" s="559" t="str">
        <f t="shared" si="66"/>
        <v/>
      </c>
      <c r="H723" s="559" t="str">
        <f t="shared" si="67"/>
        <v/>
      </c>
      <c r="I723" s="559" t="str">
        <f t="shared" si="68"/>
        <v/>
      </c>
    </row>
    <row r="724" spans="2:9">
      <c r="B724" s="555" t="str">
        <f t="shared" si="63"/>
        <v/>
      </c>
      <c r="C724" s="556" t="str">
        <f t="shared" si="64"/>
        <v/>
      </c>
      <c r="D724" s="557" t="str">
        <f t="shared" si="65"/>
        <v/>
      </c>
      <c r="E724" s="560"/>
      <c r="F724" s="559"/>
      <c r="G724" s="559" t="str">
        <f t="shared" si="66"/>
        <v/>
      </c>
      <c r="H724" s="559" t="str">
        <f t="shared" si="67"/>
        <v/>
      </c>
      <c r="I724" s="559" t="str">
        <f t="shared" si="68"/>
        <v/>
      </c>
    </row>
    <row r="725" spans="2:9">
      <c r="B725" s="555" t="str">
        <f t="shared" si="63"/>
        <v/>
      </c>
      <c r="C725" s="556" t="str">
        <f t="shared" si="64"/>
        <v/>
      </c>
      <c r="D725" s="557" t="str">
        <f t="shared" si="65"/>
        <v/>
      </c>
      <c r="E725" s="560"/>
      <c r="F725" s="559"/>
      <c r="G725" s="559" t="str">
        <f t="shared" si="66"/>
        <v/>
      </c>
      <c r="H725" s="559" t="str">
        <f t="shared" si="67"/>
        <v/>
      </c>
      <c r="I725" s="559" t="str">
        <f t="shared" si="68"/>
        <v/>
      </c>
    </row>
    <row r="726" spans="2:9">
      <c r="B726" s="555" t="str">
        <f t="shared" si="63"/>
        <v/>
      </c>
      <c r="C726" s="556" t="str">
        <f t="shared" si="64"/>
        <v/>
      </c>
      <c r="D726" s="557" t="str">
        <f t="shared" si="65"/>
        <v/>
      </c>
      <c r="E726" s="560"/>
      <c r="F726" s="559"/>
      <c r="G726" s="559" t="str">
        <f t="shared" si="66"/>
        <v/>
      </c>
      <c r="H726" s="559" t="str">
        <f t="shared" si="67"/>
        <v/>
      </c>
      <c r="I726" s="559" t="str">
        <f t="shared" si="68"/>
        <v/>
      </c>
    </row>
    <row r="727" spans="2:9">
      <c r="B727" s="555" t="str">
        <f t="shared" si="63"/>
        <v/>
      </c>
      <c r="C727" s="556" t="str">
        <f t="shared" si="64"/>
        <v/>
      </c>
      <c r="D727" s="557" t="str">
        <f t="shared" si="65"/>
        <v/>
      </c>
      <c r="E727" s="560"/>
      <c r="F727" s="559"/>
      <c r="G727" s="559" t="str">
        <f t="shared" si="66"/>
        <v/>
      </c>
      <c r="H727" s="559" t="str">
        <f t="shared" si="67"/>
        <v/>
      </c>
      <c r="I727" s="559" t="str">
        <f t="shared" si="68"/>
        <v/>
      </c>
    </row>
    <row r="728" spans="2:9">
      <c r="B728" s="555" t="str">
        <f t="shared" si="63"/>
        <v/>
      </c>
      <c r="C728" s="556" t="str">
        <f t="shared" si="64"/>
        <v/>
      </c>
      <c r="D728" s="557" t="str">
        <f t="shared" si="65"/>
        <v/>
      </c>
      <c r="E728" s="560"/>
      <c r="F728" s="559"/>
      <c r="G728" s="559" t="str">
        <f t="shared" si="66"/>
        <v/>
      </c>
      <c r="H728" s="559" t="str">
        <f t="shared" si="67"/>
        <v/>
      </c>
      <c r="I728" s="559" t="str">
        <f t="shared" si="68"/>
        <v/>
      </c>
    </row>
    <row r="729" spans="2:9">
      <c r="B729" s="555" t="str">
        <f t="shared" si="63"/>
        <v/>
      </c>
      <c r="C729" s="556" t="str">
        <f t="shared" si="64"/>
        <v/>
      </c>
      <c r="D729" s="557" t="str">
        <f t="shared" si="65"/>
        <v/>
      </c>
      <c r="E729" s="560"/>
      <c r="F729" s="559"/>
      <c r="G729" s="559" t="str">
        <f t="shared" si="66"/>
        <v/>
      </c>
      <c r="H729" s="559" t="str">
        <f t="shared" si="67"/>
        <v/>
      </c>
      <c r="I729" s="559" t="str">
        <f t="shared" si="68"/>
        <v/>
      </c>
    </row>
    <row r="730" spans="2:9">
      <c r="B730" s="555" t="str">
        <f t="shared" si="63"/>
        <v/>
      </c>
      <c r="C730" s="556" t="str">
        <f t="shared" si="64"/>
        <v/>
      </c>
      <c r="D730" s="557" t="str">
        <f t="shared" si="65"/>
        <v/>
      </c>
      <c r="E730" s="560"/>
      <c r="F730" s="559"/>
      <c r="G730" s="559" t="str">
        <f t="shared" si="66"/>
        <v/>
      </c>
      <c r="H730" s="559" t="str">
        <f t="shared" si="67"/>
        <v/>
      </c>
      <c r="I730" s="559" t="str">
        <f t="shared" si="68"/>
        <v/>
      </c>
    </row>
    <row r="731" spans="2:9">
      <c r="B731" s="555" t="str">
        <f t="shared" si="63"/>
        <v/>
      </c>
      <c r="C731" s="556" t="str">
        <f t="shared" si="64"/>
        <v/>
      </c>
      <c r="D731" s="557" t="str">
        <f t="shared" si="65"/>
        <v/>
      </c>
      <c r="E731" s="560"/>
      <c r="F731" s="559"/>
      <c r="G731" s="559" t="str">
        <f t="shared" si="66"/>
        <v/>
      </c>
      <c r="H731" s="559" t="str">
        <f t="shared" si="67"/>
        <v/>
      </c>
      <c r="I731" s="559" t="str">
        <f t="shared" si="68"/>
        <v/>
      </c>
    </row>
    <row r="732" spans="2:9">
      <c r="B732" s="555" t="str">
        <f t="shared" si="63"/>
        <v/>
      </c>
      <c r="C732" s="556" t="str">
        <f t="shared" si="64"/>
        <v/>
      </c>
      <c r="D732" s="557" t="str">
        <f t="shared" si="65"/>
        <v/>
      </c>
      <c r="E732" s="560"/>
      <c r="F732" s="559"/>
      <c r="G732" s="559" t="str">
        <f t="shared" si="66"/>
        <v/>
      </c>
      <c r="H732" s="559" t="str">
        <f t="shared" si="67"/>
        <v/>
      </c>
      <c r="I732" s="559" t="str">
        <f t="shared" si="68"/>
        <v/>
      </c>
    </row>
    <row r="733" spans="2:9">
      <c r="B733" s="555" t="str">
        <f t="shared" si="63"/>
        <v/>
      </c>
      <c r="C733" s="556" t="str">
        <f t="shared" si="64"/>
        <v/>
      </c>
      <c r="D733" s="557" t="str">
        <f t="shared" si="65"/>
        <v/>
      </c>
      <c r="E733" s="560"/>
      <c r="F733" s="559"/>
      <c r="G733" s="559" t="str">
        <f t="shared" si="66"/>
        <v/>
      </c>
      <c r="H733" s="559" t="str">
        <f t="shared" si="67"/>
        <v/>
      </c>
      <c r="I733" s="559" t="str">
        <f t="shared" si="68"/>
        <v/>
      </c>
    </row>
    <row r="734" spans="2:9">
      <c r="B734" s="555" t="str">
        <f t="shared" si="63"/>
        <v/>
      </c>
      <c r="C734" s="556" t="str">
        <f t="shared" si="64"/>
        <v/>
      </c>
      <c r="D734" s="557" t="str">
        <f t="shared" si="65"/>
        <v/>
      </c>
      <c r="E734" s="560"/>
      <c r="F734" s="559"/>
      <c r="G734" s="559" t="str">
        <f t="shared" si="66"/>
        <v/>
      </c>
      <c r="H734" s="559" t="str">
        <f t="shared" si="67"/>
        <v/>
      </c>
      <c r="I734" s="559" t="str">
        <f t="shared" si="68"/>
        <v/>
      </c>
    </row>
    <row r="735" spans="2:9">
      <c r="B735" s="555" t="str">
        <f t="shared" si="63"/>
        <v/>
      </c>
      <c r="C735" s="556" t="str">
        <f t="shared" si="64"/>
        <v/>
      </c>
      <c r="D735" s="557" t="str">
        <f t="shared" si="65"/>
        <v/>
      </c>
      <c r="E735" s="560"/>
      <c r="F735" s="559"/>
      <c r="G735" s="559" t="str">
        <f t="shared" si="66"/>
        <v/>
      </c>
      <c r="H735" s="559" t="str">
        <f t="shared" si="67"/>
        <v/>
      </c>
      <c r="I735" s="559" t="str">
        <f t="shared" si="68"/>
        <v/>
      </c>
    </row>
    <row r="736" spans="2:9">
      <c r="B736" s="555" t="str">
        <f t="shared" si="63"/>
        <v/>
      </c>
      <c r="C736" s="556" t="str">
        <f t="shared" si="64"/>
        <v/>
      </c>
      <c r="D736" s="557" t="str">
        <f t="shared" si="65"/>
        <v/>
      </c>
      <c r="E736" s="560"/>
      <c r="F736" s="559"/>
      <c r="G736" s="559" t="str">
        <f t="shared" si="66"/>
        <v/>
      </c>
      <c r="H736" s="559" t="str">
        <f t="shared" si="67"/>
        <v/>
      </c>
      <c r="I736" s="559" t="str">
        <f t="shared" si="68"/>
        <v/>
      </c>
    </row>
    <row r="737" spans="2:9">
      <c r="B737" s="555" t="str">
        <f t="shared" si="63"/>
        <v/>
      </c>
      <c r="C737" s="556" t="str">
        <f t="shared" si="64"/>
        <v/>
      </c>
      <c r="D737" s="557" t="str">
        <f t="shared" si="65"/>
        <v/>
      </c>
      <c r="E737" s="560"/>
      <c r="F737" s="559"/>
      <c r="G737" s="559" t="str">
        <f t="shared" si="66"/>
        <v/>
      </c>
      <c r="H737" s="559" t="str">
        <f t="shared" si="67"/>
        <v/>
      </c>
      <c r="I737" s="559" t="str">
        <f t="shared" si="68"/>
        <v/>
      </c>
    </row>
    <row r="738" spans="2:9">
      <c r="B738" s="555" t="str">
        <f t="shared" si="63"/>
        <v/>
      </c>
      <c r="C738" s="556" t="str">
        <f t="shared" si="64"/>
        <v/>
      </c>
      <c r="D738" s="557" t="str">
        <f t="shared" si="65"/>
        <v/>
      </c>
      <c r="E738" s="560"/>
      <c r="F738" s="559"/>
      <c r="G738" s="559" t="str">
        <f t="shared" si="66"/>
        <v/>
      </c>
      <c r="H738" s="559" t="str">
        <f t="shared" si="67"/>
        <v/>
      </c>
      <c r="I738" s="559" t="str">
        <f t="shared" si="68"/>
        <v/>
      </c>
    </row>
    <row r="739" spans="2:9">
      <c r="B739" s="555" t="str">
        <f t="shared" si="63"/>
        <v/>
      </c>
      <c r="C739" s="556" t="str">
        <f t="shared" si="64"/>
        <v/>
      </c>
      <c r="D739" s="557" t="str">
        <f t="shared" si="65"/>
        <v/>
      </c>
      <c r="E739" s="560"/>
      <c r="F739" s="559"/>
      <c r="G739" s="559" t="str">
        <f t="shared" si="66"/>
        <v/>
      </c>
      <c r="H739" s="559" t="str">
        <f t="shared" si="67"/>
        <v/>
      </c>
      <c r="I739" s="559" t="str">
        <f t="shared" si="68"/>
        <v/>
      </c>
    </row>
    <row r="740" spans="2:9">
      <c r="B740" s="555" t="str">
        <f t="shared" si="63"/>
        <v/>
      </c>
      <c r="C740" s="556" t="str">
        <f t="shared" si="64"/>
        <v/>
      </c>
      <c r="D740" s="557" t="str">
        <f t="shared" si="65"/>
        <v/>
      </c>
      <c r="E740" s="560"/>
      <c r="F740" s="559"/>
      <c r="G740" s="559" t="str">
        <f t="shared" si="66"/>
        <v/>
      </c>
      <c r="H740" s="559" t="str">
        <f t="shared" si="67"/>
        <v/>
      </c>
      <c r="I740" s="559" t="str">
        <f t="shared" si="68"/>
        <v/>
      </c>
    </row>
    <row r="741" spans="2:9">
      <c r="B741" s="555" t="str">
        <f t="shared" si="63"/>
        <v/>
      </c>
      <c r="C741" s="556" t="str">
        <f t="shared" si="64"/>
        <v/>
      </c>
      <c r="D741" s="557" t="str">
        <f t="shared" si="65"/>
        <v/>
      </c>
      <c r="E741" s="560"/>
      <c r="F741" s="559"/>
      <c r="G741" s="559" t="str">
        <f t="shared" si="66"/>
        <v/>
      </c>
      <c r="H741" s="559" t="str">
        <f t="shared" si="67"/>
        <v/>
      </c>
      <c r="I741" s="559" t="str">
        <f t="shared" si="68"/>
        <v/>
      </c>
    </row>
    <row r="742" spans="2:9">
      <c r="B742" s="555" t="str">
        <f t="shared" si="63"/>
        <v/>
      </c>
      <c r="C742" s="556" t="str">
        <f t="shared" si="64"/>
        <v/>
      </c>
      <c r="D742" s="557" t="str">
        <f t="shared" si="65"/>
        <v/>
      </c>
      <c r="E742" s="560"/>
      <c r="F742" s="559"/>
      <c r="G742" s="559" t="str">
        <f t="shared" si="66"/>
        <v/>
      </c>
      <c r="H742" s="559" t="str">
        <f t="shared" si="67"/>
        <v/>
      </c>
      <c r="I742" s="559" t="str">
        <f t="shared" si="68"/>
        <v/>
      </c>
    </row>
    <row r="743" spans="2:9">
      <c r="B743" s="555" t="str">
        <f t="shared" si="63"/>
        <v/>
      </c>
      <c r="C743" s="556" t="str">
        <f t="shared" si="64"/>
        <v/>
      </c>
      <c r="D743" s="557" t="str">
        <f t="shared" si="65"/>
        <v/>
      </c>
      <c r="E743" s="560"/>
      <c r="F743" s="559"/>
      <c r="G743" s="559" t="str">
        <f t="shared" si="66"/>
        <v/>
      </c>
      <c r="H743" s="559" t="str">
        <f t="shared" si="67"/>
        <v/>
      </c>
      <c r="I743" s="559" t="str">
        <f t="shared" si="68"/>
        <v/>
      </c>
    </row>
    <row r="744" spans="2:9">
      <c r="B744" s="555" t="str">
        <f t="shared" si="63"/>
        <v/>
      </c>
      <c r="C744" s="556" t="str">
        <f t="shared" si="64"/>
        <v/>
      </c>
      <c r="D744" s="557" t="str">
        <f t="shared" si="65"/>
        <v/>
      </c>
      <c r="E744" s="560"/>
      <c r="F744" s="559"/>
      <c r="G744" s="559" t="str">
        <f t="shared" si="66"/>
        <v/>
      </c>
      <c r="H744" s="559" t="str">
        <f t="shared" si="67"/>
        <v/>
      </c>
      <c r="I744" s="559" t="str">
        <f t="shared" si="68"/>
        <v/>
      </c>
    </row>
    <row r="745" spans="2:9">
      <c r="B745" s="555" t="str">
        <f t="shared" si="63"/>
        <v/>
      </c>
      <c r="C745" s="556" t="str">
        <f t="shared" si="64"/>
        <v/>
      </c>
      <c r="D745" s="557" t="str">
        <f t="shared" si="65"/>
        <v/>
      </c>
      <c r="E745" s="560"/>
      <c r="F745" s="559"/>
      <c r="G745" s="559" t="str">
        <f t="shared" si="66"/>
        <v/>
      </c>
      <c r="H745" s="559" t="str">
        <f t="shared" si="67"/>
        <v/>
      </c>
      <c r="I745" s="559" t="str">
        <f t="shared" si="68"/>
        <v/>
      </c>
    </row>
    <row r="746" spans="2:9">
      <c r="B746" s="555" t="str">
        <f t="shared" si="63"/>
        <v/>
      </c>
      <c r="C746" s="556" t="str">
        <f t="shared" si="64"/>
        <v/>
      </c>
      <c r="D746" s="557" t="str">
        <f t="shared" si="65"/>
        <v/>
      </c>
      <c r="E746" s="560"/>
      <c r="F746" s="559"/>
      <c r="G746" s="559" t="str">
        <f t="shared" si="66"/>
        <v/>
      </c>
      <c r="H746" s="559" t="str">
        <f t="shared" si="67"/>
        <v/>
      </c>
      <c r="I746" s="559" t="str">
        <f t="shared" si="68"/>
        <v/>
      </c>
    </row>
    <row r="747" spans="2:9">
      <c r="B747" s="555" t="str">
        <f t="shared" si="63"/>
        <v/>
      </c>
      <c r="C747" s="556" t="str">
        <f t="shared" si="64"/>
        <v/>
      </c>
      <c r="D747" s="557" t="str">
        <f t="shared" si="65"/>
        <v/>
      </c>
      <c r="E747" s="560"/>
      <c r="F747" s="559"/>
      <c r="G747" s="559" t="str">
        <f t="shared" si="66"/>
        <v/>
      </c>
      <c r="H747" s="559" t="str">
        <f t="shared" si="67"/>
        <v/>
      </c>
      <c r="I747" s="559" t="str">
        <f t="shared" si="68"/>
        <v/>
      </c>
    </row>
    <row r="748" spans="2:9">
      <c r="B748" s="555" t="str">
        <f t="shared" si="63"/>
        <v/>
      </c>
      <c r="C748" s="556" t="str">
        <f t="shared" si="64"/>
        <v/>
      </c>
      <c r="D748" s="557" t="str">
        <f t="shared" si="65"/>
        <v/>
      </c>
      <c r="E748" s="560"/>
      <c r="F748" s="559"/>
      <c r="G748" s="559" t="str">
        <f t="shared" si="66"/>
        <v/>
      </c>
      <c r="H748" s="559" t="str">
        <f t="shared" si="67"/>
        <v/>
      </c>
      <c r="I748" s="559" t="str">
        <f t="shared" si="68"/>
        <v/>
      </c>
    </row>
    <row r="749" spans="2:9">
      <c r="B749" s="555" t="str">
        <f t="shared" si="63"/>
        <v/>
      </c>
      <c r="C749" s="556" t="str">
        <f t="shared" si="64"/>
        <v/>
      </c>
      <c r="D749" s="557" t="str">
        <f t="shared" si="65"/>
        <v/>
      </c>
      <c r="E749" s="560"/>
      <c r="F749" s="559"/>
      <c r="G749" s="559" t="str">
        <f t="shared" si="66"/>
        <v/>
      </c>
      <c r="H749" s="559" t="str">
        <f t="shared" si="67"/>
        <v/>
      </c>
      <c r="I749" s="559" t="str">
        <f t="shared" si="68"/>
        <v/>
      </c>
    </row>
    <row r="750" spans="2:9">
      <c r="B750" s="555" t="str">
        <f t="shared" si="63"/>
        <v/>
      </c>
      <c r="C750" s="556" t="str">
        <f t="shared" si="64"/>
        <v/>
      </c>
      <c r="D750" s="557" t="str">
        <f t="shared" si="65"/>
        <v/>
      </c>
      <c r="E750" s="560"/>
      <c r="F750" s="559"/>
      <c r="G750" s="559" t="str">
        <f t="shared" si="66"/>
        <v/>
      </c>
      <c r="H750" s="559" t="str">
        <f t="shared" si="67"/>
        <v/>
      </c>
      <c r="I750" s="559" t="str">
        <f t="shared" si="68"/>
        <v/>
      </c>
    </row>
    <row r="751" spans="2:9">
      <c r="B751" s="555" t="str">
        <f t="shared" si="63"/>
        <v/>
      </c>
      <c r="C751" s="556" t="str">
        <f t="shared" si="64"/>
        <v/>
      </c>
      <c r="D751" s="557" t="str">
        <f t="shared" si="65"/>
        <v/>
      </c>
      <c r="E751" s="560"/>
      <c r="F751" s="559"/>
      <c r="G751" s="559" t="str">
        <f t="shared" si="66"/>
        <v/>
      </c>
      <c r="H751" s="559" t="str">
        <f t="shared" si="67"/>
        <v/>
      </c>
      <c r="I751" s="559" t="str">
        <f t="shared" si="68"/>
        <v/>
      </c>
    </row>
    <row r="752" spans="2:9">
      <c r="B752" s="555" t="str">
        <f t="shared" si="63"/>
        <v/>
      </c>
      <c r="C752" s="556" t="str">
        <f t="shared" si="64"/>
        <v/>
      </c>
      <c r="D752" s="557" t="str">
        <f t="shared" si="65"/>
        <v/>
      </c>
      <c r="E752" s="560"/>
      <c r="F752" s="559"/>
      <c r="G752" s="559" t="str">
        <f t="shared" si="66"/>
        <v/>
      </c>
      <c r="H752" s="559" t="str">
        <f t="shared" si="67"/>
        <v/>
      </c>
      <c r="I752" s="559" t="str">
        <f t="shared" si="68"/>
        <v/>
      </c>
    </row>
    <row r="753" spans="2:9">
      <c r="B753" s="555" t="str">
        <f t="shared" si="63"/>
        <v/>
      </c>
      <c r="C753" s="556" t="str">
        <f t="shared" si="64"/>
        <v/>
      </c>
      <c r="D753" s="557" t="str">
        <f t="shared" si="65"/>
        <v/>
      </c>
      <c r="E753" s="560"/>
      <c r="F753" s="559"/>
      <c r="G753" s="559" t="str">
        <f t="shared" si="66"/>
        <v/>
      </c>
      <c r="H753" s="559" t="str">
        <f t="shared" si="67"/>
        <v/>
      </c>
      <c r="I753" s="559" t="str">
        <f t="shared" si="68"/>
        <v/>
      </c>
    </row>
    <row r="754" spans="2:9">
      <c r="B754" s="555" t="str">
        <f t="shared" si="63"/>
        <v/>
      </c>
      <c r="C754" s="556" t="str">
        <f t="shared" si="64"/>
        <v/>
      </c>
      <c r="D754" s="557" t="str">
        <f t="shared" si="65"/>
        <v/>
      </c>
      <c r="E754" s="560"/>
      <c r="F754" s="559"/>
      <c r="G754" s="559" t="str">
        <f t="shared" si="66"/>
        <v/>
      </c>
      <c r="H754" s="559" t="str">
        <f t="shared" si="67"/>
        <v/>
      </c>
      <c r="I754" s="559" t="str">
        <f t="shared" si="68"/>
        <v/>
      </c>
    </row>
    <row r="755" spans="2:9">
      <c r="B755" s="555" t="str">
        <f t="shared" si="63"/>
        <v/>
      </c>
      <c r="C755" s="556" t="str">
        <f t="shared" si="64"/>
        <v/>
      </c>
      <c r="D755" s="557" t="str">
        <f t="shared" si="65"/>
        <v/>
      </c>
      <c r="E755" s="560"/>
      <c r="F755" s="559"/>
      <c r="G755" s="559" t="str">
        <f t="shared" si="66"/>
        <v/>
      </c>
      <c r="H755" s="559" t="str">
        <f t="shared" si="67"/>
        <v/>
      </c>
      <c r="I755" s="559" t="str">
        <f t="shared" si="68"/>
        <v/>
      </c>
    </row>
    <row r="756" spans="2:9">
      <c r="B756" s="555" t="str">
        <f t="shared" si="63"/>
        <v/>
      </c>
      <c r="C756" s="556" t="str">
        <f t="shared" si="64"/>
        <v/>
      </c>
      <c r="D756" s="557" t="str">
        <f t="shared" si="65"/>
        <v/>
      </c>
      <c r="E756" s="560"/>
      <c r="F756" s="559"/>
      <c r="G756" s="559" t="str">
        <f t="shared" si="66"/>
        <v/>
      </c>
      <c r="H756" s="559" t="str">
        <f t="shared" si="67"/>
        <v/>
      </c>
      <c r="I756" s="559" t="str">
        <f t="shared" si="68"/>
        <v/>
      </c>
    </row>
    <row r="757" spans="2:9">
      <c r="B757" s="555" t="str">
        <f t="shared" si="63"/>
        <v/>
      </c>
      <c r="C757" s="556" t="str">
        <f t="shared" si="64"/>
        <v/>
      </c>
      <c r="D757" s="557" t="str">
        <f t="shared" si="65"/>
        <v/>
      </c>
      <c r="E757" s="560"/>
      <c r="F757" s="559"/>
      <c r="G757" s="559" t="str">
        <f t="shared" si="66"/>
        <v/>
      </c>
      <c r="H757" s="559" t="str">
        <f t="shared" si="67"/>
        <v/>
      </c>
      <c r="I757" s="559" t="str">
        <f t="shared" si="68"/>
        <v/>
      </c>
    </row>
    <row r="758" spans="2:9">
      <c r="B758" s="555" t="str">
        <f t="shared" si="63"/>
        <v/>
      </c>
      <c r="C758" s="556" t="str">
        <f t="shared" si="64"/>
        <v/>
      </c>
      <c r="D758" s="557" t="str">
        <f t="shared" si="65"/>
        <v/>
      </c>
      <c r="E758" s="560"/>
      <c r="F758" s="559"/>
      <c r="G758" s="559" t="str">
        <f t="shared" si="66"/>
        <v/>
      </c>
      <c r="H758" s="559" t="str">
        <f t="shared" si="67"/>
        <v/>
      </c>
      <c r="I758" s="559" t="str">
        <f t="shared" si="68"/>
        <v/>
      </c>
    </row>
    <row r="759" spans="2:9">
      <c r="B759" s="555" t="str">
        <f t="shared" si="63"/>
        <v/>
      </c>
      <c r="C759" s="556" t="str">
        <f t="shared" si="64"/>
        <v/>
      </c>
      <c r="D759" s="557" t="str">
        <f t="shared" si="65"/>
        <v/>
      </c>
      <c r="E759" s="560"/>
      <c r="F759" s="559"/>
      <c r="G759" s="559" t="str">
        <f t="shared" si="66"/>
        <v/>
      </c>
      <c r="H759" s="559" t="str">
        <f t="shared" si="67"/>
        <v/>
      </c>
      <c r="I759" s="559" t="str">
        <f t="shared" si="68"/>
        <v/>
      </c>
    </row>
    <row r="760" spans="2:9">
      <c r="B760" s="555" t="str">
        <f t="shared" si="63"/>
        <v/>
      </c>
      <c r="C760" s="556" t="str">
        <f t="shared" si="64"/>
        <v/>
      </c>
      <c r="D760" s="557" t="str">
        <f t="shared" si="65"/>
        <v/>
      </c>
      <c r="E760" s="560"/>
      <c r="F760" s="559"/>
      <c r="G760" s="559" t="str">
        <f t="shared" si="66"/>
        <v/>
      </c>
      <c r="H760" s="559" t="str">
        <f t="shared" si="67"/>
        <v/>
      </c>
      <c r="I760" s="559" t="str">
        <f t="shared" si="68"/>
        <v/>
      </c>
    </row>
    <row r="761" spans="2:9">
      <c r="B761" s="555" t="str">
        <f t="shared" si="63"/>
        <v/>
      </c>
      <c r="C761" s="556" t="str">
        <f t="shared" si="64"/>
        <v/>
      </c>
      <c r="D761" s="557" t="str">
        <f t="shared" si="65"/>
        <v/>
      </c>
      <c r="E761" s="560"/>
      <c r="F761" s="559"/>
      <c r="G761" s="559" t="str">
        <f t="shared" si="66"/>
        <v/>
      </c>
      <c r="H761" s="559" t="str">
        <f t="shared" si="67"/>
        <v/>
      </c>
      <c r="I761" s="559" t="str">
        <f t="shared" si="68"/>
        <v/>
      </c>
    </row>
    <row r="762" spans="2:9">
      <c r="B762" s="555" t="str">
        <f t="shared" si="63"/>
        <v/>
      </c>
      <c r="C762" s="556" t="str">
        <f t="shared" si="64"/>
        <v/>
      </c>
      <c r="D762" s="557" t="str">
        <f t="shared" si="65"/>
        <v/>
      </c>
      <c r="E762" s="560"/>
      <c r="F762" s="559"/>
      <c r="G762" s="559" t="str">
        <f t="shared" si="66"/>
        <v/>
      </c>
      <c r="H762" s="559" t="str">
        <f t="shared" si="67"/>
        <v/>
      </c>
      <c r="I762" s="559" t="str">
        <f t="shared" si="68"/>
        <v/>
      </c>
    </row>
    <row r="763" spans="2:9">
      <c r="B763" s="555" t="str">
        <f t="shared" si="63"/>
        <v/>
      </c>
      <c r="C763" s="556" t="str">
        <f t="shared" si="64"/>
        <v/>
      </c>
      <c r="D763" s="557" t="str">
        <f t="shared" si="65"/>
        <v/>
      </c>
      <c r="E763" s="560"/>
      <c r="F763" s="559"/>
      <c r="G763" s="559" t="str">
        <f t="shared" si="66"/>
        <v/>
      </c>
      <c r="H763" s="559" t="str">
        <f t="shared" si="67"/>
        <v/>
      </c>
      <c r="I763" s="559" t="str">
        <f t="shared" si="68"/>
        <v/>
      </c>
    </row>
    <row r="764" spans="2:9">
      <c r="B764" s="555" t="str">
        <f t="shared" si="63"/>
        <v/>
      </c>
      <c r="C764" s="556" t="str">
        <f t="shared" si="64"/>
        <v/>
      </c>
      <c r="D764" s="557" t="str">
        <f t="shared" si="65"/>
        <v/>
      </c>
      <c r="E764" s="560"/>
      <c r="F764" s="559"/>
      <c r="G764" s="559" t="str">
        <f t="shared" si="66"/>
        <v/>
      </c>
      <c r="H764" s="559" t="str">
        <f t="shared" si="67"/>
        <v/>
      </c>
      <c r="I764" s="559" t="str">
        <f t="shared" si="68"/>
        <v/>
      </c>
    </row>
    <row r="765" spans="2:9">
      <c r="B765" s="555" t="str">
        <f t="shared" ref="B765:B828" si="69">IF(I764="","",IF(roundOpt,IF(OR(B764&gt;=nper,ROUND(I764,2)&lt;=0),"",B764+1),IF(OR(B764&gt;=nper,I764&lt;=0),"",B764+1)))</f>
        <v/>
      </c>
      <c r="C765" s="556" t="str">
        <f t="shared" ref="C765:C828" si="70">IF(B765="","",IF(OR(periods_per_year=26,periods_per_year=52),IF(periods_per_year=26,IF(B765=1,fpdate,C764+14),IF(periods_per_year=52,IF(B765=1,fpdate,C764+7),"n/a")),IF(periods_per_year=24,DATE(YEAR(fpdate),MONTH(fpdate)+(B765-1)/2+IF(AND(DAY(fpdate)&gt;=15,MOD(B765,2)=0),1,0),IF(MOD(B765,2)=0,IF(DAY(fpdate)&gt;=15,DAY(fpdate)-14,DAY(fpdate)+14),DAY(fpdate))),IF(DAY(DATE(YEAR(fpdate),MONTH(fpdate)+(B765-1)*months_per_period,DAY(fpdate)))&lt;&gt;DAY(fpdate),DATE(YEAR(fpdate),MONTH(fpdate)+(B765-1)*months_per_period+1,0),DATE(YEAR(fpdate),MONTH(fpdate)+(B765-1)*months_per_period,DAY(fpdate))))))</f>
        <v/>
      </c>
      <c r="D765" s="557" t="str">
        <f t="shared" ref="D765:D828" si="71">IF(B765="","",IF(roundOpt,IF(OR(B765=nper,payment&gt;ROUND((1+rate)*I764,2)),ROUND((1+rate)*I764,2),payment),IF(OR(B765=nper,payment&gt;(1+rate)*I764),(1+rate)*I764,payment)))</f>
        <v/>
      </c>
      <c r="E765" s="560"/>
      <c r="F765" s="559"/>
      <c r="G765" s="559" t="str">
        <f t="shared" ref="G765:G828" si="72">IF(B765="","",IF(AND(B765=1,pmtType=1),0,IF(roundOpt,ROUND(rate*I764,2),rate*I764)))</f>
        <v/>
      </c>
      <c r="H765" s="559" t="str">
        <f t="shared" ref="H765:H828" si="73">IF(B765="","",D765-G765+E765)</f>
        <v/>
      </c>
      <c r="I765" s="559" t="str">
        <f t="shared" ref="I765:I828" si="74">IF(B765="","",I764-H765)</f>
        <v/>
      </c>
    </row>
    <row r="766" spans="2:9">
      <c r="B766" s="555" t="str">
        <f t="shared" si="69"/>
        <v/>
      </c>
      <c r="C766" s="556" t="str">
        <f t="shared" si="70"/>
        <v/>
      </c>
      <c r="D766" s="557" t="str">
        <f t="shared" si="71"/>
        <v/>
      </c>
      <c r="E766" s="560"/>
      <c r="F766" s="559"/>
      <c r="G766" s="559" t="str">
        <f t="shared" si="72"/>
        <v/>
      </c>
      <c r="H766" s="559" t="str">
        <f t="shared" si="73"/>
        <v/>
      </c>
      <c r="I766" s="559" t="str">
        <f t="shared" si="74"/>
        <v/>
      </c>
    </row>
    <row r="767" spans="2:9">
      <c r="B767" s="555" t="str">
        <f t="shared" si="69"/>
        <v/>
      </c>
      <c r="C767" s="556" t="str">
        <f t="shared" si="70"/>
        <v/>
      </c>
      <c r="D767" s="557" t="str">
        <f t="shared" si="71"/>
        <v/>
      </c>
      <c r="E767" s="560"/>
      <c r="F767" s="559"/>
      <c r="G767" s="559" t="str">
        <f t="shared" si="72"/>
        <v/>
      </c>
      <c r="H767" s="559" t="str">
        <f t="shared" si="73"/>
        <v/>
      </c>
      <c r="I767" s="559" t="str">
        <f t="shared" si="74"/>
        <v/>
      </c>
    </row>
    <row r="768" spans="2:9">
      <c r="B768" s="555" t="str">
        <f t="shared" si="69"/>
        <v/>
      </c>
      <c r="C768" s="556" t="str">
        <f t="shared" si="70"/>
        <v/>
      </c>
      <c r="D768" s="557" t="str">
        <f t="shared" si="71"/>
        <v/>
      </c>
      <c r="E768" s="560"/>
      <c r="F768" s="559"/>
      <c r="G768" s="559" t="str">
        <f t="shared" si="72"/>
        <v/>
      </c>
      <c r="H768" s="559" t="str">
        <f t="shared" si="73"/>
        <v/>
      </c>
      <c r="I768" s="559" t="str">
        <f t="shared" si="74"/>
        <v/>
      </c>
    </row>
    <row r="769" spans="2:9">
      <c r="B769" s="555" t="str">
        <f t="shared" si="69"/>
        <v/>
      </c>
      <c r="C769" s="556" t="str">
        <f t="shared" si="70"/>
        <v/>
      </c>
      <c r="D769" s="557" t="str">
        <f t="shared" si="71"/>
        <v/>
      </c>
      <c r="E769" s="560"/>
      <c r="F769" s="559"/>
      <c r="G769" s="559" t="str">
        <f t="shared" si="72"/>
        <v/>
      </c>
      <c r="H769" s="559" t="str">
        <f t="shared" si="73"/>
        <v/>
      </c>
      <c r="I769" s="559" t="str">
        <f t="shared" si="74"/>
        <v/>
      </c>
    </row>
    <row r="770" spans="2:9">
      <c r="B770" s="555" t="str">
        <f t="shared" si="69"/>
        <v/>
      </c>
      <c r="C770" s="556" t="str">
        <f t="shared" si="70"/>
        <v/>
      </c>
      <c r="D770" s="557" t="str">
        <f t="shared" si="71"/>
        <v/>
      </c>
      <c r="E770" s="560"/>
      <c r="F770" s="559"/>
      <c r="G770" s="559" t="str">
        <f t="shared" si="72"/>
        <v/>
      </c>
      <c r="H770" s="559" t="str">
        <f t="shared" si="73"/>
        <v/>
      </c>
      <c r="I770" s="559" t="str">
        <f t="shared" si="74"/>
        <v/>
      </c>
    </row>
    <row r="771" spans="2:9">
      <c r="B771" s="555" t="str">
        <f t="shared" si="69"/>
        <v/>
      </c>
      <c r="C771" s="556" t="str">
        <f t="shared" si="70"/>
        <v/>
      </c>
      <c r="D771" s="557" t="str">
        <f t="shared" si="71"/>
        <v/>
      </c>
      <c r="E771" s="560"/>
      <c r="F771" s="559"/>
      <c r="G771" s="559" t="str">
        <f t="shared" si="72"/>
        <v/>
      </c>
      <c r="H771" s="559" t="str">
        <f t="shared" si="73"/>
        <v/>
      </c>
      <c r="I771" s="559" t="str">
        <f t="shared" si="74"/>
        <v/>
      </c>
    </row>
    <row r="772" spans="2:9">
      <c r="B772" s="555" t="str">
        <f t="shared" si="69"/>
        <v/>
      </c>
      <c r="C772" s="556" t="str">
        <f t="shared" si="70"/>
        <v/>
      </c>
      <c r="D772" s="557" t="str">
        <f t="shared" si="71"/>
        <v/>
      </c>
      <c r="E772" s="560"/>
      <c r="F772" s="559"/>
      <c r="G772" s="559" t="str">
        <f t="shared" si="72"/>
        <v/>
      </c>
      <c r="H772" s="559" t="str">
        <f t="shared" si="73"/>
        <v/>
      </c>
      <c r="I772" s="559" t="str">
        <f t="shared" si="74"/>
        <v/>
      </c>
    </row>
    <row r="773" spans="2:9">
      <c r="B773" s="555" t="str">
        <f t="shared" si="69"/>
        <v/>
      </c>
      <c r="C773" s="556" t="str">
        <f t="shared" si="70"/>
        <v/>
      </c>
      <c r="D773" s="557" t="str">
        <f t="shared" si="71"/>
        <v/>
      </c>
      <c r="E773" s="560"/>
      <c r="F773" s="559"/>
      <c r="G773" s="559" t="str">
        <f t="shared" si="72"/>
        <v/>
      </c>
      <c r="H773" s="559" t="str">
        <f t="shared" si="73"/>
        <v/>
      </c>
      <c r="I773" s="559" t="str">
        <f t="shared" si="74"/>
        <v/>
      </c>
    </row>
    <row r="774" spans="2:9">
      <c r="B774" s="555" t="str">
        <f t="shared" si="69"/>
        <v/>
      </c>
      <c r="C774" s="556" t="str">
        <f t="shared" si="70"/>
        <v/>
      </c>
      <c r="D774" s="557" t="str">
        <f t="shared" si="71"/>
        <v/>
      </c>
      <c r="E774" s="560"/>
      <c r="F774" s="559"/>
      <c r="G774" s="559" t="str">
        <f t="shared" si="72"/>
        <v/>
      </c>
      <c r="H774" s="559" t="str">
        <f t="shared" si="73"/>
        <v/>
      </c>
      <c r="I774" s="559" t="str">
        <f t="shared" si="74"/>
        <v/>
      </c>
    </row>
    <row r="775" spans="2:9">
      <c r="B775" s="555" t="str">
        <f t="shared" si="69"/>
        <v/>
      </c>
      <c r="C775" s="556" t="str">
        <f t="shared" si="70"/>
        <v/>
      </c>
      <c r="D775" s="557" t="str">
        <f t="shared" si="71"/>
        <v/>
      </c>
      <c r="E775" s="560"/>
      <c r="F775" s="559"/>
      <c r="G775" s="559" t="str">
        <f t="shared" si="72"/>
        <v/>
      </c>
      <c r="H775" s="559" t="str">
        <f t="shared" si="73"/>
        <v/>
      </c>
      <c r="I775" s="559" t="str">
        <f t="shared" si="74"/>
        <v/>
      </c>
    </row>
    <row r="776" spans="2:9">
      <c r="B776" s="555" t="str">
        <f t="shared" si="69"/>
        <v/>
      </c>
      <c r="C776" s="556" t="str">
        <f t="shared" si="70"/>
        <v/>
      </c>
      <c r="D776" s="557" t="str">
        <f t="shared" si="71"/>
        <v/>
      </c>
      <c r="E776" s="560"/>
      <c r="F776" s="559"/>
      <c r="G776" s="559" t="str">
        <f t="shared" si="72"/>
        <v/>
      </c>
      <c r="H776" s="559" t="str">
        <f t="shared" si="73"/>
        <v/>
      </c>
      <c r="I776" s="559" t="str">
        <f t="shared" si="74"/>
        <v/>
      </c>
    </row>
    <row r="777" spans="2:9">
      <c r="B777" s="555" t="str">
        <f t="shared" si="69"/>
        <v/>
      </c>
      <c r="C777" s="556" t="str">
        <f t="shared" si="70"/>
        <v/>
      </c>
      <c r="D777" s="557" t="str">
        <f t="shared" si="71"/>
        <v/>
      </c>
      <c r="E777" s="560"/>
      <c r="F777" s="559"/>
      <c r="G777" s="559" t="str">
        <f t="shared" si="72"/>
        <v/>
      </c>
      <c r="H777" s="559" t="str">
        <f t="shared" si="73"/>
        <v/>
      </c>
      <c r="I777" s="559" t="str">
        <f t="shared" si="74"/>
        <v/>
      </c>
    </row>
    <row r="778" spans="2:9">
      <c r="B778" s="555" t="str">
        <f t="shared" si="69"/>
        <v/>
      </c>
      <c r="C778" s="556" t="str">
        <f t="shared" si="70"/>
        <v/>
      </c>
      <c r="D778" s="557" t="str">
        <f t="shared" si="71"/>
        <v/>
      </c>
      <c r="E778" s="560"/>
      <c r="F778" s="559"/>
      <c r="G778" s="559" t="str">
        <f t="shared" si="72"/>
        <v/>
      </c>
      <c r="H778" s="559" t="str">
        <f t="shared" si="73"/>
        <v/>
      </c>
      <c r="I778" s="559" t="str">
        <f t="shared" si="74"/>
        <v/>
      </c>
    </row>
    <row r="779" spans="2:9">
      <c r="B779" s="555" t="str">
        <f t="shared" si="69"/>
        <v/>
      </c>
      <c r="C779" s="556" t="str">
        <f t="shared" si="70"/>
        <v/>
      </c>
      <c r="D779" s="557" t="str">
        <f t="shared" si="71"/>
        <v/>
      </c>
      <c r="E779" s="560"/>
      <c r="F779" s="559"/>
      <c r="G779" s="559" t="str">
        <f t="shared" si="72"/>
        <v/>
      </c>
      <c r="H779" s="559" t="str">
        <f t="shared" si="73"/>
        <v/>
      </c>
      <c r="I779" s="559" t="str">
        <f t="shared" si="74"/>
        <v/>
      </c>
    </row>
    <row r="780" spans="2:9">
      <c r="B780" s="555" t="str">
        <f t="shared" si="69"/>
        <v/>
      </c>
      <c r="C780" s="556" t="str">
        <f t="shared" si="70"/>
        <v/>
      </c>
      <c r="D780" s="557" t="str">
        <f t="shared" si="71"/>
        <v/>
      </c>
      <c r="E780" s="560"/>
      <c r="F780" s="559"/>
      <c r="G780" s="559" t="str">
        <f t="shared" si="72"/>
        <v/>
      </c>
      <c r="H780" s="559" t="str">
        <f t="shared" si="73"/>
        <v/>
      </c>
      <c r="I780" s="559" t="str">
        <f t="shared" si="74"/>
        <v/>
      </c>
    </row>
    <row r="781" spans="2:9">
      <c r="B781" s="555" t="str">
        <f t="shared" si="69"/>
        <v/>
      </c>
      <c r="C781" s="556" t="str">
        <f t="shared" si="70"/>
        <v/>
      </c>
      <c r="D781" s="557" t="str">
        <f t="shared" si="71"/>
        <v/>
      </c>
      <c r="E781" s="560"/>
      <c r="F781" s="559"/>
      <c r="G781" s="559" t="str">
        <f t="shared" si="72"/>
        <v/>
      </c>
      <c r="H781" s="559" t="str">
        <f t="shared" si="73"/>
        <v/>
      </c>
      <c r="I781" s="559" t="str">
        <f t="shared" si="74"/>
        <v/>
      </c>
    </row>
    <row r="782" spans="2:9">
      <c r="B782" s="555" t="str">
        <f t="shared" si="69"/>
        <v/>
      </c>
      <c r="C782" s="556" t="str">
        <f t="shared" si="70"/>
        <v/>
      </c>
      <c r="D782" s="557" t="str">
        <f t="shared" si="71"/>
        <v/>
      </c>
      <c r="E782" s="560"/>
      <c r="F782" s="559"/>
      <c r="G782" s="559" t="str">
        <f t="shared" si="72"/>
        <v/>
      </c>
      <c r="H782" s="559" t="str">
        <f t="shared" si="73"/>
        <v/>
      </c>
      <c r="I782" s="559" t="str">
        <f t="shared" si="74"/>
        <v/>
      </c>
    </row>
    <row r="783" spans="2:9">
      <c r="B783" s="555" t="str">
        <f t="shared" si="69"/>
        <v/>
      </c>
      <c r="C783" s="556" t="str">
        <f t="shared" si="70"/>
        <v/>
      </c>
      <c r="D783" s="557" t="str">
        <f t="shared" si="71"/>
        <v/>
      </c>
      <c r="E783" s="560"/>
      <c r="F783" s="559"/>
      <c r="G783" s="559" t="str">
        <f t="shared" si="72"/>
        <v/>
      </c>
      <c r="H783" s="559" t="str">
        <f t="shared" si="73"/>
        <v/>
      </c>
      <c r="I783" s="559" t="str">
        <f t="shared" si="74"/>
        <v/>
      </c>
    </row>
    <row r="784" spans="2:9">
      <c r="B784" s="555" t="str">
        <f t="shared" si="69"/>
        <v/>
      </c>
      <c r="C784" s="556" t="str">
        <f t="shared" si="70"/>
        <v/>
      </c>
      <c r="D784" s="557" t="str">
        <f t="shared" si="71"/>
        <v/>
      </c>
      <c r="E784" s="560"/>
      <c r="F784" s="559"/>
      <c r="G784" s="559" t="str">
        <f t="shared" si="72"/>
        <v/>
      </c>
      <c r="H784" s="559" t="str">
        <f t="shared" si="73"/>
        <v/>
      </c>
      <c r="I784" s="559" t="str">
        <f t="shared" si="74"/>
        <v/>
      </c>
    </row>
    <row r="785" spans="2:9">
      <c r="B785" s="555" t="str">
        <f t="shared" si="69"/>
        <v/>
      </c>
      <c r="C785" s="556" t="str">
        <f t="shared" si="70"/>
        <v/>
      </c>
      <c r="D785" s="557" t="str">
        <f t="shared" si="71"/>
        <v/>
      </c>
      <c r="E785" s="560"/>
      <c r="F785" s="559"/>
      <c r="G785" s="559" t="str">
        <f t="shared" si="72"/>
        <v/>
      </c>
      <c r="H785" s="559" t="str">
        <f t="shared" si="73"/>
        <v/>
      </c>
      <c r="I785" s="559" t="str">
        <f t="shared" si="74"/>
        <v/>
      </c>
    </row>
    <row r="786" spans="2:9">
      <c r="B786" s="555" t="str">
        <f t="shared" si="69"/>
        <v/>
      </c>
      <c r="C786" s="556" t="str">
        <f t="shared" si="70"/>
        <v/>
      </c>
      <c r="D786" s="557" t="str">
        <f t="shared" si="71"/>
        <v/>
      </c>
      <c r="E786" s="560"/>
      <c r="F786" s="559"/>
      <c r="G786" s="559" t="str">
        <f t="shared" si="72"/>
        <v/>
      </c>
      <c r="H786" s="559" t="str">
        <f t="shared" si="73"/>
        <v/>
      </c>
      <c r="I786" s="559" t="str">
        <f t="shared" si="74"/>
        <v/>
      </c>
    </row>
    <row r="787" spans="2:9">
      <c r="B787" s="555" t="str">
        <f t="shared" si="69"/>
        <v/>
      </c>
      <c r="C787" s="556" t="str">
        <f t="shared" si="70"/>
        <v/>
      </c>
      <c r="D787" s="557" t="str">
        <f t="shared" si="71"/>
        <v/>
      </c>
      <c r="E787" s="560"/>
      <c r="F787" s="559"/>
      <c r="G787" s="559" t="str">
        <f t="shared" si="72"/>
        <v/>
      </c>
      <c r="H787" s="559" t="str">
        <f t="shared" si="73"/>
        <v/>
      </c>
      <c r="I787" s="559" t="str">
        <f t="shared" si="74"/>
        <v/>
      </c>
    </row>
    <row r="788" spans="2:9">
      <c r="B788" s="555" t="str">
        <f t="shared" si="69"/>
        <v/>
      </c>
      <c r="C788" s="556" t="str">
        <f t="shared" si="70"/>
        <v/>
      </c>
      <c r="D788" s="557" t="str">
        <f t="shared" si="71"/>
        <v/>
      </c>
      <c r="E788" s="560"/>
      <c r="F788" s="559"/>
      <c r="G788" s="559" t="str">
        <f t="shared" si="72"/>
        <v/>
      </c>
      <c r="H788" s="559" t="str">
        <f t="shared" si="73"/>
        <v/>
      </c>
      <c r="I788" s="559" t="str">
        <f t="shared" si="74"/>
        <v/>
      </c>
    </row>
    <row r="789" spans="2:9">
      <c r="B789" s="555" t="str">
        <f t="shared" si="69"/>
        <v/>
      </c>
      <c r="C789" s="556" t="str">
        <f t="shared" si="70"/>
        <v/>
      </c>
      <c r="D789" s="557" t="str">
        <f t="shared" si="71"/>
        <v/>
      </c>
      <c r="E789" s="560"/>
      <c r="F789" s="559"/>
      <c r="G789" s="559" t="str">
        <f t="shared" si="72"/>
        <v/>
      </c>
      <c r="H789" s="559" t="str">
        <f t="shared" si="73"/>
        <v/>
      </c>
      <c r="I789" s="559" t="str">
        <f t="shared" si="74"/>
        <v/>
      </c>
    </row>
    <row r="790" spans="2:9">
      <c r="B790" s="555" t="str">
        <f t="shared" si="69"/>
        <v/>
      </c>
      <c r="C790" s="556" t="str">
        <f t="shared" si="70"/>
        <v/>
      </c>
      <c r="D790" s="557" t="str">
        <f t="shared" si="71"/>
        <v/>
      </c>
      <c r="E790" s="560"/>
      <c r="F790" s="559"/>
      <c r="G790" s="559" t="str">
        <f t="shared" si="72"/>
        <v/>
      </c>
      <c r="H790" s="559" t="str">
        <f t="shared" si="73"/>
        <v/>
      </c>
      <c r="I790" s="559" t="str">
        <f t="shared" si="74"/>
        <v/>
      </c>
    </row>
    <row r="791" spans="2:9">
      <c r="B791" s="555" t="str">
        <f t="shared" si="69"/>
        <v/>
      </c>
      <c r="C791" s="556" t="str">
        <f t="shared" si="70"/>
        <v/>
      </c>
      <c r="D791" s="557" t="str">
        <f t="shared" si="71"/>
        <v/>
      </c>
      <c r="E791" s="560"/>
      <c r="F791" s="559"/>
      <c r="G791" s="559" t="str">
        <f t="shared" si="72"/>
        <v/>
      </c>
      <c r="H791" s="559" t="str">
        <f t="shared" si="73"/>
        <v/>
      </c>
      <c r="I791" s="559" t="str">
        <f t="shared" si="74"/>
        <v/>
      </c>
    </row>
    <row r="792" spans="2:9">
      <c r="B792" s="555" t="str">
        <f t="shared" si="69"/>
        <v/>
      </c>
      <c r="C792" s="556" t="str">
        <f t="shared" si="70"/>
        <v/>
      </c>
      <c r="D792" s="557" t="str">
        <f t="shared" si="71"/>
        <v/>
      </c>
      <c r="E792" s="560"/>
      <c r="F792" s="559"/>
      <c r="G792" s="559" t="str">
        <f t="shared" si="72"/>
        <v/>
      </c>
      <c r="H792" s="559" t="str">
        <f t="shared" si="73"/>
        <v/>
      </c>
      <c r="I792" s="559" t="str">
        <f t="shared" si="74"/>
        <v/>
      </c>
    </row>
    <row r="793" spans="2:9">
      <c r="B793" s="555" t="str">
        <f t="shared" si="69"/>
        <v/>
      </c>
      <c r="C793" s="556" t="str">
        <f t="shared" si="70"/>
        <v/>
      </c>
      <c r="D793" s="557" t="str">
        <f t="shared" si="71"/>
        <v/>
      </c>
      <c r="E793" s="560"/>
      <c r="F793" s="559"/>
      <c r="G793" s="559" t="str">
        <f t="shared" si="72"/>
        <v/>
      </c>
      <c r="H793" s="559" t="str">
        <f t="shared" si="73"/>
        <v/>
      </c>
      <c r="I793" s="559" t="str">
        <f t="shared" si="74"/>
        <v/>
      </c>
    </row>
    <row r="794" spans="2:9">
      <c r="B794" s="555" t="str">
        <f t="shared" si="69"/>
        <v/>
      </c>
      <c r="C794" s="556" t="str">
        <f t="shared" si="70"/>
        <v/>
      </c>
      <c r="D794" s="557" t="str">
        <f t="shared" si="71"/>
        <v/>
      </c>
      <c r="E794" s="560"/>
      <c r="F794" s="559"/>
      <c r="G794" s="559" t="str">
        <f t="shared" si="72"/>
        <v/>
      </c>
      <c r="H794" s="559" t="str">
        <f t="shared" si="73"/>
        <v/>
      </c>
      <c r="I794" s="559" t="str">
        <f t="shared" si="74"/>
        <v/>
      </c>
    </row>
    <row r="795" spans="2:9">
      <c r="B795" s="555" t="str">
        <f t="shared" si="69"/>
        <v/>
      </c>
      <c r="C795" s="556" t="str">
        <f t="shared" si="70"/>
        <v/>
      </c>
      <c r="D795" s="557" t="str">
        <f t="shared" si="71"/>
        <v/>
      </c>
      <c r="E795" s="560"/>
      <c r="F795" s="559"/>
      <c r="G795" s="559" t="str">
        <f t="shared" si="72"/>
        <v/>
      </c>
      <c r="H795" s="559" t="str">
        <f t="shared" si="73"/>
        <v/>
      </c>
      <c r="I795" s="559" t="str">
        <f t="shared" si="74"/>
        <v/>
      </c>
    </row>
    <row r="796" spans="2:9">
      <c r="B796" s="555" t="str">
        <f t="shared" si="69"/>
        <v/>
      </c>
      <c r="C796" s="556" t="str">
        <f t="shared" si="70"/>
        <v/>
      </c>
      <c r="D796" s="557" t="str">
        <f t="shared" si="71"/>
        <v/>
      </c>
      <c r="E796" s="560"/>
      <c r="F796" s="559"/>
      <c r="G796" s="559" t="str">
        <f t="shared" si="72"/>
        <v/>
      </c>
      <c r="H796" s="559" t="str">
        <f t="shared" si="73"/>
        <v/>
      </c>
      <c r="I796" s="559" t="str">
        <f t="shared" si="74"/>
        <v/>
      </c>
    </row>
    <row r="797" spans="2:9">
      <c r="B797" s="555" t="str">
        <f t="shared" si="69"/>
        <v/>
      </c>
      <c r="C797" s="556" t="str">
        <f t="shared" si="70"/>
        <v/>
      </c>
      <c r="D797" s="557" t="str">
        <f t="shared" si="71"/>
        <v/>
      </c>
      <c r="E797" s="560"/>
      <c r="F797" s="559"/>
      <c r="G797" s="559" t="str">
        <f t="shared" si="72"/>
        <v/>
      </c>
      <c r="H797" s="559" t="str">
        <f t="shared" si="73"/>
        <v/>
      </c>
      <c r="I797" s="559" t="str">
        <f t="shared" si="74"/>
        <v/>
      </c>
    </row>
    <row r="798" spans="2:9">
      <c r="B798" s="555" t="str">
        <f t="shared" si="69"/>
        <v/>
      </c>
      <c r="C798" s="556" t="str">
        <f t="shared" si="70"/>
        <v/>
      </c>
      <c r="D798" s="557" t="str">
        <f t="shared" si="71"/>
        <v/>
      </c>
      <c r="E798" s="560"/>
      <c r="F798" s="559"/>
      <c r="G798" s="559" t="str">
        <f t="shared" si="72"/>
        <v/>
      </c>
      <c r="H798" s="559" t="str">
        <f t="shared" si="73"/>
        <v/>
      </c>
      <c r="I798" s="559" t="str">
        <f t="shared" si="74"/>
        <v/>
      </c>
    </row>
    <row r="799" spans="2:9">
      <c r="B799" s="555" t="str">
        <f t="shared" si="69"/>
        <v/>
      </c>
      <c r="C799" s="556" t="str">
        <f t="shared" si="70"/>
        <v/>
      </c>
      <c r="D799" s="557" t="str">
        <f t="shared" si="71"/>
        <v/>
      </c>
      <c r="E799" s="560"/>
      <c r="F799" s="559"/>
      <c r="G799" s="559" t="str">
        <f t="shared" si="72"/>
        <v/>
      </c>
      <c r="H799" s="559" t="str">
        <f t="shared" si="73"/>
        <v/>
      </c>
      <c r="I799" s="559" t="str">
        <f t="shared" si="74"/>
        <v/>
      </c>
    </row>
    <row r="800" spans="2:9">
      <c r="B800" s="555" t="str">
        <f t="shared" si="69"/>
        <v/>
      </c>
      <c r="C800" s="556" t="str">
        <f t="shared" si="70"/>
        <v/>
      </c>
      <c r="D800" s="557" t="str">
        <f t="shared" si="71"/>
        <v/>
      </c>
      <c r="E800" s="560"/>
      <c r="F800" s="559"/>
      <c r="G800" s="559" t="str">
        <f t="shared" si="72"/>
        <v/>
      </c>
      <c r="H800" s="559" t="str">
        <f t="shared" si="73"/>
        <v/>
      </c>
      <c r="I800" s="559" t="str">
        <f t="shared" si="74"/>
        <v/>
      </c>
    </row>
    <row r="801" spans="2:9">
      <c r="B801" s="555" t="str">
        <f t="shared" si="69"/>
        <v/>
      </c>
      <c r="C801" s="556" t="str">
        <f t="shared" si="70"/>
        <v/>
      </c>
      <c r="D801" s="557" t="str">
        <f t="shared" si="71"/>
        <v/>
      </c>
      <c r="E801" s="560"/>
      <c r="F801" s="559"/>
      <c r="G801" s="559" t="str">
        <f t="shared" si="72"/>
        <v/>
      </c>
      <c r="H801" s="559" t="str">
        <f t="shared" si="73"/>
        <v/>
      </c>
      <c r="I801" s="559" t="str">
        <f t="shared" si="74"/>
        <v/>
      </c>
    </row>
    <row r="802" spans="2:9">
      <c r="B802" s="555" t="str">
        <f t="shared" si="69"/>
        <v/>
      </c>
      <c r="C802" s="556" t="str">
        <f t="shared" si="70"/>
        <v/>
      </c>
      <c r="D802" s="557" t="str">
        <f t="shared" si="71"/>
        <v/>
      </c>
      <c r="E802" s="560"/>
      <c r="F802" s="559"/>
      <c r="G802" s="559" t="str">
        <f t="shared" si="72"/>
        <v/>
      </c>
      <c r="H802" s="559" t="str">
        <f t="shared" si="73"/>
        <v/>
      </c>
      <c r="I802" s="559" t="str">
        <f t="shared" si="74"/>
        <v/>
      </c>
    </row>
    <row r="803" spans="2:9">
      <c r="B803" s="555" t="str">
        <f t="shared" si="69"/>
        <v/>
      </c>
      <c r="C803" s="556" t="str">
        <f t="shared" si="70"/>
        <v/>
      </c>
      <c r="D803" s="557" t="str">
        <f t="shared" si="71"/>
        <v/>
      </c>
      <c r="E803" s="560"/>
      <c r="F803" s="559"/>
      <c r="G803" s="559" t="str">
        <f t="shared" si="72"/>
        <v/>
      </c>
      <c r="H803" s="559" t="str">
        <f t="shared" si="73"/>
        <v/>
      </c>
      <c r="I803" s="559" t="str">
        <f t="shared" si="74"/>
        <v/>
      </c>
    </row>
    <row r="804" spans="2:9">
      <c r="B804" s="555" t="str">
        <f t="shared" si="69"/>
        <v/>
      </c>
      <c r="C804" s="556" t="str">
        <f t="shared" si="70"/>
        <v/>
      </c>
      <c r="D804" s="557" t="str">
        <f t="shared" si="71"/>
        <v/>
      </c>
      <c r="E804" s="560"/>
      <c r="F804" s="559"/>
      <c r="G804" s="559" t="str">
        <f t="shared" si="72"/>
        <v/>
      </c>
      <c r="H804" s="559" t="str">
        <f t="shared" si="73"/>
        <v/>
      </c>
      <c r="I804" s="559" t="str">
        <f t="shared" si="74"/>
        <v/>
      </c>
    </row>
    <row r="805" spans="2:9">
      <c r="B805" s="555" t="str">
        <f t="shared" si="69"/>
        <v/>
      </c>
      <c r="C805" s="556" t="str">
        <f t="shared" si="70"/>
        <v/>
      </c>
      <c r="D805" s="557" t="str">
        <f t="shared" si="71"/>
        <v/>
      </c>
      <c r="E805" s="560"/>
      <c r="F805" s="559"/>
      <c r="G805" s="559" t="str">
        <f t="shared" si="72"/>
        <v/>
      </c>
      <c r="H805" s="559" t="str">
        <f t="shared" si="73"/>
        <v/>
      </c>
      <c r="I805" s="559" t="str">
        <f t="shared" si="74"/>
        <v/>
      </c>
    </row>
    <row r="806" spans="2:9">
      <c r="B806" s="555" t="str">
        <f t="shared" si="69"/>
        <v/>
      </c>
      <c r="C806" s="556" t="str">
        <f t="shared" si="70"/>
        <v/>
      </c>
      <c r="D806" s="557" t="str">
        <f t="shared" si="71"/>
        <v/>
      </c>
      <c r="E806" s="560"/>
      <c r="F806" s="559"/>
      <c r="G806" s="559" t="str">
        <f t="shared" si="72"/>
        <v/>
      </c>
      <c r="H806" s="559" t="str">
        <f t="shared" si="73"/>
        <v/>
      </c>
      <c r="I806" s="559" t="str">
        <f t="shared" si="74"/>
        <v/>
      </c>
    </row>
    <row r="807" spans="2:9">
      <c r="B807" s="555" t="str">
        <f t="shared" si="69"/>
        <v/>
      </c>
      <c r="C807" s="556" t="str">
        <f t="shared" si="70"/>
        <v/>
      </c>
      <c r="D807" s="557" t="str">
        <f t="shared" si="71"/>
        <v/>
      </c>
      <c r="E807" s="560"/>
      <c r="F807" s="559"/>
      <c r="G807" s="559" t="str">
        <f t="shared" si="72"/>
        <v/>
      </c>
      <c r="H807" s="559" t="str">
        <f t="shared" si="73"/>
        <v/>
      </c>
      <c r="I807" s="559" t="str">
        <f t="shared" si="74"/>
        <v/>
      </c>
    </row>
    <row r="808" spans="2:9">
      <c r="B808" s="555" t="str">
        <f t="shared" si="69"/>
        <v/>
      </c>
      <c r="C808" s="556" t="str">
        <f t="shared" si="70"/>
        <v/>
      </c>
      <c r="D808" s="557" t="str">
        <f t="shared" si="71"/>
        <v/>
      </c>
      <c r="E808" s="560"/>
      <c r="F808" s="559"/>
      <c r="G808" s="559" t="str">
        <f t="shared" si="72"/>
        <v/>
      </c>
      <c r="H808" s="559" t="str">
        <f t="shared" si="73"/>
        <v/>
      </c>
      <c r="I808" s="559" t="str">
        <f t="shared" si="74"/>
        <v/>
      </c>
    </row>
    <row r="809" spans="2:9">
      <c r="B809" s="555" t="str">
        <f t="shared" si="69"/>
        <v/>
      </c>
      <c r="C809" s="556" t="str">
        <f t="shared" si="70"/>
        <v/>
      </c>
      <c r="D809" s="557" t="str">
        <f t="shared" si="71"/>
        <v/>
      </c>
      <c r="E809" s="560"/>
      <c r="F809" s="559"/>
      <c r="G809" s="559" t="str">
        <f t="shared" si="72"/>
        <v/>
      </c>
      <c r="H809" s="559" t="str">
        <f t="shared" si="73"/>
        <v/>
      </c>
      <c r="I809" s="559" t="str">
        <f t="shared" si="74"/>
        <v/>
      </c>
    </row>
    <row r="810" spans="2:9">
      <c r="B810" s="555" t="str">
        <f t="shared" si="69"/>
        <v/>
      </c>
      <c r="C810" s="556" t="str">
        <f t="shared" si="70"/>
        <v/>
      </c>
      <c r="D810" s="557" t="str">
        <f t="shared" si="71"/>
        <v/>
      </c>
      <c r="E810" s="560"/>
      <c r="F810" s="559"/>
      <c r="G810" s="559" t="str">
        <f t="shared" si="72"/>
        <v/>
      </c>
      <c r="H810" s="559" t="str">
        <f t="shared" si="73"/>
        <v/>
      </c>
      <c r="I810" s="559" t="str">
        <f t="shared" si="74"/>
        <v/>
      </c>
    </row>
    <row r="811" spans="2:9">
      <c r="B811" s="555" t="str">
        <f t="shared" si="69"/>
        <v/>
      </c>
      <c r="C811" s="556" t="str">
        <f t="shared" si="70"/>
        <v/>
      </c>
      <c r="D811" s="557" t="str">
        <f t="shared" si="71"/>
        <v/>
      </c>
      <c r="E811" s="560"/>
      <c r="F811" s="559"/>
      <c r="G811" s="559" t="str">
        <f t="shared" si="72"/>
        <v/>
      </c>
      <c r="H811" s="559" t="str">
        <f t="shared" si="73"/>
        <v/>
      </c>
      <c r="I811" s="559" t="str">
        <f t="shared" si="74"/>
        <v/>
      </c>
    </row>
    <row r="812" spans="2:9">
      <c r="B812" s="555" t="str">
        <f t="shared" si="69"/>
        <v/>
      </c>
      <c r="C812" s="556" t="str">
        <f t="shared" si="70"/>
        <v/>
      </c>
      <c r="D812" s="557" t="str">
        <f t="shared" si="71"/>
        <v/>
      </c>
      <c r="E812" s="560"/>
      <c r="F812" s="559"/>
      <c r="G812" s="559" t="str">
        <f t="shared" si="72"/>
        <v/>
      </c>
      <c r="H812" s="559" t="str">
        <f t="shared" si="73"/>
        <v/>
      </c>
      <c r="I812" s="559" t="str">
        <f t="shared" si="74"/>
        <v/>
      </c>
    </row>
    <row r="813" spans="2:9">
      <c r="B813" s="555" t="str">
        <f t="shared" si="69"/>
        <v/>
      </c>
      <c r="C813" s="556" t="str">
        <f t="shared" si="70"/>
        <v/>
      </c>
      <c r="D813" s="557" t="str">
        <f t="shared" si="71"/>
        <v/>
      </c>
      <c r="E813" s="560"/>
      <c r="F813" s="559"/>
      <c r="G813" s="559" t="str">
        <f t="shared" si="72"/>
        <v/>
      </c>
      <c r="H813" s="559" t="str">
        <f t="shared" si="73"/>
        <v/>
      </c>
      <c r="I813" s="559" t="str">
        <f t="shared" si="74"/>
        <v/>
      </c>
    </row>
    <row r="814" spans="2:9">
      <c r="B814" s="555" t="str">
        <f t="shared" si="69"/>
        <v/>
      </c>
      <c r="C814" s="556" t="str">
        <f t="shared" si="70"/>
        <v/>
      </c>
      <c r="D814" s="557" t="str">
        <f t="shared" si="71"/>
        <v/>
      </c>
      <c r="E814" s="560"/>
      <c r="F814" s="559"/>
      <c r="G814" s="559" t="str">
        <f t="shared" si="72"/>
        <v/>
      </c>
      <c r="H814" s="559" t="str">
        <f t="shared" si="73"/>
        <v/>
      </c>
      <c r="I814" s="559" t="str">
        <f t="shared" si="74"/>
        <v/>
      </c>
    </row>
    <row r="815" spans="2:9">
      <c r="B815" s="555" t="str">
        <f t="shared" si="69"/>
        <v/>
      </c>
      <c r="C815" s="556" t="str">
        <f t="shared" si="70"/>
        <v/>
      </c>
      <c r="D815" s="557" t="str">
        <f t="shared" si="71"/>
        <v/>
      </c>
      <c r="E815" s="560"/>
      <c r="F815" s="559"/>
      <c r="G815" s="559" t="str">
        <f t="shared" si="72"/>
        <v/>
      </c>
      <c r="H815" s="559" t="str">
        <f t="shared" si="73"/>
        <v/>
      </c>
      <c r="I815" s="559" t="str">
        <f t="shared" si="74"/>
        <v/>
      </c>
    </row>
    <row r="816" spans="2:9">
      <c r="B816" s="555" t="str">
        <f t="shared" si="69"/>
        <v/>
      </c>
      <c r="C816" s="556" t="str">
        <f t="shared" si="70"/>
        <v/>
      </c>
      <c r="D816" s="557" t="str">
        <f t="shared" si="71"/>
        <v/>
      </c>
      <c r="E816" s="560"/>
      <c r="F816" s="559"/>
      <c r="G816" s="559" t="str">
        <f t="shared" si="72"/>
        <v/>
      </c>
      <c r="H816" s="559" t="str">
        <f t="shared" si="73"/>
        <v/>
      </c>
      <c r="I816" s="559" t="str">
        <f t="shared" si="74"/>
        <v/>
      </c>
    </row>
    <row r="817" spans="2:9">
      <c r="B817" s="555" t="str">
        <f t="shared" si="69"/>
        <v/>
      </c>
      <c r="C817" s="556" t="str">
        <f t="shared" si="70"/>
        <v/>
      </c>
      <c r="D817" s="557" t="str">
        <f t="shared" si="71"/>
        <v/>
      </c>
      <c r="E817" s="560"/>
      <c r="F817" s="559"/>
      <c r="G817" s="559" t="str">
        <f t="shared" si="72"/>
        <v/>
      </c>
      <c r="H817" s="559" t="str">
        <f t="shared" si="73"/>
        <v/>
      </c>
      <c r="I817" s="559" t="str">
        <f t="shared" si="74"/>
        <v/>
      </c>
    </row>
    <row r="818" spans="2:9">
      <c r="B818" s="555" t="str">
        <f t="shared" si="69"/>
        <v/>
      </c>
      <c r="C818" s="556" t="str">
        <f t="shared" si="70"/>
        <v/>
      </c>
      <c r="D818" s="557" t="str">
        <f t="shared" si="71"/>
        <v/>
      </c>
      <c r="E818" s="560"/>
      <c r="F818" s="559"/>
      <c r="G818" s="559" t="str">
        <f t="shared" si="72"/>
        <v/>
      </c>
      <c r="H818" s="559" t="str">
        <f t="shared" si="73"/>
        <v/>
      </c>
      <c r="I818" s="559" t="str">
        <f t="shared" si="74"/>
        <v/>
      </c>
    </row>
    <row r="819" spans="2:9">
      <c r="B819" s="555" t="str">
        <f t="shared" si="69"/>
        <v/>
      </c>
      <c r="C819" s="556" t="str">
        <f t="shared" si="70"/>
        <v/>
      </c>
      <c r="D819" s="557" t="str">
        <f t="shared" si="71"/>
        <v/>
      </c>
      <c r="E819" s="560"/>
      <c r="F819" s="559"/>
      <c r="G819" s="559" t="str">
        <f t="shared" si="72"/>
        <v/>
      </c>
      <c r="H819" s="559" t="str">
        <f t="shared" si="73"/>
        <v/>
      </c>
      <c r="I819" s="559" t="str">
        <f t="shared" si="74"/>
        <v/>
      </c>
    </row>
    <row r="820" spans="2:9">
      <c r="B820" s="555" t="str">
        <f t="shared" si="69"/>
        <v/>
      </c>
      <c r="C820" s="556" t="str">
        <f t="shared" si="70"/>
        <v/>
      </c>
      <c r="D820" s="557" t="str">
        <f t="shared" si="71"/>
        <v/>
      </c>
      <c r="E820" s="560"/>
      <c r="F820" s="559"/>
      <c r="G820" s="559" t="str">
        <f t="shared" si="72"/>
        <v/>
      </c>
      <c r="H820" s="559" t="str">
        <f t="shared" si="73"/>
        <v/>
      </c>
      <c r="I820" s="559" t="str">
        <f t="shared" si="74"/>
        <v/>
      </c>
    </row>
    <row r="821" spans="2:9">
      <c r="B821" s="555" t="str">
        <f t="shared" si="69"/>
        <v/>
      </c>
      <c r="C821" s="556" t="str">
        <f t="shared" si="70"/>
        <v/>
      </c>
      <c r="D821" s="557" t="str">
        <f t="shared" si="71"/>
        <v/>
      </c>
      <c r="E821" s="560"/>
      <c r="F821" s="559"/>
      <c r="G821" s="559" t="str">
        <f t="shared" si="72"/>
        <v/>
      </c>
      <c r="H821" s="559" t="str">
        <f t="shared" si="73"/>
        <v/>
      </c>
      <c r="I821" s="559" t="str">
        <f t="shared" si="74"/>
        <v/>
      </c>
    </row>
    <row r="822" spans="2:9">
      <c r="B822" s="555" t="str">
        <f t="shared" si="69"/>
        <v/>
      </c>
      <c r="C822" s="556" t="str">
        <f t="shared" si="70"/>
        <v/>
      </c>
      <c r="D822" s="557" t="str">
        <f t="shared" si="71"/>
        <v/>
      </c>
      <c r="E822" s="560"/>
      <c r="F822" s="559"/>
      <c r="G822" s="559" t="str">
        <f t="shared" si="72"/>
        <v/>
      </c>
      <c r="H822" s="559" t="str">
        <f t="shared" si="73"/>
        <v/>
      </c>
      <c r="I822" s="559" t="str">
        <f t="shared" si="74"/>
        <v/>
      </c>
    </row>
    <row r="823" spans="2:9">
      <c r="B823" s="555" t="str">
        <f t="shared" si="69"/>
        <v/>
      </c>
      <c r="C823" s="556" t="str">
        <f t="shared" si="70"/>
        <v/>
      </c>
      <c r="D823" s="557" t="str">
        <f t="shared" si="71"/>
        <v/>
      </c>
      <c r="E823" s="560"/>
      <c r="F823" s="559"/>
      <c r="G823" s="559" t="str">
        <f t="shared" si="72"/>
        <v/>
      </c>
      <c r="H823" s="559" t="str">
        <f t="shared" si="73"/>
        <v/>
      </c>
      <c r="I823" s="559" t="str">
        <f t="shared" si="74"/>
        <v/>
      </c>
    </row>
    <row r="824" spans="2:9">
      <c r="B824" s="555" t="str">
        <f t="shared" si="69"/>
        <v/>
      </c>
      <c r="C824" s="556" t="str">
        <f t="shared" si="70"/>
        <v/>
      </c>
      <c r="D824" s="557" t="str">
        <f t="shared" si="71"/>
        <v/>
      </c>
      <c r="E824" s="560"/>
      <c r="F824" s="559"/>
      <c r="G824" s="559" t="str">
        <f t="shared" si="72"/>
        <v/>
      </c>
      <c r="H824" s="559" t="str">
        <f t="shared" si="73"/>
        <v/>
      </c>
      <c r="I824" s="559" t="str">
        <f t="shared" si="74"/>
        <v/>
      </c>
    </row>
    <row r="825" spans="2:9">
      <c r="B825" s="555" t="str">
        <f t="shared" si="69"/>
        <v/>
      </c>
      <c r="C825" s="556" t="str">
        <f t="shared" si="70"/>
        <v/>
      </c>
      <c r="D825" s="557" t="str">
        <f t="shared" si="71"/>
        <v/>
      </c>
      <c r="E825" s="560"/>
      <c r="F825" s="559"/>
      <c r="G825" s="559" t="str">
        <f t="shared" si="72"/>
        <v/>
      </c>
      <c r="H825" s="559" t="str">
        <f t="shared" si="73"/>
        <v/>
      </c>
      <c r="I825" s="559" t="str">
        <f t="shared" si="74"/>
        <v/>
      </c>
    </row>
    <row r="826" spans="2:9">
      <c r="B826" s="555" t="str">
        <f t="shared" si="69"/>
        <v/>
      </c>
      <c r="C826" s="556" t="str">
        <f t="shared" si="70"/>
        <v/>
      </c>
      <c r="D826" s="557" t="str">
        <f t="shared" si="71"/>
        <v/>
      </c>
      <c r="E826" s="560"/>
      <c r="F826" s="559"/>
      <c r="G826" s="559" t="str">
        <f t="shared" si="72"/>
        <v/>
      </c>
      <c r="H826" s="559" t="str">
        <f t="shared" si="73"/>
        <v/>
      </c>
      <c r="I826" s="559" t="str">
        <f t="shared" si="74"/>
        <v/>
      </c>
    </row>
    <row r="827" spans="2:9">
      <c r="B827" s="555" t="str">
        <f t="shared" si="69"/>
        <v/>
      </c>
      <c r="C827" s="556" t="str">
        <f t="shared" si="70"/>
        <v/>
      </c>
      <c r="D827" s="557" t="str">
        <f t="shared" si="71"/>
        <v/>
      </c>
      <c r="E827" s="560"/>
      <c r="F827" s="559"/>
      <c r="G827" s="559" t="str">
        <f t="shared" si="72"/>
        <v/>
      </c>
      <c r="H827" s="559" t="str">
        <f t="shared" si="73"/>
        <v/>
      </c>
      <c r="I827" s="559" t="str">
        <f t="shared" si="74"/>
        <v/>
      </c>
    </row>
    <row r="828" spans="2:9">
      <c r="B828" s="555" t="str">
        <f t="shared" si="69"/>
        <v/>
      </c>
      <c r="C828" s="556" t="str">
        <f t="shared" si="70"/>
        <v/>
      </c>
      <c r="D828" s="557" t="str">
        <f t="shared" si="71"/>
        <v/>
      </c>
      <c r="E828" s="560"/>
      <c r="F828" s="559"/>
      <c r="G828" s="559" t="str">
        <f t="shared" si="72"/>
        <v/>
      </c>
      <c r="H828" s="559" t="str">
        <f t="shared" si="73"/>
        <v/>
      </c>
      <c r="I828" s="559" t="str">
        <f t="shared" si="74"/>
        <v/>
      </c>
    </row>
    <row r="829" spans="2:9">
      <c r="B829" s="555" t="str">
        <f t="shared" ref="B829:B840" si="75">IF(I828="","",IF(roundOpt,IF(OR(B828&gt;=nper,ROUND(I828,2)&lt;=0),"",B828+1),IF(OR(B828&gt;=nper,I828&lt;=0),"",B828+1)))</f>
        <v/>
      </c>
      <c r="C829" s="556" t="str">
        <f t="shared" ref="C829:C840" si="76">IF(B829="","",IF(OR(periods_per_year=26,periods_per_year=52),IF(periods_per_year=26,IF(B829=1,fpdate,C828+14),IF(periods_per_year=52,IF(B829=1,fpdate,C828+7),"n/a")),IF(periods_per_year=24,DATE(YEAR(fpdate),MONTH(fpdate)+(B829-1)/2+IF(AND(DAY(fpdate)&gt;=15,MOD(B829,2)=0),1,0),IF(MOD(B829,2)=0,IF(DAY(fpdate)&gt;=15,DAY(fpdate)-14,DAY(fpdate)+14),DAY(fpdate))),IF(DAY(DATE(YEAR(fpdate),MONTH(fpdate)+(B829-1)*months_per_period,DAY(fpdate)))&lt;&gt;DAY(fpdate),DATE(YEAR(fpdate),MONTH(fpdate)+(B829-1)*months_per_period+1,0),DATE(YEAR(fpdate),MONTH(fpdate)+(B829-1)*months_per_period,DAY(fpdate))))))</f>
        <v/>
      </c>
      <c r="D829" s="557" t="str">
        <f t="shared" ref="D829:D840" si="77">IF(B829="","",IF(roundOpt,IF(OR(B829=nper,payment&gt;ROUND((1+rate)*I828,2)),ROUND((1+rate)*I828,2),payment),IF(OR(B829=nper,payment&gt;(1+rate)*I828),(1+rate)*I828,payment)))</f>
        <v/>
      </c>
      <c r="E829" s="560"/>
      <c r="F829" s="559"/>
      <c r="G829" s="559" t="str">
        <f t="shared" ref="G829:G840" si="78">IF(B829="","",IF(AND(B829=1,pmtType=1),0,IF(roundOpt,ROUND(rate*I828,2),rate*I828)))</f>
        <v/>
      </c>
      <c r="H829" s="559" t="str">
        <f t="shared" ref="H829:H840" si="79">IF(B829="","",D829-G829+E829)</f>
        <v/>
      </c>
      <c r="I829" s="559" t="str">
        <f t="shared" ref="I829:I840" si="80">IF(B829="","",I828-H829)</f>
        <v/>
      </c>
    </row>
    <row r="830" spans="2:9">
      <c r="B830" s="555" t="str">
        <f t="shared" si="75"/>
        <v/>
      </c>
      <c r="C830" s="556" t="str">
        <f t="shared" si="76"/>
        <v/>
      </c>
      <c r="D830" s="557" t="str">
        <f t="shared" si="77"/>
        <v/>
      </c>
      <c r="E830" s="560"/>
      <c r="F830" s="559"/>
      <c r="G830" s="559" t="str">
        <f t="shared" si="78"/>
        <v/>
      </c>
      <c r="H830" s="559" t="str">
        <f t="shared" si="79"/>
        <v/>
      </c>
      <c r="I830" s="559" t="str">
        <f t="shared" si="80"/>
        <v/>
      </c>
    </row>
    <row r="831" spans="2:9">
      <c r="B831" s="555" t="str">
        <f t="shared" si="75"/>
        <v/>
      </c>
      <c r="C831" s="556" t="str">
        <f t="shared" si="76"/>
        <v/>
      </c>
      <c r="D831" s="557" t="str">
        <f t="shared" si="77"/>
        <v/>
      </c>
      <c r="E831" s="560"/>
      <c r="F831" s="559"/>
      <c r="G831" s="559" t="str">
        <f t="shared" si="78"/>
        <v/>
      </c>
      <c r="H831" s="559" t="str">
        <f t="shared" si="79"/>
        <v/>
      </c>
      <c r="I831" s="559" t="str">
        <f t="shared" si="80"/>
        <v/>
      </c>
    </row>
    <row r="832" spans="2:9">
      <c r="B832" s="555" t="str">
        <f t="shared" si="75"/>
        <v/>
      </c>
      <c r="C832" s="556" t="str">
        <f t="shared" si="76"/>
        <v/>
      </c>
      <c r="D832" s="557" t="str">
        <f t="shared" si="77"/>
        <v/>
      </c>
      <c r="E832" s="560"/>
      <c r="F832" s="559"/>
      <c r="G832" s="559" t="str">
        <f t="shared" si="78"/>
        <v/>
      </c>
      <c r="H832" s="559" t="str">
        <f t="shared" si="79"/>
        <v/>
      </c>
      <c r="I832" s="559" t="str">
        <f t="shared" si="80"/>
        <v/>
      </c>
    </row>
    <row r="833" spans="2:9">
      <c r="B833" s="555" t="str">
        <f t="shared" si="75"/>
        <v/>
      </c>
      <c r="C833" s="556" t="str">
        <f t="shared" si="76"/>
        <v/>
      </c>
      <c r="D833" s="557" t="str">
        <f t="shared" si="77"/>
        <v/>
      </c>
      <c r="E833" s="560"/>
      <c r="F833" s="559"/>
      <c r="G833" s="559" t="str">
        <f t="shared" si="78"/>
        <v/>
      </c>
      <c r="H833" s="559" t="str">
        <f t="shared" si="79"/>
        <v/>
      </c>
      <c r="I833" s="559" t="str">
        <f t="shared" si="80"/>
        <v/>
      </c>
    </row>
    <row r="834" spans="2:9">
      <c r="B834" s="555" t="str">
        <f t="shared" si="75"/>
        <v/>
      </c>
      <c r="C834" s="556" t="str">
        <f t="shared" si="76"/>
        <v/>
      </c>
      <c r="D834" s="557" t="str">
        <f t="shared" si="77"/>
        <v/>
      </c>
      <c r="E834" s="560"/>
      <c r="F834" s="559"/>
      <c r="G834" s="559" t="str">
        <f t="shared" si="78"/>
        <v/>
      </c>
      <c r="H834" s="559" t="str">
        <f t="shared" si="79"/>
        <v/>
      </c>
      <c r="I834" s="559" t="str">
        <f t="shared" si="80"/>
        <v/>
      </c>
    </row>
    <row r="835" spans="2:9">
      <c r="B835" s="555" t="str">
        <f t="shared" si="75"/>
        <v/>
      </c>
      <c r="C835" s="556" t="str">
        <f t="shared" si="76"/>
        <v/>
      </c>
      <c r="D835" s="557" t="str">
        <f t="shared" si="77"/>
        <v/>
      </c>
      <c r="E835" s="560"/>
      <c r="F835" s="559"/>
      <c r="G835" s="559" t="str">
        <f t="shared" si="78"/>
        <v/>
      </c>
      <c r="H835" s="559" t="str">
        <f t="shared" si="79"/>
        <v/>
      </c>
      <c r="I835" s="559" t="str">
        <f t="shared" si="80"/>
        <v/>
      </c>
    </row>
    <row r="836" spans="2:9">
      <c r="B836" s="555" t="str">
        <f t="shared" si="75"/>
        <v/>
      </c>
      <c r="C836" s="556" t="str">
        <f t="shared" si="76"/>
        <v/>
      </c>
      <c r="D836" s="557" t="str">
        <f t="shared" si="77"/>
        <v/>
      </c>
      <c r="E836" s="560"/>
      <c r="F836" s="559"/>
      <c r="G836" s="559" t="str">
        <f t="shared" si="78"/>
        <v/>
      </c>
      <c r="H836" s="559" t="str">
        <f t="shared" si="79"/>
        <v/>
      </c>
      <c r="I836" s="559" t="str">
        <f t="shared" si="80"/>
        <v/>
      </c>
    </row>
    <row r="837" spans="2:9">
      <c r="B837" s="555" t="str">
        <f t="shared" si="75"/>
        <v/>
      </c>
      <c r="C837" s="556" t="str">
        <f t="shared" si="76"/>
        <v/>
      </c>
      <c r="D837" s="557" t="str">
        <f t="shared" si="77"/>
        <v/>
      </c>
      <c r="E837" s="560"/>
      <c r="F837" s="559"/>
      <c r="G837" s="559" t="str">
        <f t="shared" si="78"/>
        <v/>
      </c>
      <c r="H837" s="559" t="str">
        <f t="shared" si="79"/>
        <v/>
      </c>
      <c r="I837" s="559" t="str">
        <f t="shared" si="80"/>
        <v/>
      </c>
    </row>
    <row r="838" spans="2:9">
      <c r="B838" s="555" t="str">
        <f t="shared" si="75"/>
        <v/>
      </c>
      <c r="C838" s="556" t="str">
        <f t="shared" si="76"/>
        <v/>
      </c>
      <c r="D838" s="557" t="str">
        <f t="shared" si="77"/>
        <v/>
      </c>
      <c r="E838" s="560"/>
      <c r="F838" s="559"/>
      <c r="G838" s="559" t="str">
        <f t="shared" si="78"/>
        <v/>
      </c>
      <c r="H838" s="559" t="str">
        <f t="shared" si="79"/>
        <v/>
      </c>
      <c r="I838" s="559" t="str">
        <f t="shared" si="80"/>
        <v/>
      </c>
    </row>
    <row r="839" spans="2:9">
      <c r="B839" s="555" t="str">
        <f t="shared" si="75"/>
        <v/>
      </c>
      <c r="C839" s="556" t="str">
        <f t="shared" si="76"/>
        <v/>
      </c>
      <c r="D839" s="557" t="str">
        <f t="shared" si="77"/>
        <v/>
      </c>
      <c r="E839" s="560"/>
      <c r="F839" s="559"/>
      <c r="G839" s="559" t="str">
        <f t="shared" si="78"/>
        <v/>
      </c>
      <c r="H839" s="559" t="str">
        <f t="shared" si="79"/>
        <v/>
      </c>
      <c r="I839" s="559" t="str">
        <f t="shared" si="80"/>
        <v/>
      </c>
    </row>
    <row r="840" spans="2:9">
      <c r="B840" s="555" t="str">
        <f t="shared" si="75"/>
        <v/>
      </c>
      <c r="C840" s="556" t="str">
        <f t="shared" si="76"/>
        <v/>
      </c>
      <c r="D840" s="557" t="str">
        <f t="shared" si="77"/>
        <v/>
      </c>
      <c r="E840" s="563"/>
      <c r="F840" s="559"/>
      <c r="G840" s="559" t="str">
        <f t="shared" si="78"/>
        <v/>
      </c>
      <c r="H840" s="559" t="str">
        <f t="shared" si="79"/>
        <v/>
      </c>
      <c r="I840" s="559" t="str">
        <f t="shared" si="80"/>
        <v/>
      </c>
    </row>
    <row r="841" spans="2:9">
      <c r="B841" s="564"/>
      <c r="C841" s="565"/>
      <c r="D841" s="565"/>
      <c r="E841" s="565" t="s">
        <v>712</v>
      </c>
      <c r="F841" s="565"/>
      <c r="G841" s="564"/>
      <c r="H841" s="564"/>
      <c r="I841" s="564"/>
    </row>
  </sheetData>
  <sheetProtection algorithmName="SHA-512" hashValue="6fmEvQZAIGIt1gN64o05S/LFGyFnufzkxSrbKztR5i+U8bNKCxS3XVyjcVIfIQu1bVx7u10s5jm1El4fY4IG7A==" saltValue="e8mQvGbvwo/8MYQjEQAuqg==" spinCount="100000" sheet="1" formatCells="0" formatColumns="0" formatRows="0"/>
  <conditionalFormatting sqref="B61:I840">
    <cfRule type="expression" dxfId="13" priority="1" stopIfTrue="1">
      <formula>MOD($B61,periods_per_year)=0</formula>
    </cfRule>
  </conditionalFormatting>
  <conditionalFormatting sqref="E11">
    <cfRule type="expression" dxfId="12" priority="2" stopIfTrue="1">
      <formula>compound_period&gt;periods_per_year</formula>
    </cfRule>
  </conditionalFormatting>
  <dataValidations count="3">
    <dataValidation type="list" showInputMessage="1" showErrorMessage="1" sqref="E12">
      <formula1>"End of Period, Beginning of Period"</formula1>
    </dataValidation>
    <dataValidation type="list" showInputMessage="1" showErrorMessage="1" sqref="E13">
      <formula1>"On,Off"</formula1>
    </dataValidation>
    <dataValidation type="list" showInputMessage="1" showErrorMessage="1" sqref="E10:E11">
      <formula1>$J$6:$J$13</formula1>
    </dataValidation>
  </dataValidations>
  <printOptions horizontalCentered="1" headings="1" gridLines="1"/>
  <pageMargins left="0.5" right="0.5" top="0.85" bottom="0.5" header="0.5" footer="0.5"/>
  <pageSetup scale="52" fitToHeight="0" orientation="portrait" cellComments="asDisplayed" r:id="rId1"/>
  <headerFooter>
    <oddHeader>&amp;L&amp;F&amp;RPage &amp;P of &amp;N</oddHeader>
    <oddFooter>&amp;L&amp;A&amp;R&amp;D &amp;T</oddFooter>
    <firstFooter>&amp;R&amp;8Page &amp;P of &amp;N</firstFooter>
  </headerFooter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1"/>
  <sheetViews>
    <sheetView view="pageBreakPreview" zoomScaleSheetLayoutView="100" workbookViewId="0">
      <selection activeCell="J18" sqref="J18"/>
    </sheetView>
  </sheetViews>
  <sheetFormatPr defaultColWidth="8.85546875" defaultRowHeight="15"/>
  <cols>
    <col min="1" max="1" width="17.140625" style="573" customWidth="1"/>
    <col min="2" max="3" width="16.5703125" style="573" customWidth="1"/>
    <col min="4" max="4" width="14.5703125" style="573" customWidth="1"/>
    <col min="5" max="5" width="16.5703125" style="573" customWidth="1"/>
    <col min="6" max="6" width="12.7109375" style="573" customWidth="1"/>
    <col min="7" max="7" width="16.5703125" style="573" customWidth="1"/>
    <col min="8" max="16384" width="8.85546875" style="573"/>
  </cols>
  <sheetData>
    <row r="1" spans="1:7" ht="15.75">
      <c r="A1" s="570" t="s">
        <v>730</v>
      </c>
      <c r="B1" s="570"/>
      <c r="C1" s="570"/>
      <c r="D1" s="570"/>
      <c r="E1" s="571"/>
      <c r="F1" s="572"/>
    </row>
    <row r="2" spans="1:7" ht="15.75">
      <c r="A2" s="574" t="s">
        <v>39</v>
      </c>
      <c r="B2" s="575">
        <f>Dashboard!H28</f>
        <v>10000000</v>
      </c>
      <c r="C2" s="576"/>
      <c r="D2" s="576"/>
      <c r="E2" s="576"/>
      <c r="F2" s="572"/>
    </row>
    <row r="3" spans="1:7" ht="15.75">
      <c r="A3" s="574" t="s">
        <v>40</v>
      </c>
      <c r="B3" s="577">
        <f>Dashboard!F10</f>
        <v>3.5000000000000003E-2</v>
      </c>
      <c r="C3" s="571"/>
      <c r="D3" s="571"/>
      <c r="E3" s="571"/>
      <c r="F3" s="572"/>
    </row>
    <row r="4" spans="1:7" ht="15.75">
      <c r="A4" s="574" t="s">
        <v>41</v>
      </c>
      <c r="B4" s="575">
        <f>Dashboard!H31</f>
        <v>0</v>
      </c>
      <c r="C4" s="578"/>
      <c r="D4" s="571"/>
      <c r="E4" s="571"/>
      <c r="F4" s="572"/>
    </row>
    <row r="5" spans="1:7" ht="15.75">
      <c r="A5" s="579" t="s">
        <v>42</v>
      </c>
      <c r="B5" s="579" t="s">
        <v>43</v>
      </c>
      <c r="C5" s="579" t="s">
        <v>44</v>
      </c>
      <c r="D5" s="580" t="s">
        <v>45</v>
      </c>
      <c r="E5" s="580" t="s">
        <v>46</v>
      </c>
      <c r="F5" s="581" t="s">
        <v>47</v>
      </c>
    </row>
    <row r="6" spans="1:7" ht="15.75">
      <c r="A6" s="581">
        <v>1</v>
      </c>
      <c r="B6" s="582">
        <f>B2</f>
        <v>10000000</v>
      </c>
      <c r="C6" s="582"/>
      <c r="D6" s="582">
        <f>+B6*$B$3*0.5</f>
        <v>175000.00000000003</v>
      </c>
      <c r="E6" s="583"/>
      <c r="F6" s="584">
        <f>Dashboard!E10</f>
        <v>2027</v>
      </c>
    </row>
    <row r="7" spans="1:7" ht="15.75">
      <c r="A7" s="581"/>
      <c r="B7" s="571">
        <f t="shared" ref="B7:B67" si="0">B6-C6</f>
        <v>10000000</v>
      </c>
      <c r="C7" s="571" t="e">
        <f>+B6/$B$4</f>
        <v>#DIV/0!</v>
      </c>
      <c r="D7" s="571">
        <f>+D6</f>
        <v>175000.00000000003</v>
      </c>
      <c r="E7" s="571" t="e">
        <f>SUM(C6:D7)</f>
        <v>#DIV/0!</v>
      </c>
      <c r="F7" s="585">
        <f>+F6</f>
        <v>2027</v>
      </c>
    </row>
    <row r="8" spans="1:7" ht="15.75">
      <c r="A8" s="581">
        <v>2</v>
      </c>
      <c r="B8" s="582" t="e">
        <f>B7-C7</f>
        <v>#DIV/0!</v>
      </c>
      <c r="C8" s="582"/>
      <c r="D8" s="582" t="e">
        <f>+B8*$B$3*0.5</f>
        <v>#DIV/0!</v>
      </c>
      <c r="E8" s="583"/>
      <c r="F8" s="586">
        <f>+F6+1</f>
        <v>2028</v>
      </c>
    </row>
    <row r="9" spans="1:7" ht="15.75">
      <c r="A9" s="581"/>
      <c r="B9" s="571" t="e">
        <f>B8-C8</f>
        <v>#DIV/0!</v>
      </c>
      <c r="C9" s="571" t="e">
        <f>+C7</f>
        <v>#DIV/0!</v>
      </c>
      <c r="D9" s="571" t="e">
        <f>+D8</f>
        <v>#DIV/0!</v>
      </c>
      <c r="E9" s="571">
        <f>IF($B$4&gt;1,SUM(C8:D9),0)</f>
        <v>0</v>
      </c>
      <c r="F9" s="585">
        <f>+F8</f>
        <v>2028</v>
      </c>
    </row>
    <row r="10" spans="1:7" ht="15.75">
      <c r="A10" s="581">
        <v>3</v>
      </c>
      <c r="B10" s="582" t="e">
        <f t="shared" si="0"/>
        <v>#DIV/0!</v>
      </c>
      <c r="C10" s="582"/>
      <c r="D10" s="582" t="e">
        <f>+B10*$B$3*0.5</f>
        <v>#DIV/0!</v>
      </c>
      <c r="E10" s="583"/>
      <c r="F10" s="586">
        <f>+F8+1</f>
        <v>2029</v>
      </c>
    </row>
    <row r="11" spans="1:7" ht="15.75">
      <c r="A11" s="581"/>
      <c r="B11" s="571" t="e">
        <f t="shared" si="0"/>
        <v>#DIV/0!</v>
      </c>
      <c r="C11" s="571" t="e">
        <f>+C9</f>
        <v>#DIV/0!</v>
      </c>
      <c r="D11" s="571" t="e">
        <f>+D10</f>
        <v>#DIV/0!</v>
      </c>
      <c r="E11" s="571">
        <f>IF($B$4&gt;2,SUM(C10:D11),0)</f>
        <v>0</v>
      </c>
      <c r="F11" s="585">
        <f>+F10</f>
        <v>2029</v>
      </c>
    </row>
    <row r="12" spans="1:7" ht="15.75">
      <c r="A12" s="581">
        <v>4</v>
      </c>
      <c r="B12" s="582" t="e">
        <f t="shared" si="0"/>
        <v>#DIV/0!</v>
      </c>
      <c r="C12" s="582"/>
      <c r="D12" s="582" t="e">
        <f>+B12*$B$3*0.5</f>
        <v>#DIV/0!</v>
      </c>
      <c r="E12" s="583"/>
      <c r="F12" s="586">
        <f>+F10+1</f>
        <v>2030</v>
      </c>
    </row>
    <row r="13" spans="1:7" ht="15.75">
      <c r="A13" s="581"/>
      <c r="B13" s="571" t="e">
        <f t="shared" si="0"/>
        <v>#DIV/0!</v>
      </c>
      <c r="C13" s="571" t="e">
        <f t="shared" ref="C13:C43" si="1">C11</f>
        <v>#DIV/0!</v>
      </c>
      <c r="D13" s="571" t="e">
        <f>+D12</f>
        <v>#DIV/0!</v>
      </c>
      <c r="E13" s="571">
        <f>IF($B$4&gt;3,SUM(C12:D13),0)</f>
        <v>0</v>
      </c>
      <c r="F13" s="585">
        <f>+F12</f>
        <v>2030</v>
      </c>
    </row>
    <row r="14" spans="1:7" ht="15.75">
      <c r="A14" s="581">
        <v>5</v>
      </c>
      <c r="B14" s="582" t="e">
        <f t="shared" si="0"/>
        <v>#DIV/0!</v>
      </c>
      <c r="C14" s="582"/>
      <c r="D14" s="582" t="e">
        <f>+B14*$B$3*0.5</f>
        <v>#DIV/0!</v>
      </c>
      <c r="E14" s="583"/>
      <c r="F14" s="586">
        <f>+F12+1</f>
        <v>2031</v>
      </c>
    </row>
    <row r="15" spans="1:7" ht="15.75">
      <c r="A15" s="581"/>
      <c r="B15" s="571" t="e">
        <f t="shared" si="0"/>
        <v>#DIV/0!</v>
      </c>
      <c r="C15" s="571" t="e">
        <f t="shared" si="1"/>
        <v>#DIV/0!</v>
      </c>
      <c r="D15" s="571" t="e">
        <f>+D14</f>
        <v>#DIV/0!</v>
      </c>
      <c r="E15" s="571">
        <f>IF($B$4&gt;4,SUM(C14:D15),0)</f>
        <v>0</v>
      </c>
      <c r="F15" s="585">
        <f>+F14</f>
        <v>2031</v>
      </c>
    </row>
    <row r="16" spans="1:7" ht="15.75">
      <c r="A16" s="581">
        <v>6</v>
      </c>
      <c r="B16" s="582" t="e">
        <f t="shared" si="0"/>
        <v>#DIV/0!</v>
      </c>
      <c r="C16" s="582"/>
      <c r="D16" s="582" t="e">
        <f>+B16*$B$3*0.5</f>
        <v>#DIV/0!</v>
      </c>
      <c r="E16" s="583"/>
      <c r="F16" s="586">
        <f>+F14+1</f>
        <v>2032</v>
      </c>
      <c r="G16" s="603" t="s">
        <v>719</v>
      </c>
    </row>
    <row r="17" spans="1:7" ht="15.75">
      <c r="A17" s="581"/>
      <c r="B17" s="571" t="e">
        <f t="shared" si="0"/>
        <v>#DIV/0!</v>
      </c>
      <c r="C17" s="571" t="e">
        <f t="shared" si="1"/>
        <v>#DIV/0!</v>
      </c>
      <c r="D17" s="571" t="e">
        <f>+D16</f>
        <v>#DIV/0!</v>
      </c>
      <c r="E17" s="571">
        <f>IF($B$4&gt;5,SUM(C16:D17),0)</f>
        <v>0</v>
      </c>
      <c r="F17" s="585">
        <f>+F16</f>
        <v>2032</v>
      </c>
      <c r="G17" s="602" t="e">
        <f>SUM(E7:E17)</f>
        <v>#DIV/0!</v>
      </c>
    </row>
    <row r="18" spans="1:7" ht="15.75">
      <c r="A18" s="581">
        <v>7</v>
      </c>
      <c r="B18" s="582" t="e">
        <f t="shared" si="0"/>
        <v>#DIV/0!</v>
      </c>
      <c r="C18" s="582"/>
      <c r="D18" s="582" t="e">
        <f>+B18*$B$3*0.5</f>
        <v>#DIV/0!</v>
      </c>
      <c r="E18" s="583"/>
      <c r="F18" s="586">
        <f>+F16+1</f>
        <v>2033</v>
      </c>
    </row>
    <row r="19" spans="1:7" ht="15.75">
      <c r="A19" s="581"/>
      <c r="B19" s="571" t="e">
        <f t="shared" si="0"/>
        <v>#DIV/0!</v>
      </c>
      <c r="C19" s="571" t="e">
        <f t="shared" si="1"/>
        <v>#DIV/0!</v>
      </c>
      <c r="D19" s="571" t="e">
        <f>+D18</f>
        <v>#DIV/0!</v>
      </c>
      <c r="E19" s="571">
        <f>IF($B$4&gt;6,SUM(C18:D19),0)</f>
        <v>0</v>
      </c>
      <c r="F19" s="585">
        <f>+F18</f>
        <v>2033</v>
      </c>
    </row>
    <row r="20" spans="1:7" ht="15.75">
      <c r="A20" s="581">
        <v>8</v>
      </c>
      <c r="B20" s="582" t="e">
        <f t="shared" si="0"/>
        <v>#DIV/0!</v>
      </c>
      <c r="C20" s="582"/>
      <c r="D20" s="582" t="e">
        <f>+B20*$B$3*0.5</f>
        <v>#DIV/0!</v>
      </c>
      <c r="E20" s="583"/>
      <c r="F20" s="586">
        <f>+F18+1</f>
        <v>2034</v>
      </c>
    </row>
    <row r="21" spans="1:7" ht="15.75">
      <c r="A21" s="581"/>
      <c r="B21" s="571" t="e">
        <f t="shared" si="0"/>
        <v>#DIV/0!</v>
      </c>
      <c r="C21" s="571" t="e">
        <f t="shared" si="1"/>
        <v>#DIV/0!</v>
      </c>
      <c r="D21" s="571" t="e">
        <f>+D20</f>
        <v>#DIV/0!</v>
      </c>
      <c r="E21" s="571">
        <f>IF($B$4&gt;7,SUM(C20:D21),0)</f>
        <v>0</v>
      </c>
      <c r="F21" s="585">
        <f>+F20</f>
        <v>2034</v>
      </c>
    </row>
    <row r="22" spans="1:7" ht="15.75">
      <c r="A22" s="581">
        <v>9</v>
      </c>
      <c r="B22" s="582" t="e">
        <f t="shared" si="0"/>
        <v>#DIV/0!</v>
      </c>
      <c r="C22" s="582"/>
      <c r="D22" s="582" t="e">
        <f>+B22*$B$3*0.5</f>
        <v>#DIV/0!</v>
      </c>
      <c r="E22" s="583"/>
      <c r="F22" s="586">
        <f>+F20+1</f>
        <v>2035</v>
      </c>
    </row>
    <row r="23" spans="1:7" ht="15.75">
      <c r="A23" s="581"/>
      <c r="B23" s="571" t="e">
        <f t="shared" si="0"/>
        <v>#DIV/0!</v>
      </c>
      <c r="C23" s="571" t="e">
        <f t="shared" si="1"/>
        <v>#DIV/0!</v>
      </c>
      <c r="D23" s="571" t="e">
        <f>+D22</f>
        <v>#DIV/0!</v>
      </c>
      <c r="E23" s="571">
        <f>IF($B$4&gt;8,SUM(C22:D23),0)</f>
        <v>0</v>
      </c>
      <c r="F23" s="585">
        <f>+F22</f>
        <v>2035</v>
      </c>
    </row>
    <row r="24" spans="1:7" ht="15.75">
      <c r="A24" s="581">
        <v>10</v>
      </c>
      <c r="B24" s="582" t="e">
        <f t="shared" si="0"/>
        <v>#DIV/0!</v>
      </c>
      <c r="C24" s="582"/>
      <c r="D24" s="582" t="e">
        <f>+B24*$B$3*0.5</f>
        <v>#DIV/0!</v>
      </c>
      <c r="E24" s="583"/>
      <c r="F24" s="586">
        <f>+F22+1</f>
        <v>2036</v>
      </c>
    </row>
    <row r="25" spans="1:7" ht="15.75">
      <c r="A25" s="581"/>
      <c r="B25" s="571" t="e">
        <f t="shared" si="0"/>
        <v>#DIV/0!</v>
      </c>
      <c r="C25" s="571" t="e">
        <f t="shared" si="1"/>
        <v>#DIV/0!</v>
      </c>
      <c r="D25" s="571" t="e">
        <f>+D24</f>
        <v>#DIV/0!</v>
      </c>
      <c r="E25" s="571">
        <f>IF($B$4&gt;9,SUM(C24:D25),0)</f>
        <v>0</v>
      </c>
      <c r="F25" s="585">
        <f>+F24</f>
        <v>2036</v>
      </c>
    </row>
    <row r="26" spans="1:7" ht="15.75">
      <c r="A26" s="581">
        <v>11</v>
      </c>
      <c r="B26" s="582" t="e">
        <f t="shared" si="0"/>
        <v>#DIV/0!</v>
      </c>
      <c r="C26" s="582"/>
      <c r="D26" s="582" t="e">
        <f>+B26*$B$3*0.5</f>
        <v>#DIV/0!</v>
      </c>
      <c r="E26" s="583"/>
      <c r="F26" s="586">
        <f>+F24+1</f>
        <v>2037</v>
      </c>
    </row>
    <row r="27" spans="1:7" ht="15.75">
      <c r="A27" s="581"/>
      <c r="B27" s="571" t="e">
        <f t="shared" si="0"/>
        <v>#DIV/0!</v>
      </c>
      <c r="C27" s="571" t="e">
        <f t="shared" si="1"/>
        <v>#DIV/0!</v>
      </c>
      <c r="D27" s="571" t="e">
        <f>+D26</f>
        <v>#DIV/0!</v>
      </c>
      <c r="E27" s="571">
        <f>IF($B$4&gt;10,SUM(C26:D27),0)</f>
        <v>0</v>
      </c>
      <c r="F27" s="585">
        <f>+F26</f>
        <v>2037</v>
      </c>
    </row>
    <row r="28" spans="1:7" ht="15.75">
      <c r="A28" s="581">
        <v>12</v>
      </c>
      <c r="B28" s="582" t="e">
        <f t="shared" si="0"/>
        <v>#DIV/0!</v>
      </c>
      <c r="C28" s="582"/>
      <c r="D28" s="582" t="e">
        <f>+B28*$B$3*0.5</f>
        <v>#DIV/0!</v>
      </c>
      <c r="E28" s="583"/>
      <c r="F28" s="586">
        <f>+F26+1</f>
        <v>2038</v>
      </c>
    </row>
    <row r="29" spans="1:7" ht="15.75">
      <c r="A29" s="581"/>
      <c r="B29" s="571" t="e">
        <f t="shared" si="0"/>
        <v>#DIV/0!</v>
      </c>
      <c r="C29" s="571" t="e">
        <f>+C27</f>
        <v>#DIV/0!</v>
      </c>
      <c r="D29" s="571" t="e">
        <f>+D28</f>
        <v>#DIV/0!</v>
      </c>
      <c r="E29" s="571">
        <f>IF($B$4&gt;11,SUM(C28:D29),0)</f>
        <v>0</v>
      </c>
      <c r="F29" s="585">
        <f>+F28</f>
        <v>2038</v>
      </c>
    </row>
    <row r="30" spans="1:7" ht="15.75">
      <c r="A30" s="581">
        <v>13</v>
      </c>
      <c r="B30" s="582" t="e">
        <f t="shared" si="0"/>
        <v>#DIV/0!</v>
      </c>
      <c r="C30" s="582"/>
      <c r="D30" s="582" t="e">
        <f>+B30*$B$3*0.5</f>
        <v>#DIV/0!</v>
      </c>
      <c r="E30" s="583"/>
      <c r="F30" s="586">
        <f>+F28+1</f>
        <v>2039</v>
      </c>
    </row>
    <row r="31" spans="1:7" ht="15.75">
      <c r="A31" s="581"/>
      <c r="B31" s="571" t="e">
        <f t="shared" si="0"/>
        <v>#DIV/0!</v>
      </c>
      <c r="C31" s="571" t="e">
        <f t="shared" si="1"/>
        <v>#DIV/0!</v>
      </c>
      <c r="D31" s="571" t="e">
        <f>+D30</f>
        <v>#DIV/0!</v>
      </c>
      <c r="E31" s="571">
        <f>IF($B$4&gt;12,SUM(C30:D31),0)</f>
        <v>0</v>
      </c>
      <c r="F31" s="585">
        <f>+F30</f>
        <v>2039</v>
      </c>
    </row>
    <row r="32" spans="1:7" ht="15.75">
      <c r="A32" s="581">
        <v>14</v>
      </c>
      <c r="B32" s="582" t="e">
        <f t="shared" si="0"/>
        <v>#DIV/0!</v>
      </c>
      <c r="C32" s="582"/>
      <c r="D32" s="582" t="e">
        <f>+B32*$B$3*0.5</f>
        <v>#DIV/0!</v>
      </c>
      <c r="E32" s="583"/>
      <c r="F32" s="586">
        <f>+F30+1</f>
        <v>2040</v>
      </c>
    </row>
    <row r="33" spans="1:7" ht="15.75">
      <c r="A33" s="581"/>
      <c r="B33" s="571" t="e">
        <f t="shared" si="0"/>
        <v>#DIV/0!</v>
      </c>
      <c r="C33" s="571" t="e">
        <f>+C31</f>
        <v>#DIV/0!</v>
      </c>
      <c r="D33" s="571" t="e">
        <f>+D32</f>
        <v>#DIV/0!</v>
      </c>
      <c r="E33" s="571">
        <f>IF($B$4&gt;13,SUM(C32:D33),0)</f>
        <v>0</v>
      </c>
      <c r="F33" s="585">
        <f>+F32</f>
        <v>2040</v>
      </c>
    </row>
    <row r="34" spans="1:7" ht="15.75">
      <c r="A34" s="581">
        <v>15</v>
      </c>
      <c r="B34" s="582" t="e">
        <f t="shared" si="0"/>
        <v>#DIV/0!</v>
      </c>
      <c r="C34" s="582"/>
      <c r="D34" s="582" t="e">
        <f>+B34*$B$3*0.5</f>
        <v>#DIV/0!</v>
      </c>
      <c r="E34" s="583"/>
      <c r="F34" s="586">
        <f>+F32+1</f>
        <v>2041</v>
      </c>
    </row>
    <row r="35" spans="1:7" ht="15.75">
      <c r="A35" s="581"/>
      <c r="B35" s="571" t="e">
        <f t="shared" si="0"/>
        <v>#DIV/0!</v>
      </c>
      <c r="C35" s="571" t="e">
        <f t="shared" si="1"/>
        <v>#DIV/0!</v>
      </c>
      <c r="D35" s="571" t="e">
        <f>+D34</f>
        <v>#DIV/0!</v>
      </c>
      <c r="E35" s="571">
        <f>IF($B$4&gt;14,SUM(C34:D35),0)</f>
        <v>0</v>
      </c>
      <c r="F35" s="585">
        <f>+F34</f>
        <v>2041</v>
      </c>
    </row>
    <row r="36" spans="1:7" ht="15.75">
      <c r="A36" s="581">
        <v>16</v>
      </c>
      <c r="B36" s="582" t="e">
        <f t="shared" si="0"/>
        <v>#DIV/0!</v>
      </c>
      <c r="C36" s="582"/>
      <c r="D36" s="582" t="e">
        <f>+B36*$B$3*0.5</f>
        <v>#DIV/0!</v>
      </c>
      <c r="E36" s="583"/>
      <c r="F36" s="586">
        <f>+F34+1</f>
        <v>2042</v>
      </c>
    </row>
    <row r="37" spans="1:7" ht="15.75">
      <c r="A37" s="581"/>
      <c r="B37" s="571" t="e">
        <f t="shared" si="0"/>
        <v>#DIV/0!</v>
      </c>
      <c r="C37" s="571" t="e">
        <f>+C35</f>
        <v>#DIV/0!</v>
      </c>
      <c r="D37" s="571" t="e">
        <f>+D36</f>
        <v>#DIV/0!</v>
      </c>
      <c r="E37" s="571">
        <f>IF($B$4&gt;15,SUM(C36:D37),0)</f>
        <v>0</v>
      </c>
      <c r="F37" s="585">
        <f>+F36</f>
        <v>2042</v>
      </c>
    </row>
    <row r="38" spans="1:7" ht="15.75">
      <c r="A38" s="581">
        <v>17</v>
      </c>
      <c r="B38" s="582" t="e">
        <f t="shared" si="0"/>
        <v>#DIV/0!</v>
      </c>
      <c r="C38" s="582"/>
      <c r="D38" s="582" t="e">
        <f>+B38*$B$3*0.5</f>
        <v>#DIV/0!</v>
      </c>
      <c r="E38" s="583"/>
      <c r="F38" s="586">
        <f>+F36+1</f>
        <v>2043</v>
      </c>
    </row>
    <row r="39" spans="1:7" ht="15.75">
      <c r="A39" s="581"/>
      <c r="B39" s="571" t="e">
        <f t="shared" si="0"/>
        <v>#DIV/0!</v>
      </c>
      <c r="C39" s="571" t="e">
        <f t="shared" si="1"/>
        <v>#DIV/0!</v>
      </c>
      <c r="D39" s="571" t="e">
        <f>+D38</f>
        <v>#DIV/0!</v>
      </c>
      <c r="E39" s="571">
        <f>IF($B$4&gt;16,SUM(C38:D39),0)</f>
        <v>0</v>
      </c>
      <c r="F39" s="585">
        <f>+F38</f>
        <v>2043</v>
      </c>
    </row>
    <row r="40" spans="1:7" ht="15.75">
      <c r="A40" s="581">
        <v>18</v>
      </c>
      <c r="B40" s="582" t="e">
        <f t="shared" si="0"/>
        <v>#DIV/0!</v>
      </c>
      <c r="C40" s="582"/>
      <c r="D40" s="582" t="e">
        <f>+B40*$B$3*0.5</f>
        <v>#DIV/0!</v>
      </c>
      <c r="E40" s="583"/>
      <c r="F40" s="586">
        <f>+F38+1</f>
        <v>2044</v>
      </c>
    </row>
    <row r="41" spans="1:7" ht="15.75">
      <c r="A41" s="581"/>
      <c r="B41" s="571" t="e">
        <f t="shared" si="0"/>
        <v>#DIV/0!</v>
      </c>
      <c r="C41" s="571" t="e">
        <f t="shared" si="1"/>
        <v>#DIV/0!</v>
      </c>
      <c r="D41" s="571" t="e">
        <f>+D40</f>
        <v>#DIV/0!</v>
      </c>
      <c r="E41" s="571">
        <f>IF($B$4&gt;17,SUM(C40:D41),0)</f>
        <v>0</v>
      </c>
      <c r="F41" s="585">
        <f>+F40</f>
        <v>2044</v>
      </c>
    </row>
    <row r="42" spans="1:7" ht="15.75">
      <c r="A42" s="581">
        <v>19</v>
      </c>
      <c r="B42" s="582" t="e">
        <f t="shared" si="0"/>
        <v>#DIV/0!</v>
      </c>
      <c r="C42" s="582"/>
      <c r="D42" s="582" t="e">
        <f>+B42*$B$3*0.5</f>
        <v>#DIV/0!</v>
      </c>
      <c r="E42" s="583"/>
      <c r="F42" s="586">
        <f>+F40+1</f>
        <v>2045</v>
      </c>
    </row>
    <row r="43" spans="1:7" ht="15.75">
      <c r="A43" s="581"/>
      <c r="B43" s="571" t="e">
        <f t="shared" si="0"/>
        <v>#DIV/0!</v>
      </c>
      <c r="C43" s="571" t="e">
        <f t="shared" si="1"/>
        <v>#DIV/0!</v>
      </c>
      <c r="D43" s="571" t="e">
        <f>+D42</f>
        <v>#DIV/0!</v>
      </c>
      <c r="E43" s="571">
        <f>IF($B$4&gt;18,SUM(C42:D43),0)</f>
        <v>0</v>
      </c>
      <c r="F43" s="585">
        <f>+F42</f>
        <v>2045</v>
      </c>
    </row>
    <row r="44" spans="1:7" ht="15.75">
      <c r="A44" s="581">
        <v>20</v>
      </c>
      <c r="B44" s="582" t="e">
        <f t="shared" si="0"/>
        <v>#DIV/0!</v>
      </c>
      <c r="C44" s="582"/>
      <c r="D44" s="582" t="e">
        <f>+B44*$B$3*0.5</f>
        <v>#DIV/0!</v>
      </c>
      <c r="E44" s="583"/>
      <c r="F44" s="586">
        <f>+F42+1</f>
        <v>2046</v>
      </c>
    </row>
    <row r="45" spans="1:7" ht="15.75">
      <c r="A45" s="581"/>
      <c r="B45" s="571" t="e">
        <f>ROUND(B44-C44,0)</f>
        <v>#DIV/0!</v>
      </c>
      <c r="C45" s="571" t="e">
        <f>ROUND(C43,0)</f>
        <v>#DIV/0!</v>
      </c>
      <c r="D45" s="571" t="e">
        <f>+D44</f>
        <v>#DIV/0!</v>
      </c>
      <c r="E45" s="571">
        <f>IF($B$4&gt;19,SUM(C44:D45),0)</f>
        <v>0</v>
      </c>
      <c r="F45" s="585">
        <f>+F44</f>
        <v>2046</v>
      </c>
      <c r="G45" s="587"/>
    </row>
    <row r="46" spans="1:7" ht="15.75">
      <c r="A46" s="581">
        <v>21</v>
      </c>
      <c r="B46" s="582" t="e">
        <f t="shared" si="0"/>
        <v>#DIV/0!</v>
      </c>
      <c r="C46" s="582"/>
      <c r="D46" s="582" t="e">
        <f>+B46*$B$3*0.5</f>
        <v>#DIV/0!</v>
      </c>
      <c r="E46" s="583"/>
      <c r="F46" s="586">
        <f>+F44+1</f>
        <v>2047</v>
      </c>
    </row>
    <row r="47" spans="1:7" ht="15.75">
      <c r="A47" s="571"/>
      <c r="B47" s="571" t="e">
        <f t="shared" si="0"/>
        <v>#DIV/0!</v>
      </c>
      <c r="C47" s="571" t="e">
        <f>IF($B$4=20,0,+C45)</f>
        <v>#DIV/0!</v>
      </c>
      <c r="D47" s="571" t="e">
        <f>+D46</f>
        <v>#DIV/0!</v>
      </c>
      <c r="E47" s="571">
        <f>IF($B$4&gt;20,SUM(C46:D47),0)</f>
        <v>0</v>
      </c>
      <c r="F47" s="585">
        <f>+F46</f>
        <v>2047</v>
      </c>
    </row>
    <row r="48" spans="1:7" ht="15.75">
      <c r="A48" s="581">
        <v>22</v>
      </c>
      <c r="B48" s="582" t="e">
        <f t="shared" si="0"/>
        <v>#DIV/0!</v>
      </c>
      <c r="C48" s="582"/>
      <c r="D48" s="582" t="e">
        <f>+B48*$B$3*0.5</f>
        <v>#DIV/0!</v>
      </c>
      <c r="E48" s="583"/>
      <c r="F48" s="586">
        <f>+F46+1</f>
        <v>2048</v>
      </c>
    </row>
    <row r="49" spans="1:6" ht="15.75">
      <c r="A49" s="571"/>
      <c r="B49" s="571" t="e">
        <f t="shared" si="0"/>
        <v>#DIV/0!</v>
      </c>
      <c r="C49" s="571" t="e">
        <f>+C47</f>
        <v>#DIV/0!</v>
      </c>
      <c r="D49" s="571" t="e">
        <f>+D48</f>
        <v>#DIV/0!</v>
      </c>
      <c r="E49" s="571">
        <f>IF($B$4&gt;21,SUM(C48:D49),0)</f>
        <v>0</v>
      </c>
      <c r="F49" s="585">
        <f>+F48</f>
        <v>2048</v>
      </c>
    </row>
    <row r="50" spans="1:6" ht="15.75">
      <c r="A50" s="581">
        <v>23</v>
      </c>
      <c r="B50" s="582" t="e">
        <f t="shared" si="0"/>
        <v>#DIV/0!</v>
      </c>
      <c r="C50" s="582"/>
      <c r="D50" s="582" t="e">
        <f>+B50*$B$3*0.5</f>
        <v>#DIV/0!</v>
      </c>
      <c r="E50" s="583"/>
      <c r="F50" s="586">
        <f>+F48+1</f>
        <v>2049</v>
      </c>
    </row>
    <row r="51" spans="1:6" ht="15.75">
      <c r="A51" s="571"/>
      <c r="B51" s="571" t="e">
        <f t="shared" si="0"/>
        <v>#DIV/0!</v>
      </c>
      <c r="C51" s="571" t="e">
        <f>+C49</f>
        <v>#DIV/0!</v>
      </c>
      <c r="D51" s="571" t="e">
        <f>+D50</f>
        <v>#DIV/0!</v>
      </c>
      <c r="E51" s="571">
        <f>IF($B$4&gt;22,SUM(C50:D51),0)</f>
        <v>0</v>
      </c>
      <c r="F51" s="585">
        <f>+F50</f>
        <v>2049</v>
      </c>
    </row>
    <row r="52" spans="1:6" ht="15.75">
      <c r="A52" s="581">
        <v>24</v>
      </c>
      <c r="B52" s="582" t="e">
        <f t="shared" si="0"/>
        <v>#DIV/0!</v>
      </c>
      <c r="C52" s="582"/>
      <c r="D52" s="582" t="e">
        <f>+B52*$B$3*0.5</f>
        <v>#DIV/0!</v>
      </c>
      <c r="E52" s="583"/>
      <c r="F52" s="586">
        <f>+F50+1</f>
        <v>2050</v>
      </c>
    </row>
    <row r="53" spans="1:6" ht="15.75">
      <c r="A53" s="571"/>
      <c r="B53" s="571" t="e">
        <f t="shared" si="0"/>
        <v>#DIV/0!</v>
      </c>
      <c r="C53" s="571" t="e">
        <f>+C51</f>
        <v>#DIV/0!</v>
      </c>
      <c r="D53" s="571" t="e">
        <f>+D52</f>
        <v>#DIV/0!</v>
      </c>
      <c r="E53" s="571">
        <f>IF($B$4&gt;23,SUM(C52:D53),0)</f>
        <v>0</v>
      </c>
      <c r="F53" s="585">
        <f>+F52</f>
        <v>2050</v>
      </c>
    </row>
    <row r="54" spans="1:6" ht="15.75">
      <c r="A54" s="581">
        <v>25</v>
      </c>
      <c r="B54" s="582" t="e">
        <f t="shared" si="0"/>
        <v>#DIV/0!</v>
      </c>
      <c r="C54" s="582"/>
      <c r="D54" s="582" t="e">
        <f>+B54*$B$3*0.5</f>
        <v>#DIV/0!</v>
      </c>
      <c r="E54" s="583"/>
      <c r="F54" s="586">
        <f>+F52+1</f>
        <v>2051</v>
      </c>
    </row>
    <row r="55" spans="1:6" ht="15.75">
      <c r="A55" s="571"/>
      <c r="B55" s="571" t="e">
        <f t="shared" si="0"/>
        <v>#DIV/0!</v>
      </c>
      <c r="C55" s="571" t="e">
        <f>+C53</f>
        <v>#DIV/0!</v>
      </c>
      <c r="D55" s="571" t="e">
        <f>+D54</f>
        <v>#DIV/0!</v>
      </c>
      <c r="E55" s="571">
        <f>IF($B$4&gt;24,SUM(C54:D55),0)</f>
        <v>0</v>
      </c>
      <c r="F55" s="585">
        <f>+F54</f>
        <v>2051</v>
      </c>
    </row>
    <row r="56" spans="1:6" ht="15.75">
      <c r="A56" s="581">
        <v>26</v>
      </c>
      <c r="B56" s="582" t="e">
        <f t="shared" si="0"/>
        <v>#DIV/0!</v>
      </c>
      <c r="C56" s="582"/>
      <c r="D56" s="582" t="e">
        <f>+B56*$B$3*0.5</f>
        <v>#DIV/0!</v>
      </c>
      <c r="E56" s="583"/>
      <c r="F56" s="586">
        <f>+F54+1</f>
        <v>2052</v>
      </c>
    </row>
    <row r="57" spans="1:6" ht="15.75">
      <c r="A57" s="571"/>
      <c r="B57" s="571" t="e">
        <f t="shared" si="0"/>
        <v>#DIV/0!</v>
      </c>
      <c r="C57" s="571" t="e">
        <f>+C55</f>
        <v>#DIV/0!</v>
      </c>
      <c r="D57" s="571" t="e">
        <f>+D56</f>
        <v>#DIV/0!</v>
      </c>
      <c r="E57" s="571">
        <f>IF($B$4&gt;25,SUM(C56:D57),0)</f>
        <v>0</v>
      </c>
      <c r="F57" s="585">
        <f>+F56</f>
        <v>2052</v>
      </c>
    </row>
    <row r="58" spans="1:6" ht="15.75">
      <c r="A58" s="581">
        <v>27</v>
      </c>
      <c r="B58" s="582" t="e">
        <f>B57-C57</f>
        <v>#DIV/0!</v>
      </c>
      <c r="C58" s="582"/>
      <c r="D58" s="582" t="e">
        <f>+B58*$B$3*0.5</f>
        <v>#DIV/0!</v>
      </c>
      <c r="E58" s="583"/>
      <c r="F58" s="586">
        <f>+F56+1</f>
        <v>2053</v>
      </c>
    </row>
    <row r="59" spans="1:6" ht="15.75">
      <c r="A59" s="571"/>
      <c r="B59" s="571" t="e">
        <f t="shared" si="0"/>
        <v>#DIV/0!</v>
      </c>
      <c r="C59" s="571" t="e">
        <f>+C57</f>
        <v>#DIV/0!</v>
      </c>
      <c r="D59" s="571" t="e">
        <f>+D58</f>
        <v>#DIV/0!</v>
      </c>
      <c r="E59" s="571">
        <f>IF($B$4&gt;26,SUM(C58:D59),0)</f>
        <v>0</v>
      </c>
      <c r="F59" s="585">
        <f>+F58</f>
        <v>2053</v>
      </c>
    </row>
    <row r="60" spans="1:6" ht="15.75">
      <c r="A60" s="581">
        <v>28</v>
      </c>
      <c r="B60" s="582" t="e">
        <f t="shared" si="0"/>
        <v>#DIV/0!</v>
      </c>
      <c r="C60" s="582"/>
      <c r="D60" s="582" t="e">
        <f>+B60*$B$3*0.5</f>
        <v>#DIV/0!</v>
      </c>
      <c r="E60" s="583"/>
      <c r="F60" s="586">
        <f>+F58+1</f>
        <v>2054</v>
      </c>
    </row>
    <row r="61" spans="1:6" ht="15.75">
      <c r="A61" s="571"/>
      <c r="B61" s="571" t="e">
        <f t="shared" si="0"/>
        <v>#DIV/0!</v>
      </c>
      <c r="C61" s="571" t="e">
        <f>+C59</f>
        <v>#DIV/0!</v>
      </c>
      <c r="D61" s="571" t="e">
        <f>+D60</f>
        <v>#DIV/0!</v>
      </c>
      <c r="E61" s="571">
        <f>IF($B$4&gt;27,SUM(C60:D61),0)</f>
        <v>0</v>
      </c>
      <c r="F61" s="585">
        <f>+F60</f>
        <v>2054</v>
      </c>
    </row>
    <row r="62" spans="1:6" ht="15.75">
      <c r="A62" s="581">
        <v>29</v>
      </c>
      <c r="B62" s="582" t="e">
        <f t="shared" si="0"/>
        <v>#DIV/0!</v>
      </c>
      <c r="C62" s="582"/>
      <c r="D62" s="582" t="e">
        <f>+B62*$B$3*0.5</f>
        <v>#DIV/0!</v>
      </c>
      <c r="E62" s="583"/>
      <c r="F62" s="586">
        <f>+F60+1</f>
        <v>2055</v>
      </c>
    </row>
    <row r="63" spans="1:6" ht="15.75">
      <c r="A63" s="571"/>
      <c r="B63" s="571" t="e">
        <f t="shared" si="0"/>
        <v>#DIV/0!</v>
      </c>
      <c r="C63" s="571" t="e">
        <f>+C61</f>
        <v>#DIV/0!</v>
      </c>
      <c r="D63" s="571" t="e">
        <f>+D62</f>
        <v>#DIV/0!</v>
      </c>
      <c r="E63" s="571">
        <f>IF($B$4&gt;28,SUM(C62:D63),0)</f>
        <v>0</v>
      </c>
      <c r="F63" s="585">
        <f>+F62</f>
        <v>2055</v>
      </c>
    </row>
    <row r="64" spans="1:6" ht="15.75">
      <c r="A64" s="581">
        <v>30</v>
      </c>
      <c r="B64" s="582" t="e">
        <f>IF($B$4=29,0,B63-C63)</f>
        <v>#DIV/0!</v>
      </c>
      <c r="C64" s="582"/>
      <c r="D64" s="582" t="e">
        <f>+B64*$B$3*0.5</f>
        <v>#DIV/0!</v>
      </c>
      <c r="E64" s="583"/>
      <c r="F64" s="586">
        <f>+F62+1</f>
        <v>2056</v>
      </c>
    </row>
    <row r="65" spans="1:7" ht="15.75">
      <c r="A65" s="571"/>
      <c r="B65" s="571" t="e">
        <f>B64-C64</f>
        <v>#DIV/0!</v>
      </c>
      <c r="C65" s="571" t="e">
        <f>IF($B$4=29,0,C63)</f>
        <v>#DIV/0!</v>
      </c>
      <c r="D65" s="571" t="e">
        <f>+D64</f>
        <v>#DIV/0!</v>
      </c>
      <c r="E65" s="571">
        <f>IF($B$4&gt;29,SUM(C64:D65),0)</f>
        <v>0</v>
      </c>
      <c r="F65" s="585">
        <f>+F64</f>
        <v>2056</v>
      </c>
    </row>
    <row r="66" spans="1:7" ht="15.75">
      <c r="A66" s="581">
        <v>31</v>
      </c>
      <c r="B66" s="582" t="e">
        <f>B65-C65</f>
        <v>#DIV/0!</v>
      </c>
      <c r="C66" s="582"/>
      <c r="D66" s="582" t="e">
        <f>+B66*$B$3*0.5</f>
        <v>#DIV/0!</v>
      </c>
      <c r="E66" s="583"/>
      <c r="F66" s="586">
        <f>+F64+1</f>
        <v>2057</v>
      </c>
    </row>
    <row r="67" spans="1:7" ht="15.75">
      <c r="A67" s="571"/>
      <c r="B67" s="588" t="e">
        <f t="shared" si="0"/>
        <v>#DIV/0!</v>
      </c>
      <c r="C67" s="588"/>
      <c r="D67" s="588" t="e">
        <f>+D66</f>
        <v>#DIV/0!</v>
      </c>
      <c r="E67" s="588">
        <f>IF($B$4&gt;30,SUM(C66:D67),0)</f>
        <v>0</v>
      </c>
      <c r="F67" s="589">
        <f>+F66</f>
        <v>2057</v>
      </c>
      <c r="G67" s="590"/>
    </row>
    <row r="68" spans="1:7" ht="15.75">
      <c r="A68" s="571"/>
      <c r="B68" s="571"/>
      <c r="C68" s="570" t="e">
        <f>SUM(C6:C67)</f>
        <v>#DIV/0!</v>
      </c>
      <c r="D68" s="570" t="e">
        <f>SUM(D6:D67)</f>
        <v>#DIV/0!</v>
      </c>
      <c r="E68" s="598">
        <f>SUM(E26:E65)</f>
        <v>0</v>
      </c>
      <c r="F68" s="571"/>
    </row>
    <row r="69" spans="1:7" ht="15.75">
      <c r="A69" s="571"/>
      <c r="B69" s="571"/>
      <c r="C69" s="570"/>
      <c r="D69" s="570"/>
      <c r="E69" s="598"/>
      <c r="F69" s="571"/>
    </row>
    <row r="70" spans="1:7" ht="18.75">
      <c r="C70" s="599"/>
      <c r="D70" s="600" t="s">
        <v>718</v>
      </c>
      <c r="E70" s="601">
        <f>SUM(E18:E67)</f>
        <v>0</v>
      </c>
    </row>
    <row r="71" spans="1:7">
      <c r="D71" s="591"/>
      <c r="E71" s="592"/>
    </row>
  </sheetData>
  <sheetProtection algorithmName="SHA-512" hashValue="E+/fxfboH7lRD50AZsTr0IKMXxGpOGypn+ook5k4WK0NdpIxSxcO37jF5+QX5Q8n2SVrmCph67DHBpesdTQsFQ==" saltValue="q40Y4RUqwTlvot1FtVIQkQ==" spinCount="100000" sheet="1" objects="1" scenarios="1"/>
  <printOptions headings="1" gridLines="1"/>
  <pageMargins left="0.7" right="0.7" top="0.75" bottom="0.75" header="0.3" footer="0.3"/>
  <pageSetup scale="79" orientation="portrait" r:id="rId1"/>
  <headerFooter>
    <oddHeader>&amp;L&amp;F&amp;RPage &amp;P of &amp;N</oddHeader>
    <oddFooter>&amp;L&amp;A&amp;R&amp;D &amp;T</oddFooter>
  </headerFooter>
  <rowBreaks count="1" manualBreakCount="1">
    <brk id="45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L841"/>
  <sheetViews>
    <sheetView showGridLines="0" view="pageBreakPreview" zoomScaleNormal="100" zoomScaleSheetLayoutView="100" workbookViewId="0">
      <selection activeCell="B1" sqref="B1"/>
    </sheetView>
  </sheetViews>
  <sheetFormatPr defaultColWidth="9.140625" defaultRowHeight="12.75"/>
  <cols>
    <col min="1" max="1" width="10.28515625" style="510" customWidth="1"/>
    <col min="2" max="2" width="6.42578125" style="510" customWidth="1"/>
    <col min="3" max="3" width="9.42578125" style="510" customWidth="1"/>
    <col min="4" max="4" width="12.140625" style="510" customWidth="1"/>
    <col min="5" max="5" width="18.7109375" style="510" customWidth="1"/>
    <col min="6" max="6" width="5.28515625" style="510" customWidth="1"/>
    <col min="7" max="7" width="10.7109375" style="510" customWidth="1"/>
    <col min="8" max="8" width="11.85546875" style="510" customWidth="1"/>
    <col min="9" max="9" width="16.5703125" style="510" customWidth="1"/>
    <col min="10" max="10" width="16.42578125" style="510" hidden="1" customWidth="1"/>
    <col min="11" max="11" width="19" style="510" customWidth="1"/>
    <col min="12" max="12" width="13.7109375" style="510" customWidth="1"/>
    <col min="13" max="16384" width="9.140625" style="510"/>
  </cols>
  <sheetData>
    <row r="1" spans="2:10" ht="22.9" customHeight="1">
      <c r="B1" s="593" t="s">
        <v>724</v>
      </c>
      <c r="C1" s="508"/>
      <c r="D1" s="594"/>
      <c r="E1" s="508"/>
      <c r="F1" s="508"/>
      <c r="G1" s="508"/>
      <c r="H1" s="509"/>
      <c r="I1" s="509"/>
    </row>
    <row r="2" spans="2:10" ht="12.75" customHeight="1">
      <c r="B2" s="511"/>
      <c r="C2" s="512"/>
      <c r="D2" s="512"/>
      <c r="E2" s="512"/>
      <c r="F2" s="512"/>
      <c r="G2" s="512"/>
      <c r="H2" s="512"/>
      <c r="I2" s="513" t="str">
        <f ca="1">"© 2008-" &amp; YEAR(TODAY()) &amp; " Vertex42 LLC"</f>
        <v>© 2008-2022 Vertex42 LLC</v>
      </c>
    </row>
    <row r="5" spans="2:10" ht="14.25">
      <c r="B5" s="514" t="s">
        <v>670</v>
      </c>
      <c r="C5" s="515"/>
      <c r="D5" s="515"/>
      <c r="E5" s="515"/>
      <c r="G5" s="514" t="s">
        <v>671</v>
      </c>
      <c r="H5" s="516"/>
      <c r="I5" s="516"/>
      <c r="J5" s="517" t="s">
        <v>672</v>
      </c>
    </row>
    <row r="6" spans="2:10" ht="15" customHeight="1">
      <c r="B6" s="512"/>
      <c r="C6" s="512"/>
      <c r="D6" s="518" t="s">
        <v>673</v>
      </c>
      <c r="E6" s="595">
        <f>Dashboard!H28</f>
        <v>10000000</v>
      </c>
      <c r="H6" s="519" t="s">
        <v>674</v>
      </c>
      <c r="I6" s="520">
        <f>((1+E7/E15)^(E15/E14))-1</f>
        <v>3.499999999999992E-2</v>
      </c>
      <c r="J6" s="510" t="s">
        <v>152</v>
      </c>
    </row>
    <row r="7" spans="2:10" ht="15" customHeight="1">
      <c r="B7" s="512"/>
      <c r="C7" s="512"/>
      <c r="D7" s="518" t="s">
        <v>675</v>
      </c>
      <c r="E7" s="521">
        <f>Dashboard!F10</f>
        <v>3.5000000000000003E-2</v>
      </c>
      <c r="H7" s="519" t="s">
        <v>676</v>
      </c>
      <c r="I7" s="522">
        <f>SUM(G61:G840)+SUM(H61:H840)</f>
        <v>15759806.190000001</v>
      </c>
      <c r="J7" s="510" t="s">
        <v>677</v>
      </c>
    </row>
    <row r="8" spans="2:10" ht="15" customHeight="1">
      <c r="B8" s="512"/>
      <c r="C8" s="512"/>
      <c r="D8" s="518" t="s">
        <v>678</v>
      </c>
      <c r="E8" s="523">
        <f>Dashboard!H33</f>
        <v>30</v>
      </c>
      <c r="H8" s="519" t="s">
        <v>679</v>
      </c>
      <c r="I8" s="524">
        <f>SUM(G60:G840)</f>
        <v>5759806.1900000004</v>
      </c>
      <c r="J8" s="510" t="s">
        <v>680</v>
      </c>
    </row>
    <row r="9" spans="2:10" ht="15" customHeight="1">
      <c r="B9" s="512"/>
      <c r="C9" s="512"/>
      <c r="D9" s="518" t="s">
        <v>681</v>
      </c>
      <c r="E9" s="525">
        <v>46204</v>
      </c>
      <c r="H9" s="519" t="s">
        <v>682</v>
      </c>
      <c r="I9" s="526">
        <f>IF(AND(SUM(E61:E840)=0,roundOpt)," - ",(nper*(-PMT(rate,nper,loan_amount,,pmtType))-loan_amount)-I8)</f>
        <v>7.3021302931010723E-2</v>
      </c>
      <c r="J9" s="510" t="s">
        <v>683</v>
      </c>
    </row>
    <row r="10" spans="2:10" ht="15" customHeight="1">
      <c r="B10" s="512" t="e">
        <f>+#REF!</f>
        <v>#REF!</v>
      </c>
      <c r="C10" s="512"/>
      <c r="D10" s="518" t="s">
        <v>684</v>
      </c>
      <c r="E10" s="525" t="s">
        <v>685</v>
      </c>
      <c r="I10" s="527" t="str">
        <f ca="1">IF(AND(NOT(I840=""),I840&gt;0.004),"ERROR: Limit is "&amp;OFFSET(B841,-1,0,1,1)&amp;" payments",".")</f>
        <v>.</v>
      </c>
      <c r="J10" s="510" t="s">
        <v>686</v>
      </c>
    </row>
    <row r="11" spans="2:10" ht="15" customHeight="1">
      <c r="B11" s="512"/>
      <c r="C11" s="512"/>
      <c r="D11" s="518" t="s">
        <v>687</v>
      </c>
      <c r="E11" s="528" t="str">
        <f>E10</f>
        <v>annual</v>
      </c>
      <c r="I11" s="529" t="str">
        <f>IF(E15&gt;E14,"Warning: negative amortization",".")</f>
        <v>.</v>
      </c>
      <c r="J11" s="510" t="s">
        <v>688</v>
      </c>
    </row>
    <row r="12" spans="2:10" ht="15" customHeight="1">
      <c r="B12" s="512"/>
      <c r="C12" s="512"/>
      <c r="D12" s="518" t="s">
        <v>689</v>
      </c>
      <c r="E12" s="528" t="s">
        <v>690</v>
      </c>
      <c r="J12" s="510" t="s">
        <v>691</v>
      </c>
    </row>
    <row r="13" spans="2:10" ht="15" customHeight="1">
      <c r="B13" s="512"/>
      <c r="C13" s="512"/>
      <c r="D13" s="518" t="s">
        <v>692</v>
      </c>
      <c r="E13" s="528" t="s">
        <v>693</v>
      </c>
      <c r="I13" s="529"/>
      <c r="J13" s="510" t="s">
        <v>694</v>
      </c>
    </row>
    <row r="14" spans="2:10" ht="15" customHeight="1">
      <c r="B14" s="512"/>
      <c r="C14" s="512"/>
      <c r="D14" s="530" t="s">
        <v>695</v>
      </c>
      <c r="E14" s="512">
        <f>INDEX({1;2;4;6;12;24;26;52},MATCH('FY27 Level-Payment'!$E$10,$J$6:$J$13,0))</f>
        <v>1</v>
      </c>
    </row>
    <row r="15" spans="2:10" ht="15" customHeight="1">
      <c r="B15" s="512"/>
      <c r="C15" s="512"/>
      <c r="D15" s="530" t="s">
        <v>687</v>
      </c>
      <c r="E15" s="512">
        <f>INDEX({1;2;4;6;12;24;26;52},MATCH('FY27 Level-Payment'!$E$11,$J$6:$J$13,0))</f>
        <v>1</v>
      </c>
    </row>
    <row r="16" spans="2:10" ht="15" customHeight="1">
      <c r="B16" s="512"/>
      <c r="C16" s="512"/>
      <c r="D16" s="530" t="s">
        <v>689</v>
      </c>
      <c r="E16" s="512">
        <f>IF('FY27 Level-Payment'!$E$12="End of Period",0,1)</f>
        <v>1</v>
      </c>
    </row>
    <row r="17" spans="2:12" ht="15" customHeight="1">
      <c r="B17" s="512"/>
      <c r="C17" s="512"/>
      <c r="D17" s="530" t="s">
        <v>696</v>
      </c>
      <c r="E17" s="512">
        <f>12/$E$14</f>
        <v>12</v>
      </c>
    </row>
    <row r="18" spans="2:12" ht="15" customHeight="1">
      <c r="B18" s="512"/>
      <c r="C18" s="512"/>
      <c r="D18" s="530" t="s">
        <v>697</v>
      </c>
      <c r="E18" s="512">
        <f>$E$8*$E$14</f>
        <v>30</v>
      </c>
    </row>
    <row r="19" spans="2:12" ht="15" customHeight="1">
      <c r="B19" s="512"/>
      <c r="C19" s="512"/>
      <c r="D19" s="530" t="s">
        <v>698</v>
      </c>
      <c r="E19" s="513" t="b">
        <f>(E13="On")</f>
        <v>1</v>
      </c>
    </row>
    <row r="20" spans="2:12">
      <c r="I20" s="531" t="s">
        <v>699</v>
      </c>
    </row>
    <row r="21" spans="2:12" ht="15.75">
      <c r="D21" s="532" t="str">
        <f>E10&amp;" Payment"</f>
        <v>annual Payment</v>
      </c>
      <c r="E21" s="533">
        <f>IF(roundOpt,ROUND(-PMT(rate,nper,$E$6,,pmtType),2),-PMT(rate,nper,$E$6,,pmtType))</f>
        <v>525326.88</v>
      </c>
      <c r="I21" s="531"/>
    </row>
    <row r="22" spans="2:12">
      <c r="I22" s="531"/>
    </row>
    <row r="23" spans="2:12" ht="15">
      <c r="B23" s="534" t="s">
        <v>700</v>
      </c>
      <c r="C23" s="534"/>
      <c r="D23" s="534"/>
      <c r="E23" s="534"/>
      <c r="F23" s="534"/>
      <c r="G23" s="534"/>
      <c r="H23" s="534"/>
      <c r="I23" s="534"/>
    </row>
    <row r="24" spans="2:12" ht="26.25" thickBot="1">
      <c r="B24" s="535"/>
      <c r="C24" s="536" t="s">
        <v>42</v>
      </c>
      <c r="D24" s="537" t="s">
        <v>701</v>
      </c>
      <c r="E24" s="537" t="s">
        <v>702</v>
      </c>
      <c r="F24" s="537"/>
      <c r="G24" s="537" t="s">
        <v>703</v>
      </c>
      <c r="H24" s="537" t="s">
        <v>704</v>
      </c>
      <c r="I24" s="537" t="s">
        <v>705</v>
      </c>
      <c r="K24" s="538" t="s">
        <v>706</v>
      </c>
    </row>
    <row r="25" spans="2:12">
      <c r="B25" s="539"/>
      <c r="C25" s="540"/>
      <c r="D25" s="539"/>
      <c r="E25" s="539"/>
      <c r="F25" s="539"/>
      <c r="G25" s="539"/>
      <c r="H25" s="541"/>
      <c r="I25" s="542">
        <f>loan_amount</f>
        <v>10000000</v>
      </c>
      <c r="K25" s="543">
        <f>loan_amount</f>
        <v>10000000</v>
      </c>
    </row>
    <row r="26" spans="2:12">
      <c r="B26" s="544"/>
      <c r="C26" s="544">
        <f>YEAR(fpdate)</f>
        <v>2026</v>
      </c>
      <c r="D26" s="545">
        <f>SUMIF($C$60:$C$841,"&lt;="&amp;DATE($C26,12,31),$D$60:$D$841)-SUM(D$25:D25)</f>
        <v>525326.88</v>
      </c>
      <c r="E26" s="545">
        <f>SUMIF($C$60:$C$841,"&lt;="&amp;DATE($C26,12,31),$E$60:$E$841)-SUM(E$25:E25)</f>
        <v>0</v>
      </c>
      <c r="F26" s="546"/>
      <c r="G26" s="545">
        <f>SUMIF($C$60:$C$841,"&lt;="&amp;DATE($C26,12,31),$G$60:$G$841)-SUM(G$25:G25)</f>
        <v>0</v>
      </c>
      <c r="H26" s="545">
        <f>SUMIF($C$60:$C$841,"&lt;="&amp;DATE($C26,12,31),$H$60:$H$841)-SUM(H$25:H25)</f>
        <v>525326.88</v>
      </c>
      <c r="I26" s="545">
        <f>I25-H26</f>
        <v>9474673.1199999992</v>
      </c>
      <c r="K26" s="547">
        <f t="shared" ref="K26:K54" si="0">K25-H26</f>
        <v>9474673.1199999992</v>
      </c>
    </row>
    <row r="27" spans="2:12">
      <c r="B27" s="548"/>
      <c r="C27" s="544">
        <f>C26+1</f>
        <v>2027</v>
      </c>
      <c r="D27" s="545">
        <f>SUMIF($C$60:$C$841,"&lt;="&amp;DATE($C27,12,31),$D$60:$D$841)-SUM(D$25:D26)</f>
        <v>525326.88</v>
      </c>
      <c r="E27" s="545">
        <f>SUMIF($C$60:$C$841,"&lt;="&amp;DATE($C27,12,31),$E$60:$E$841)-SUM(E$25:E26)</f>
        <v>0</v>
      </c>
      <c r="F27" s="546"/>
      <c r="G27" s="545">
        <f>SUMIF($C$60:$C$841,"&lt;="&amp;DATE($C27,12,31),$G$60:$G$841)-SUM(G$25:G26)</f>
        <v>331613.56</v>
      </c>
      <c r="H27" s="545">
        <f>SUMIF($C$60:$C$841,"&lt;="&amp;DATE($C27,12,31),$H$60:$H$841)-SUM(H$25:H26)</f>
        <v>193713.31999999995</v>
      </c>
      <c r="I27" s="545">
        <f>I26-H27</f>
        <v>9280959.7999999989</v>
      </c>
      <c r="K27" s="547">
        <f t="shared" si="0"/>
        <v>9280959.7999999989</v>
      </c>
    </row>
    <row r="28" spans="2:12">
      <c r="B28" s="548"/>
      <c r="C28" s="544">
        <f>C27+1</f>
        <v>2028</v>
      </c>
      <c r="D28" s="545">
        <f>SUMIF($C$60:$C$841,"&lt;="&amp;DATE($C28,12,31),$D$60:$D$841)-SUM(D$25:D27)</f>
        <v>525326.88000000012</v>
      </c>
      <c r="E28" s="545">
        <f>SUMIF($C$60:$C$841,"&lt;="&amp;DATE($C28,12,31),$E$60:$E$841)-SUM(E$25:E27)</f>
        <v>0</v>
      </c>
      <c r="F28" s="546"/>
      <c r="G28" s="545">
        <f>SUMIF($C$60:$C$841,"&lt;="&amp;DATE($C28,12,31),$G$60:$G$841)-SUM(G$25:G27)</f>
        <v>324833.59000000003</v>
      </c>
      <c r="H28" s="545">
        <f>SUMIF($C$60:$C$841,"&lt;="&amp;DATE($C28,12,31),$H$60:$H$841)-SUM(H$25:H27)</f>
        <v>200493.29000000004</v>
      </c>
      <c r="I28" s="545">
        <f>I27-H28</f>
        <v>9080466.5099999979</v>
      </c>
      <c r="K28" s="547">
        <f t="shared" si="0"/>
        <v>9080466.5099999979</v>
      </c>
    </row>
    <row r="29" spans="2:12">
      <c r="B29" s="548"/>
      <c r="C29" s="544">
        <f>C28+1</f>
        <v>2029</v>
      </c>
      <c r="D29" s="545">
        <f>SUMIF($C$60:$C$841,"&lt;="&amp;DATE($C29,12,31),$D$60:$D$841)-SUM(D$25:D28)</f>
        <v>525326.87999999989</v>
      </c>
      <c r="E29" s="545">
        <f>SUMIF($C$60:$C$841,"&lt;="&amp;DATE($C29,12,31),$E$60:$E$841)-SUM(E$25:E28)</f>
        <v>0</v>
      </c>
      <c r="F29" s="546"/>
      <c r="G29" s="545">
        <f>SUMIF($C$60:$C$841,"&lt;="&amp;DATE($C29,12,31),$G$60:$G$841)-SUM(G$25:G28)</f>
        <v>317816.32999999996</v>
      </c>
      <c r="H29" s="545">
        <f>SUMIF($C$60:$C$841,"&lt;="&amp;DATE($C29,12,31),$H$60:$H$841)-SUM(H$25:H28)</f>
        <v>207510.55000000005</v>
      </c>
      <c r="I29" s="545">
        <f>I28-H29</f>
        <v>8872955.9599999972</v>
      </c>
      <c r="K29" s="547">
        <f t="shared" si="0"/>
        <v>8872955.9599999972</v>
      </c>
    </row>
    <row r="30" spans="2:12">
      <c r="B30" s="548"/>
      <c r="C30" s="544">
        <f t="shared" ref="C30:C56" si="1">C29+1</f>
        <v>2030</v>
      </c>
      <c r="D30" s="545">
        <f>SUMIF($C$60:$C$841,"&lt;="&amp;DATE($C30,12,31),$D$60:$D$841)-SUM(D$25:D29)</f>
        <v>525326.87999999989</v>
      </c>
      <c r="E30" s="545">
        <f>SUMIF($C$60:$C$841,"&lt;="&amp;DATE($C30,12,31),$E$60:$E$841)-SUM(E$25:E29)</f>
        <v>0</v>
      </c>
      <c r="F30" s="546"/>
      <c r="G30" s="545">
        <f>SUMIF($C$60:$C$841,"&lt;="&amp;DATE($C30,12,31),$G$60:$G$841)-SUM(G$25:G29)</f>
        <v>310553.45999999996</v>
      </c>
      <c r="H30" s="545">
        <f>SUMIF($C$60:$C$841,"&lt;="&amp;DATE($C30,12,31),$H$60:$H$841)-SUM(H$25:H29)</f>
        <v>214773.41999999993</v>
      </c>
      <c r="I30" s="545">
        <f t="shared" ref="I30:I56" si="2">I29-H30</f>
        <v>8658182.5399999972</v>
      </c>
      <c r="K30" s="547">
        <f t="shared" si="0"/>
        <v>8658182.5399999972</v>
      </c>
      <c r="L30" s="538" t="s">
        <v>719</v>
      </c>
    </row>
    <row r="31" spans="2:12">
      <c r="B31" s="548"/>
      <c r="C31" s="544">
        <f t="shared" si="1"/>
        <v>2031</v>
      </c>
      <c r="D31" s="545">
        <f>SUMIF($C$60:$C$841,"&lt;="&amp;DATE($C31,12,31),$D$60:$D$841)-SUM(D$25:D30)</f>
        <v>525326.87999999989</v>
      </c>
      <c r="E31" s="545">
        <f>SUMIF($C$60:$C$841,"&lt;="&amp;DATE($C31,12,31),$E$60:$E$841)-SUM(E$25:E30)</f>
        <v>0</v>
      </c>
      <c r="F31" s="546"/>
      <c r="G31" s="545">
        <f>SUMIF($C$60:$C$841,"&lt;="&amp;DATE($C31,12,31),$G$60:$G$841)-SUM(G$25:G30)</f>
        <v>303036.39000000013</v>
      </c>
      <c r="H31" s="545">
        <f>SUMIF($C$60:$C$841,"&lt;="&amp;DATE($C31,12,31),$H$60:$H$841)-SUM(H$25:H30)</f>
        <v>222290.49</v>
      </c>
      <c r="I31" s="545">
        <f t="shared" si="2"/>
        <v>8435892.049999997</v>
      </c>
      <c r="K31" s="547">
        <f t="shared" si="0"/>
        <v>8435892.049999997</v>
      </c>
      <c r="L31" s="604">
        <f>SUM(D26:D31)</f>
        <v>3151961.28</v>
      </c>
    </row>
    <row r="32" spans="2:12">
      <c r="B32" s="548"/>
      <c r="C32" s="544">
        <f t="shared" si="1"/>
        <v>2032</v>
      </c>
      <c r="D32" s="545">
        <f>SUMIF($C$60:$C$841,"&lt;="&amp;DATE($C32,12,31),$D$60:$D$841)-SUM(D$25:D31)</f>
        <v>525326.87999999989</v>
      </c>
      <c r="E32" s="545">
        <f>SUMIF($C$60:$C$841,"&lt;="&amp;DATE($C32,12,31),$E$60:$E$841)-SUM(E$25:E31)</f>
        <v>0</v>
      </c>
      <c r="F32" s="546"/>
      <c r="G32" s="545">
        <f>SUMIF($C$60:$C$841,"&lt;="&amp;DATE($C32,12,31),$G$60:$G$841)-SUM(G$25:G31)</f>
        <v>295256.21999999997</v>
      </c>
      <c r="H32" s="545">
        <f>SUMIF($C$60:$C$841,"&lt;="&amp;DATE($C32,12,31),$H$60:$H$841)-SUM(H$25:H31)</f>
        <v>230070.65999999992</v>
      </c>
      <c r="I32" s="545">
        <f t="shared" si="2"/>
        <v>8205821.3899999969</v>
      </c>
      <c r="K32" s="547">
        <f t="shared" si="0"/>
        <v>8205821.3899999969</v>
      </c>
    </row>
    <row r="33" spans="2:11">
      <c r="B33" s="548"/>
      <c r="C33" s="544">
        <f t="shared" si="1"/>
        <v>2033</v>
      </c>
      <c r="D33" s="545">
        <f>SUMIF($C$60:$C$841,"&lt;="&amp;DATE($C33,12,31),$D$60:$D$841)-SUM(D$25:D32)</f>
        <v>525326.88000000035</v>
      </c>
      <c r="E33" s="545">
        <f>SUMIF($C$60:$C$841,"&lt;="&amp;DATE($C33,12,31),$E$60:$E$841)-SUM(E$25:E32)</f>
        <v>0</v>
      </c>
      <c r="F33" s="546"/>
      <c r="G33" s="545">
        <f>SUMIF($C$60:$C$841,"&lt;="&amp;DATE($C33,12,31),$G$60:$G$841)-SUM(G$25:G32)</f>
        <v>287203.74999999977</v>
      </c>
      <c r="H33" s="545">
        <f>SUMIF($C$60:$C$841,"&lt;="&amp;DATE($C33,12,31),$H$60:$H$841)-SUM(H$25:H32)</f>
        <v>238123.12999999989</v>
      </c>
      <c r="I33" s="545">
        <f t="shared" si="2"/>
        <v>7967698.259999997</v>
      </c>
      <c r="K33" s="547">
        <f t="shared" si="0"/>
        <v>7967698.259999997</v>
      </c>
    </row>
    <row r="34" spans="2:11">
      <c r="B34" s="548"/>
      <c r="C34" s="544">
        <f t="shared" si="1"/>
        <v>2034</v>
      </c>
      <c r="D34" s="545">
        <f>SUMIF($C$60:$C$841,"&lt;="&amp;DATE($C34,12,31),$D$60:$D$841)-SUM(D$25:D33)</f>
        <v>525326.87999999989</v>
      </c>
      <c r="E34" s="545">
        <f>SUMIF($C$60:$C$841,"&lt;="&amp;DATE($C34,12,31),$E$60:$E$841)-SUM(E$25:E33)</f>
        <v>0</v>
      </c>
      <c r="F34" s="546"/>
      <c r="G34" s="545">
        <f>SUMIF($C$60:$C$841,"&lt;="&amp;DATE($C34,12,31),$G$60:$G$841)-SUM(G$25:G33)</f>
        <v>278869.43999999994</v>
      </c>
      <c r="H34" s="545">
        <f>SUMIF($C$60:$C$841,"&lt;="&amp;DATE($C34,12,31),$H$60:$H$841)-SUM(H$25:H33)</f>
        <v>246457.43999999994</v>
      </c>
      <c r="I34" s="545">
        <f t="shared" si="2"/>
        <v>7721240.8199999966</v>
      </c>
      <c r="K34" s="547">
        <f t="shared" si="0"/>
        <v>7721240.8199999966</v>
      </c>
    </row>
    <row r="35" spans="2:11">
      <c r="B35" s="548"/>
      <c r="C35" s="544">
        <f t="shared" si="1"/>
        <v>2035</v>
      </c>
      <c r="D35" s="545">
        <f>SUMIF($C$60:$C$841,"&lt;="&amp;DATE($C35,12,31),$D$60:$D$841)-SUM(D$25:D34)</f>
        <v>525326.87999999989</v>
      </c>
      <c r="E35" s="545">
        <f>SUMIF($C$60:$C$841,"&lt;="&amp;DATE($C35,12,31),$E$60:$E$841)-SUM(E$25:E34)</f>
        <v>0</v>
      </c>
      <c r="F35" s="546"/>
      <c r="G35" s="545">
        <f>SUMIF($C$60:$C$841,"&lt;="&amp;DATE($C35,12,31),$G$60:$G$841)-SUM(G$25:G34)</f>
        <v>270243.43000000017</v>
      </c>
      <c r="H35" s="545">
        <f>SUMIF($C$60:$C$841,"&lt;="&amp;DATE($C35,12,31),$H$60:$H$841)-SUM(H$25:H34)</f>
        <v>255083.45000000019</v>
      </c>
      <c r="I35" s="545">
        <f t="shared" si="2"/>
        <v>7466157.3699999964</v>
      </c>
      <c r="K35" s="547">
        <f t="shared" si="0"/>
        <v>7466157.3699999964</v>
      </c>
    </row>
    <row r="36" spans="2:11">
      <c r="B36" s="548"/>
      <c r="C36" s="544">
        <f t="shared" si="1"/>
        <v>2036</v>
      </c>
      <c r="D36" s="545">
        <f>SUMIF($C$60:$C$841,"&lt;="&amp;DATE($C36,12,31),$D$60:$D$841)-SUM(D$25:D35)</f>
        <v>525326.87999999989</v>
      </c>
      <c r="E36" s="545">
        <f>SUMIF($C$60:$C$841,"&lt;="&amp;DATE($C36,12,31),$E$60:$E$841)-SUM(E$25:E35)</f>
        <v>0</v>
      </c>
      <c r="F36" s="546"/>
      <c r="G36" s="545">
        <f>SUMIF($C$60:$C$841,"&lt;="&amp;DATE($C36,12,31),$G$60:$G$841)-SUM(G$25:G35)</f>
        <v>261315.50999999978</v>
      </c>
      <c r="H36" s="545">
        <f>SUMIF($C$60:$C$841,"&lt;="&amp;DATE($C36,12,31),$H$60:$H$841)-SUM(H$25:H35)</f>
        <v>264011.37000000011</v>
      </c>
      <c r="I36" s="545">
        <f t="shared" si="2"/>
        <v>7202145.9999999963</v>
      </c>
      <c r="K36" s="547">
        <f t="shared" si="0"/>
        <v>7202145.9999999963</v>
      </c>
    </row>
    <row r="37" spans="2:11">
      <c r="B37" s="548"/>
      <c r="C37" s="544">
        <f t="shared" si="1"/>
        <v>2037</v>
      </c>
      <c r="D37" s="545">
        <f>SUMIF($C$60:$C$841,"&lt;="&amp;DATE($C37,12,31),$D$60:$D$841)-SUM(D$25:D36)</f>
        <v>525326.87999999989</v>
      </c>
      <c r="E37" s="545">
        <f>SUMIF($C$60:$C$841,"&lt;="&amp;DATE($C37,12,31),$E$60:$E$841)-SUM(E$25:E36)</f>
        <v>0</v>
      </c>
      <c r="F37" s="546"/>
      <c r="G37" s="545">
        <f>SUMIF($C$60:$C$841,"&lt;="&amp;DATE($C37,12,31),$G$60:$G$841)-SUM(G$25:G36)</f>
        <v>252075.10999999987</v>
      </c>
      <c r="H37" s="545">
        <f>SUMIF($C$60:$C$841,"&lt;="&amp;DATE($C37,12,31),$H$60:$H$841)-SUM(H$25:H36)</f>
        <v>273251.77</v>
      </c>
      <c r="I37" s="545">
        <f t="shared" si="2"/>
        <v>6928894.2299999967</v>
      </c>
      <c r="K37" s="547">
        <f t="shared" si="0"/>
        <v>6928894.2299999967</v>
      </c>
    </row>
    <row r="38" spans="2:11">
      <c r="B38" s="548"/>
      <c r="C38" s="544">
        <f t="shared" si="1"/>
        <v>2038</v>
      </c>
      <c r="D38" s="545">
        <f>SUMIF($C$60:$C$841,"&lt;="&amp;DATE($C38,12,31),$D$60:$D$841)-SUM(D$25:D37)</f>
        <v>525326.87999999989</v>
      </c>
      <c r="E38" s="545">
        <f>SUMIF($C$60:$C$841,"&lt;="&amp;DATE($C38,12,31),$E$60:$E$841)-SUM(E$25:E37)</f>
        <v>0</v>
      </c>
      <c r="F38" s="546"/>
      <c r="G38" s="545">
        <f>SUMIF($C$60:$C$841,"&lt;="&amp;DATE($C38,12,31),$G$60:$G$841)-SUM(G$25:G37)</f>
        <v>242511.29999999981</v>
      </c>
      <c r="H38" s="545">
        <f>SUMIF($C$60:$C$841,"&lt;="&amp;DATE($C38,12,31),$H$60:$H$841)-SUM(H$25:H37)</f>
        <v>282815.58000000007</v>
      </c>
      <c r="I38" s="545">
        <f t="shared" si="2"/>
        <v>6646078.6499999966</v>
      </c>
      <c r="K38" s="547">
        <f t="shared" si="0"/>
        <v>6646078.6499999966</v>
      </c>
    </row>
    <row r="39" spans="2:11">
      <c r="B39" s="548"/>
      <c r="C39" s="544">
        <f t="shared" si="1"/>
        <v>2039</v>
      </c>
      <c r="D39" s="545">
        <f>SUMIF($C$60:$C$841,"&lt;="&amp;DATE($C39,12,31),$D$60:$D$841)-SUM(D$25:D38)</f>
        <v>525326.87999999989</v>
      </c>
      <c r="E39" s="545">
        <f>SUMIF($C$60:$C$841,"&lt;="&amp;DATE($C39,12,31),$E$60:$E$841)-SUM(E$25:E38)</f>
        <v>0</v>
      </c>
      <c r="F39" s="546"/>
      <c r="G39" s="545">
        <f>SUMIF($C$60:$C$841,"&lt;="&amp;DATE($C39,12,31),$G$60:$G$841)-SUM(G$25:G38)</f>
        <v>232612.75</v>
      </c>
      <c r="H39" s="545">
        <f>SUMIF($C$60:$C$841,"&lt;="&amp;DATE($C39,12,31),$H$60:$H$841)-SUM(H$25:H38)</f>
        <v>292714.12999999989</v>
      </c>
      <c r="I39" s="545">
        <f t="shared" si="2"/>
        <v>6353364.5199999968</v>
      </c>
      <c r="K39" s="547">
        <f t="shared" si="0"/>
        <v>6353364.5199999968</v>
      </c>
    </row>
    <row r="40" spans="2:11">
      <c r="B40" s="548"/>
      <c r="C40" s="544">
        <f t="shared" si="1"/>
        <v>2040</v>
      </c>
      <c r="D40" s="545">
        <f>SUMIF($C$60:$C$841,"&lt;="&amp;DATE($C40,12,31),$D$60:$D$841)-SUM(D$25:D39)</f>
        <v>525326.87999999989</v>
      </c>
      <c r="E40" s="545">
        <f>SUMIF($C$60:$C$841,"&lt;="&amp;DATE($C40,12,31),$E$60:$E$841)-SUM(E$25:E39)</f>
        <v>0</v>
      </c>
      <c r="F40" s="546"/>
      <c r="G40" s="545">
        <f>SUMIF($C$60:$C$841,"&lt;="&amp;DATE($C40,12,31),$G$60:$G$841)-SUM(G$25:G39)</f>
        <v>222367.76000000024</v>
      </c>
      <c r="H40" s="545">
        <f>SUMIF($C$60:$C$841,"&lt;="&amp;DATE($C40,12,31),$H$60:$H$841)-SUM(H$25:H39)</f>
        <v>302959.12000000011</v>
      </c>
      <c r="I40" s="545">
        <f t="shared" si="2"/>
        <v>6050405.3999999966</v>
      </c>
      <c r="K40" s="547">
        <f t="shared" si="0"/>
        <v>6050405.3999999966</v>
      </c>
    </row>
    <row r="41" spans="2:11">
      <c r="B41" s="548"/>
      <c r="C41" s="544">
        <f t="shared" si="1"/>
        <v>2041</v>
      </c>
      <c r="D41" s="545">
        <f>SUMIF($C$60:$C$841,"&lt;="&amp;DATE($C41,12,31),$D$60:$D$841)-SUM(D$25:D40)</f>
        <v>525326.88000000082</v>
      </c>
      <c r="E41" s="545">
        <f>SUMIF($C$60:$C$841,"&lt;="&amp;DATE($C41,12,31),$E$60:$E$841)-SUM(E$25:E40)</f>
        <v>0</v>
      </c>
      <c r="F41" s="546"/>
      <c r="G41" s="545">
        <f>SUMIF($C$60:$C$841,"&lt;="&amp;DATE($C41,12,31),$G$60:$G$841)-SUM(G$25:G40)</f>
        <v>211764.18999999994</v>
      </c>
      <c r="H41" s="545">
        <f>SUMIF($C$60:$C$841,"&lt;="&amp;DATE($C41,12,31),$H$60:$H$841)-SUM(H$25:H40)</f>
        <v>313562.68999999994</v>
      </c>
      <c r="I41" s="545">
        <f t="shared" si="2"/>
        <v>5736842.7099999972</v>
      </c>
      <c r="K41" s="547">
        <f t="shared" si="0"/>
        <v>5736842.7099999972</v>
      </c>
    </row>
    <row r="42" spans="2:11">
      <c r="B42" s="548"/>
      <c r="C42" s="544">
        <f t="shared" si="1"/>
        <v>2042</v>
      </c>
      <c r="D42" s="545">
        <f>SUMIF($C$60:$C$841,"&lt;="&amp;DATE($C42,12,31),$D$60:$D$841)-SUM(D$25:D41)</f>
        <v>525326.88000000082</v>
      </c>
      <c r="E42" s="545">
        <f>SUMIF($C$60:$C$841,"&lt;="&amp;DATE($C42,12,31),$E$60:$E$841)-SUM(E$25:E41)</f>
        <v>0</v>
      </c>
      <c r="F42" s="546"/>
      <c r="G42" s="545">
        <f>SUMIF($C$60:$C$841,"&lt;="&amp;DATE($C42,12,31),$G$60:$G$841)-SUM(G$25:G41)</f>
        <v>200789.48999999976</v>
      </c>
      <c r="H42" s="545">
        <f>SUMIF($C$60:$C$841,"&lt;="&amp;DATE($C42,12,31),$H$60:$H$841)-SUM(H$25:H41)</f>
        <v>324537.38999999966</v>
      </c>
      <c r="I42" s="545">
        <f t="shared" si="2"/>
        <v>5412305.3199999975</v>
      </c>
      <c r="K42" s="547">
        <f t="shared" si="0"/>
        <v>5412305.3199999975</v>
      </c>
    </row>
    <row r="43" spans="2:11">
      <c r="B43" s="548"/>
      <c r="C43" s="544">
        <f t="shared" si="1"/>
        <v>2043</v>
      </c>
      <c r="D43" s="545">
        <f>SUMIF($C$60:$C$841,"&lt;="&amp;DATE($C43,12,31),$D$60:$D$841)-SUM(D$25:D42)</f>
        <v>525326.88000000082</v>
      </c>
      <c r="E43" s="545">
        <f>SUMIF($C$60:$C$841,"&lt;="&amp;DATE($C43,12,31),$E$60:$E$841)-SUM(E$25:E42)</f>
        <v>0</v>
      </c>
      <c r="F43" s="546"/>
      <c r="G43" s="545">
        <f>SUMIF($C$60:$C$841,"&lt;="&amp;DATE($C43,12,31),$G$60:$G$841)-SUM(G$25:G42)</f>
        <v>189430.69000000041</v>
      </c>
      <c r="H43" s="545">
        <f>SUMIF($C$60:$C$841,"&lt;="&amp;DATE($C43,12,31),$H$60:$H$841)-SUM(H$25:H42)</f>
        <v>335896.19000000041</v>
      </c>
      <c r="I43" s="545">
        <f t="shared" si="2"/>
        <v>5076409.1299999971</v>
      </c>
      <c r="K43" s="547">
        <f t="shared" si="0"/>
        <v>5076409.1299999971</v>
      </c>
    </row>
    <row r="44" spans="2:11">
      <c r="B44" s="548"/>
      <c r="C44" s="544">
        <f t="shared" si="1"/>
        <v>2044</v>
      </c>
      <c r="D44" s="545">
        <f>SUMIF($C$60:$C$841,"&lt;="&amp;DATE($C44,12,31),$D$60:$D$841)-SUM(D$25:D43)</f>
        <v>525326.88000000082</v>
      </c>
      <c r="E44" s="545">
        <f>SUMIF($C$60:$C$841,"&lt;="&amp;DATE($C44,12,31),$E$60:$E$841)-SUM(E$25:E43)</f>
        <v>0</v>
      </c>
      <c r="F44" s="546"/>
      <c r="G44" s="545">
        <f>SUMIF($C$60:$C$841,"&lt;="&amp;DATE($C44,12,31),$G$60:$G$841)-SUM(G$25:G43)</f>
        <v>177674.3200000003</v>
      </c>
      <c r="H44" s="545">
        <f>SUMIF($C$60:$C$841,"&lt;="&amp;DATE($C44,12,31),$H$60:$H$841)-SUM(H$25:H43)</f>
        <v>347652.55999999959</v>
      </c>
      <c r="I44" s="545">
        <f t="shared" si="2"/>
        <v>4728756.5699999975</v>
      </c>
      <c r="K44" s="547">
        <f t="shared" si="0"/>
        <v>4728756.5699999975</v>
      </c>
    </row>
    <row r="45" spans="2:11">
      <c r="B45" s="548"/>
      <c r="C45" s="544">
        <f t="shared" si="1"/>
        <v>2045</v>
      </c>
      <c r="D45" s="545">
        <f>SUMIF($C$60:$C$841,"&lt;="&amp;DATE($C45,12,31),$D$60:$D$841)-SUM(D$25:D44)</f>
        <v>525326.88000000082</v>
      </c>
      <c r="E45" s="545">
        <f>SUMIF($C$60:$C$841,"&lt;="&amp;DATE($C45,12,31),$E$60:$E$841)-SUM(E$25:E44)</f>
        <v>0</v>
      </c>
      <c r="F45" s="546"/>
      <c r="G45" s="545">
        <f>SUMIF($C$60:$C$841,"&lt;="&amp;DATE($C45,12,31),$G$60:$G$841)-SUM(G$25:G44)</f>
        <v>165506.48000000045</v>
      </c>
      <c r="H45" s="545">
        <f>SUMIF($C$60:$C$841,"&lt;="&amp;DATE($C45,12,31),$H$60:$H$841)-SUM(H$25:H44)</f>
        <v>359820.40000000037</v>
      </c>
      <c r="I45" s="545">
        <f t="shared" si="2"/>
        <v>4368936.1699999971</v>
      </c>
      <c r="K45" s="547">
        <f t="shared" si="0"/>
        <v>4368936.1699999971</v>
      </c>
    </row>
    <row r="46" spans="2:11">
      <c r="B46" s="548"/>
      <c r="C46" s="544">
        <f t="shared" si="1"/>
        <v>2046</v>
      </c>
      <c r="D46" s="545">
        <f>SUMIF($C$60:$C$841,"&lt;="&amp;DATE($C46,12,31),$D$60:$D$841)-SUM(D$25:D45)</f>
        <v>525326.88000000082</v>
      </c>
      <c r="E46" s="545">
        <f>SUMIF($C$60:$C$841,"&lt;="&amp;DATE($C46,12,31),$E$60:$E$841)-SUM(E$25:E45)</f>
        <v>0</v>
      </c>
      <c r="F46" s="546"/>
      <c r="G46" s="545">
        <f>SUMIF($C$60:$C$841,"&lt;="&amp;DATE($C46,12,31),$G$60:$G$841)-SUM(G$25:G45)</f>
        <v>152912.76999999955</v>
      </c>
      <c r="H46" s="545">
        <f>SUMIF($C$60:$C$841,"&lt;="&amp;DATE($C46,12,31),$H$60:$H$841)-SUM(H$25:H45)</f>
        <v>372414.11000000034</v>
      </c>
      <c r="I46" s="545">
        <f t="shared" si="2"/>
        <v>3996522.0599999968</v>
      </c>
      <c r="K46" s="547">
        <f t="shared" si="0"/>
        <v>3996522.0599999968</v>
      </c>
    </row>
    <row r="47" spans="2:11">
      <c r="B47" s="548"/>
      <c r="C47" s="544">
        <f t="shared" si="1"/>
        <v>2047</v>
      </c>
      <c r="D47" s="545">
        <f>SUMIF($C$60:$C$841,"&lt;="&amp;DATE($C47,12,31),$D$60:$D$841)-SUM(D$25:D46)</f>
        <v>525326.88000000082</v>
      </c>
      <c r="E47" s="545">
        <f>SUMIF($C$60:$C$841,"&lt;="&amp;DATE($C47,12,31),$E$60:$E$841)-SUM(E$25:E46)</f>
        <v>0</v>
      </c>
      <c r="F47" s="546"/>
      <c r="G47" s="545">
        <f>SUMIF($C$60:$C$841,"&lt;="&amp;DATE($C47,12,31),$G$60:$G$841)-SUM(G$25:G46)</f>
        <v>139878.26999999955</v>
      </c>
      <c r="H47" s="545">
        <f>SUMIF($C$60:$C$841,"&lt;="&amp;DATE($C47,12,31),$H$60:$H$841)-SUM(H$25:H46)</f>
        <v>385448.61000000034</v>
      </c>
      <c r="I47" s="545">
        <f t="shared" si="2"/>
        <v>3611073.4499999965</v>
      </c>
      <c r="K47" s="547">
        <f t="shared" si="0"/>
        <v>3611073.4499999965</v>
      </c>
    </row>
    <row r="48" spans="2:11">
      <c r="B48" s="548"/>
      <c r="C48" s="544">
        <f t="shared" si="1"/>
        <v>2048</v>
      </c>
      <c r="D48" s="545">
        <f>SUMIF($C$60:$C$841,"&lt;="&amp;DATE($C48,12,31),$D$60:$D$841)-SUM(D$25:D47)</f>
        <v>525326.88000000082</v>
      </c>
      <c r="E48" s="545">
        <f>SUMIF($C$60:$C$841,"&lt;="&amp;DATE($C48,12,31),$E$60:$E$841)-SUM(E$25:E47)</f>
        <v>0</v>
      </c>
      <c r="F48" s="546"/>
      <c r="G48" s="545">
        <f>SUMIF($C$60:$C$841,"&lt;="&amp;DATE($C48,12,31),$G$60:$G$841)-SUM(G$25:G47)</f>
        <v>126387.5700000003</v>
      </c>
      <c r="H48" s="545">
        <f>SUMIF($C$60:$C$841,"&lt;="&amp;DATE($C48,12,31),$H$60:$H$841)-SUM(H$25:H47)</f>
        <v>398939.30999999959</v>
      </c>
      <c r="I48" s="545">
        <f t="shared" si="2"/>
        <v>3212134.1399999969</v>
      </c>
      <c r="K48" s="547">
        <f t="shared" si="0"/>
        <v>3212134.1399999969</v>
      </c>
    </row>
    <row r="49" spans="2:11">
      <c r="B49" s="548"/>
      <c r="C49" s="544">
        <f t="shared" si="1"/>
        <v>2049</v>
      </c>
      <c r="D49" s="545">
        <f>SUMIF($C$60:$C$841,"&lt;="&amp;DATE($C49,12,31),$D$60:$D$841)-SUM(D$25:D48)</f>
        <v>525326.88000000082</v>
      </c>
      <c r="E49" s="545">
        <f>SUMIF($C$60:$C$841,"&lt;="&amp;DATE($C49,12,31),$E$60:$E$841)-SUM(E$25:E48)</f>
        <v>0</v>
      </c>
      <c r="F49" s="546"/>
      <c r="G49" s="545">
        <f>SUMIF($C$60:$C$841,"&lt;="&amp;DATE($C49,12,31),$G$60:$G$841)-SUM(G$25:G48)</f>
        <v>112424.69000000041</v>
      </c>
      <c r="H49" s="545">
        <f>SUMIF($C$60:$C$841,"&lt;="&amp;DATE($C49,12,31),$H$60:$H$841)-SUM(H$25:H48)</f>
        <v>412902.19000000041</v>
      </c>
      <c r="I49" s="545">
        <f t="shared" si="2"/>
        <v>2799231.9499999965</v>
      </c>
      <c r="K49" s="547">
        <f t="shared" si="0"/>
        <v>2799231.9499999965</v>
      </c>
    </row>
    <row r="50" spans="2:11">
      <c r="B50" s="548"/>
      <c r="C50" s="544">
        <f t="shared" si="1"/>
        <v>2050</v>
      </c>
      <c r="D50" s="545">
        <f>SUMIF($C$60:$C$841,"&lt;="&amp;DATE($C50,12,31),$D$60:$D$841)-SUM(D$25:D49)</f>
        <v>525326.88000000082</v>
      </c>
      <c r="E50" s="545">
        <f>SUMIF($C$60:$C$841,"&lt;="&amp;DATE($C50,12,31),$E$60:$E$841)-SUM(E$25:E49)</f>
        <v>0</v>
      </c>
      <c r="F50" s="546"/>
      <c r="G50" s="545">
        <f>SUMIF($C$60:$C$841,"&lt;="&amp;DATE($C50,12,31),$G$60:$G$841)-SUM(G$25:G49)</f>
        <v>97973.120000000112</v>
      </c>
      <c r="H50" s="545">
        <f>SUMIF($C$60:$C$841,"&lt;="&amp;DATE($C50,12,31),$H$60:$H$841)-SUM(H$25:H49)</f>
        <v>427353.75999999978</v>
      </c>
      <c r="I50" s="545">
        <f t="shared" si="2"/>
        <v>2371878.1899999967</v>
      </c>
      <c r="K50" s="547">
        <f t="shared" si="0"/>
        <v>2371878.1899999967</v>
      </c>
    </row>
    <row r="51" spans="2:11">
      <c r="B51" s="548"/>
      <c r="C51" s="544">
        <f t="shared" si="1"/>
        <v>2051</v>
      </c>
      <c r="D51" s="545">
        <f>SUMIF($C$60:$C$841,"&lt;="&amp;DATE($C51,12,31),$D$60:$D$841)-SUM(D$25:D50)</f>
        <v>525326.88000000082</v>
      </c>
      <c r="E51" s="545">
        <f>SUMIF($C$60:$C$841,"&lt;="&amp;DATE($C51,12,31),$E$60:$E$841)-SUM(E$25:E50)</f>
        <v>0</v>
      </c>
      <c r="F51" s="546"/>
      <c r="G51" s="545">
        <f>SUMIF($C$60:$C$841,"&lt;="&amp;DATE($C51,12,31),$G$60:$G$841)-SUM(G$25:G50)</f>
        <v>83015.740000000224</v>
      </c>
      <c r="H51" s="545">
        <f>SUMIF($C$60:$C$841,"&lt;="&amp;DATE($C51,12,31),$H$60:$H$841)-SUM(H$25:H50)</f>
        <v>442311.13999999966</v>
      </c>
      <c r="I51" s="545">
        <f t="shared" si="2"/>
        <v>1929567.049999997</v>
      </c>
      <c r="K51" s="547">
        <f t="shared" si="0"/>
        <v>1929567.049999997</v>
      </c>
    </row>
    <row r="52" spans="2:11">
      <c r="B52" s="548"/>
      <c r="C52" s="544">
        <f t="shared" si="1"/>
        <v>2052</v>
      </c>
      <c r="D52" s="545">
        <f>SUMIF($C$60:$C$841,"&lt;="&amp;DATE($C52,12,31),$D$60:$D$841)-SUM(D$25:D51)</f>
        <v>525326.88000000082</v>
      </c>
      <c r="E52" s="545">
        <f>SUMIF($C$60:$C$841,"&lt;="&amp;DATE($C52,12,31),$E$60:$E$841)-SUM(E$25:E51)</f>
        <v>0</v>
      </c>
      <c r="F52" s="546"/>
      <c r="G52" s="545">
        <f>SUMIF($C$60:$C$841,"&lt;="&amp;DATE($C52,12,31),$G$60:$G$841)-SUM(G$25:G51)</f>
        <v>67534.849999999627</v>
      </c>
      <c r="H52" s="545">
        <f>SUMIF($C$60:$C$841,"&lt;="&amp;DATE($C52,12,31),$H$60:$H$841)-SUM(H$25:H51)</f>
        <v>457792.03000000026</v>
      </c>
      <c r="I52" s="545">
        <f t="shared" si="2"/>
        <v>1471775.0199999968</v>
      </c>
      <c r="K52" s="547">
        <f t="shared" si="0"/>
        <v>1471775.0199999968</v>
      </c>
    </row>
    <row r="53" spans="2:11">
      <c r="B53" s="548"/>
      <c r="C53" s="544">
        <f t="shared" si="1"/>
        <v>2053</v>
      </c>
      <c r="D53" s="545">
        <f>SUMIF($C$60:$C$841,"&lt;="&amp;DATE($C53,12,31),$D$60:$D$841)-SUM(D$25:D52)</f>
        <v>525326.88000000082</v>
      </c>
      <c r="E53" s="545">
        <f>SUMIF($C$60:$C$841,"&lt;="&amp;DATE($C53,12,31),$E$60:$E$841)-SUM(E$25:E52)</f>
        <v>0</v>
      </c>
      <c r="F53" s="546"/>
      <c r="G53" s="545">
        <f>SUMIF($C$60:$C$841,"&lt;="&amp;DATE($C53,12,31),$G$60:$G$841)-SUM(G$25:G52)</f>
        <v>51512.129999999888</v>
      </c>
      <c r="H53" s="545">
        <f>SUMIF($C$60:$C$841,"&lt;="&amp;DATE($C53,12,31),$H$60:$H$841)-SUM(H$25:H52)</f>
        <v>473814.75</v>
      </c>
      <c r="I53" s="545">
        <f t="shared" si="2"/>
        <v>997960.26999999676</v>
      </c>
      <c r="K53" s="547">
        <f t="shared" si="0"/>
        <v>997960.26999999676</v>
      </c>
    </row>
    <row r="54" spans="2:11">
      <c r="B54" s="548"/>
      <c r="C54" s="544">
        <f t="shared" si="1"/>
        <v>2054</v>
      </c>
      <c r="D54" s="545">
        <f>SUMIF($C$60:$C$841,"&lt;="&amp;DATE($C54,12,31),$D$60:$D$841)-SUM(D$25:D53)</f>
        <v>525326.88000000082</v>
      </c>
      <c r="E54" s="545">
        <f>SUMIF($C$60:$C$841,"&lt;="&amp;DATE($C54,12,31),$E$60:$E$841)-SUM(E$25:E53)</f>
        <v>0</v>
      </c>
      <c r="F54" s="546"/>
      <c r="G54" s="545">
        <f>SUMIF($C$60:$C$841,"&lt;="&amp;DATE($C54,12,31),$G$60:$G$841)-SUM(G$25:G53)</f>
        <v>34928.610000000335</v>
      </c>
      <c r="H54" s="545">
        <f>SUMIF($C$60:$C$841,"&lt;="&amp;DATE($C54,12,31),$H$60:$H$841)-SUM(H$25:H53)</f>
        <v>490398.26999999955</v>
      </c>
      <c r="I54" s="545">
        <f t="shared" si="2"/>
        <v>507561.99999999721</v>
      </c>
      <c r="K54" s="547">
        <f t="shared" si="0"/>
        <v>507561.99999999721</v>
      </c>
    </row>
    <row r="55" spans="2:11">
      <c r="B55" s="548"/>
      <c r="C55" s="544">
        <f t="shared" si="1"/>
        <v>2055</v>
      </c>
      <c r="D55" s="545">
        <f>SUMIF($C$60:$C$841,"&lt;="&amp;DATE($C55,12,31),$D$60:$D$841)-SUM(D$25:D54)</f>
        <v>525326.66999999993</v>
      </c>
      <c r="E55" s="545">
        <f>SUMIF($C$60:$C$841,"&lt;="&amp;DATE($C55,12,31),$E$60:$E$841)-SUM(E$25:E54)</f>
        <v>0</v>
      </c>
      <c r="F55" s="546"/>
      <c r="G55" s="545">
        <f>SUMIF($C$60:$C$841,"&lt;="&amp;DATE($C55,12,31),$G$60:$G$841)-SUM(G$25:G54)</f>
        <v>17764.669999999925</v>
      </c>
      <c r="H55" s="545">
        <f>SUMIF($C$60:$C$841,"&lt;="&amp;DATE($C55,12,31),$H$60:$H$841)-SUM(H$25:H54)</f>
        <v>507562</v>
      </c>
      <c r="I55" s="545">
        <f t="shared" si="2"/>
        <v>-2.7939677238464355E-9</v>
      </c>
      <c r="K55" s="547"/>
    </row>
    <row r="56" spans="2:11">
      <c r="B56" s="548"/>
      <c r="C56" s="544">
        <f t="shared" si="1"/>
        <v>2056</v>
      </c>
      <c r="D56" s="545">
        <f>SUMIF($C$60:$C$841,"&lt;="&amp;DATE($C56,12,31),$D$60:$D$841)-SUM(D$25:D55)</f>
        <v>0</v>
      </c>
      <c r="E56" s="545">
        <f>SUMIF($C$60:$C$841,"&lt;="&amp;DATE($C56,12,31),$E$60:$E$841)-SUM(E$25:E55)</f>
        <v>0</v>
      </c>
      <c r="F56" s="546"/>
      <c r="G56" s="545">
        <f>SUMIF($C$60:$C$841,"&lt;="&amp;DATE($C56,12,31),$G$60:$G$841)-SUM(G$25:G55)</f>
        <v>0</v>
      </c>
      <c r="H56" s="545">
        <f>SUMIF($C$60:$C$841,"&lt;="&amp;DATE($C56,12,31),$H$60:$H$841)-SUM(H$25:H55)</f>
        <v>0</v>
      </c>
      <c r="I56" s="545">
        <f t="shared" si="2"/>
        <v>-2.7939677238464355E-9</v>
      </c>
    </row>
    <row r="57" spans="2:11">
      <c r="I57" s="531"/>
    </row>
    <row r="58" spans="2:11" ht="15">
      <c r="B58" s="534" t="s">
        <v>707</v>
      </c>
      <c r="C58" s="534"/>
      <c r="D58" s="534"/>
      <c r="E58" s="534"/>
      <c r="F58" s="534"/>
      <c r="G58" s="534"/>
      <c r="H58" s="534"/>
    </row>
    <row r="59" spans="2:11" ht="26.25" thickBot="1">
      <c r="B59" s="549" t="s">
        <v>708</v>
      </c>
      <c r="C59" s="550" t="s">
        <v>709</v>
      </c>
      <c r="D59" s="550" t="s">
        <v>710</v>
      </c>
      <c r="E59" s="550" t="s">
        <v>711</v>
      </c>
      <c r="F59" s="537"/>
      <c r="G59" s="551" t="s">
        <v>45</v>
      </c>
      <c r="H59" s="551" t="s">
        <v>44</v>
      </c>
      <c r="I59" s="551" t="s">
        <v>492</v>
      </c>
    </row>
    <row r="60" spans="2:11">
      <c r="B60" s="552"/>
      <c r="C60" s="553"/>
      <c r="D60" s="552"/>
      <c r="E60" s="552"/>
      <c r="F60" s="552"/>
      <c r="G60" s="554"/>
      <c r="H60" s="554"/>
      <c r="I60" s="554">
        <f>$E$6</f>
        <v>10000000</v>
      </c>
    </row>
    <row r="61" spans="2:11">
      <c r="B61" s="555">
        <f t="shared" ref="B61:B124" si="3">IF(I60="","",IF(roundOpt,IF(OR(B60&gt;=nper,ROUND(I60,2)&lt;=0),"",B60+1),IF(OR(B60&gt;=nper,I60&lt;=0),"",B60+1)))</f>
        <v>1</v>
      </c>
      <c r="C61" s="556">
        <f t="shared" ref="C61:C124" si="4">IF(B61="","",IF(OR(periods_per_year=26,periods_per_year=52),IF(periods_per_year=26,IF(B61=1,fpdate,C60+14),IF(periods_per_year=52,IF(B61=1,fpdate,C60+7),"n/a")),IF(periods_per_year=24,DATE(YEAR(fpdate),MONTH(fpdate)+(B61-1)/2+IF(AND(DAY(fpdate)&gt;=15,MOD(B61,2)=0),1,0),IF(MOD(B61,2)=0,IF(DAY(fpdate)&gt;=15,DAY(fpdate)-14,DAY(fpdate)+14),DAY(fpdate))),IF(DAY(DATE(YEAR(fpdate),MONTH(fpdate)+(B61-1)*months_per_period,DAY(fpdate)))&lt;&gt;DAY(fpdate),DATE(YEAR(fpdate),MONTH(fpdate)+(B61-1)*months_per_period+1,0),DATE(YEAR(fpdate),MONTH(fpdate)+(B61-1)*months_per_period,DAY(fpdate))))))</f>
        <v>46204</v>
      </c>
      <c r="D61" s="557">
        <f t="shared" ref="D61:D124" si="5">IF(B61="","",IF(roundOpt,IF(OR(B61=nper,payment&gt;ROUND((1+rate)*I60,2)),ROUND((1+rate)*I60,2),payment),IF(OR(B61=nper,payment&gt;(1+rate)*I60),(1+rate)*I60,payment)))</f>
        <v>525326.88</v>
      </c>
      <c r="E61" s="558"/>
      <c r="F61" s="559"/>
      <c r="G61" s="559">
        <f t="shared" ref="G61:G124" si="6">IF(B61="","",IF(AND(B61=1,pmtType=1),0,IF(roundOpt,ROUND(rate*I60,2),rate*I60)))</f>
        <v>0</v>
      </c>
      <c r="H61" s="559">
        <f t="shared" ref="H61:H124" si="7">IF(B61="","",D61-G61+E61)</f>
        <v>525326.88</v>
      </c>
      <c r="I61" s="559">
        <f t="shared" ref="I61:I124" si="8">IF(B61="","",I60-H61)</f>
        <v>9474673.1199999992</v>
      </c>
    </row>
    <row r="62" spans="2:11">
      <c r="B62" s="555">
        <f t="shared" si="3"/>
        <v>2</v>
      </c>
      <c r="C62" s="556">
        <f t="shared" si="4"/>
        <v>46569</v>
      </c>
      <c r="D62" s="557">
        <f t="shared" si="5"/>
        <v>525326.88</v>
      </c>
      <c r="E62" s="560"/>
      <c r="F62" s="559"/>
      <c r="G62" s="559">
        <f t="shared" si="6"/>
        <v>331613.56</v>
      </c>
      <c r="H62" s="559">
        <f t="shared" si="7"/>
        <v>193713.32</v>
      </c>
      <c r="I62" s="559">
        <f t="shared" si="8"/>
        <v>9280959.7999999989</v>
      </c>
    </row>
    <row r="63" spans="2:11">
      <c r="B63" s="555">
        <f t="shared" si="3"/>
        <v>3</v>
      </c>
      <c r="C63" s="556">
        <f t="shared" si="4"/>
        <v>46935</v>
      </c>
      <c r="D63" s="557">
        <f t="shared" si="5"/>
        <v>525326.88</v>
      </c>
      <c r="E63" s="560"/>
      <c r="F63" s="559"/>
      <c r="G63" s="559">
        <f t="shared" si="6"/>
        <v>324833.59000000003</v>
      </c>
      <c r="H63" s="559">
        <f t="shared" si="7"/>
        <v>200493.28999999998</v>
      </c>
      <c r="I63" s="559">
        <f t="shared" si="8"/>
        <v>9080466.5099999998</v>
      </c>
    </row>
    <row r="64" spans="2:11">
      <c r="B64" s="555">
        <f t="shared" si="3"/>
        <v>4</v>
      </c>
      <c r="C64" s="556">
        <f t="shared" si="4"/>
        <v>47300</v>
      </c>
      <c r="D64" s="557">
        <f t="shared" si="5"/>
        <v>525326.88</v>
      </c>
      <c r="E64" s="560"/>
      <c r="F64" s="559"/>
      <c r="G64" s="559">
        <f t="shared" si="6"/>
        <v>317816.33</v>
      </c>
      <c r="H64" s="559">
        <f t="shared" si="7"/>
        <v>207510.55</v>
      </c>
      <c r="I64" s="559">
        <f t="shared" si="8"/>
        <v>8872955.959999999</v>
      </c>
    </row>
    <row r="65" spans="2:10" ht="15">
      <c r="B65" s="555">
        <f t="shared" si="3"/>
        <v>5</v>
      </c>
      <c r="C65" s="556">
        <f t="shared" si="4"/>
        <v>47665</v>
      </c>
      <c r="D65" s="557">
        <f t="shared" si="5"/>
        <v>525326.88</v>
      </c>
      <c r="E65" s="560"/>
      <c r="F65" s="559"/>
      <c r="G65" s="559">
        <f t="shared" si="6"/>
        <v>310553.46000000002</v>
      </c>
      <c r="H65" s="559">
        <f t="shared" si="7"/>
        <v>214773.41999999998</v>
      </c>
      <c r="I65" s="559">
        <f t="shared" si="8"/>
        <v>8658182.5399999991</v>
      </c>
      <c r="J65" s="561"/>
    </row>
    <row r="66" spans="2:10" ht="15">
      <c r="B66" s="555">
        <f t="shared" si="3"/>
        <v>6</v>
      </c>
      <c r="C66" s="556">
        <f t="shared" si="4"/>
        <v>48030</v>
      </c>
      <c r="D66" s="557">
        <f t="shared" si="5"/>
        <v>525326.88</v>
      </c>
      <c r="E66" s="560"/>
      <c r="F66" s="559"/>
      <c r="G66" s="559">
        <f t="shared" si="6"/>
        <v>303036.39</v>
      </c>
      <c r="H66" s="559">
        <f t="shared" si="7"/>
        <v>222290.49</v>
      </c>
      <c r="I66" s="559">
        <f t="shared" si="8"/>
        <v>8435892.0499999989</v>
      </c>
      <c r="J66" s="561"/>
    </row>
    <row r="67" spans="2:10" ht="15">
      <c r="B67" s="555">
        <f t="shared" si="3"/>
        <v>7</v>
      </c>
      <c r="C67" s="556">
        <f t="shared" si="4"/>
        <v>48396</v>
      </c>
      <c r="D67" s="557">
        <f t="shared" si="5"/>
        <v>525326.88</v>
      </c>
      <c r="E67" s="560"/>
      <c r="F67" s="559"/>
      <c r="G67" s="559">
        <f t="shared" si="6"/>
        <v>295256.21999999997</v>
      </c>
      <c r="H67" s="559">
        <f t="shared" si="7"/>
        <v>230070.66000000003</v>
      </c>
      <c r="I67" s="559">
        <f t="shared" si="8"/>
        <v>8205821.3899999987</v>
      </c>
      <c r="J67" s="562"/>
    </row>
    <row r="68" spans="2:10">
      <c r="B68" s="555">
        <f t="shared" si="3"/>
        <v>8</v>
      </c>
      <c r="C68" s="556">
        <f t="shared" si="4"/>
        <v>48761</v>
      </c>
      <c r="D68" s="557">
        <f t="shared" si="5"/>
        <v>525326.88</v>
      </c>
      <c r="E68" s="560"/>
      <c r="F68" s="559"/>
      <c r="G68" s="559">
        <f t="shared" si="6"/>
        <v>287203.75</v>
      </c>
      <c r="H68" s="559">
        <f t="shared" si="7"/>
        <v>238123.13</v>
      </c>
      <c r="I68" s="559">
        <f t="shared" si="8"/>
        <v>7967698.2599999988</v>
      </c>
    </row>
    <row r="69" spans="2:10">
      <c r="B69" s="555">
        <f t="shared" si="3"/>
        <v>9</v>
      </c>
      <c r="C69" s="556">
        <f t="shared" si="4"/>
        <v>49126</v>
      </c>
      <c r="D69" s="557">
        <f t="shared" si="5"/>
        <v>525326.88</v>
      </c>
      <c r="E69" s="560"/>
      <c r="F69" s="559"/>
      <c r="G69" s="559">
        <f t="shared" si="6"/>
        <v>278869.44</v>
      </c>
      <c r="H69" s="559">
        <f t="shared" si="7"/>
        <v>246457.44</v>
      </c>
      <c r="I69" s="559">
        <f t="shared" si="8"/>
        <v>7721240.8199999984</v>
      </c>
    </row>
    <row r="70" spans="2:10">
      <c r="B70" s="555">
        <f t="shared" si="3"/>
        <v>10</v>
      </c>
      <c r="C70" s="556">
        <f t="shared" si="4"/>
        <v>49491</v>
      </c>
      <c r="D70" s="557">
        <f t="shared" si="5"/>
        <v>525326.88</v>
      </c>
      <c r="E70" s="560"/>
      <c r="F70" s="559"/>
      <c r="G70" s="559">
        <f t="shared" si="6"/>
        <v>270243.43</v>
      </c>
      <c r="H70" s="559">
        <f t="shared" si="7"/>
        <v>255083.45</v>
      </c>
      <c r="I70" s="559">
        <f t="shared" si="8"/>
        <v>7466157.3699999982</v>
      </c>
    </row>
    <row r="71" spans="2:10">
      <c r="B71" s="555">
        <f t="shared" si="3"/>
        <v>11</v>
      </c>
      <c r="C71" s="556">
        <f t="shared" si="4"/>
        <v>49857</v>
      </c>
      <c r="D71" s="557">
        <f t="shared" si="5"/>
        <v>525326.88</v>
      </c>
      <c r="E71" s="560"/>
      <c r="F71" s="559"/>
      <c r="G71" s="559">
        <f t="shared" si="6"/>
        <v>261315.51</v>
      </c>
      <c r="H71" s="559">
        <f t="shared" si="7"/>
        <v>264011.37</v>
      </c>
      <c r="I71" s="559">
        <f t="shared" si="8"/>
        <v>7202145.9999999981</v>
      </c>
    </row>
    <row r="72" spans="2:10">
      <c r="B72" s="555">
        <f t="shared" si="3"/>
        <v>12</v>
      </c>
      <c r="C72" s="556">
        <f t="shared" si="4"/>
        <v>50222</v>
      </c>
      <c r="D72" s="557">
        <f t="shared" si="5"/>
        <v>525326.88</v>
      </c>
      <c r="E72" s="560"/>
      <c r="F72" s="559"/>
      <c r="G72" s="559">
        <f t="shared" si="6"/>
        <v>252075.11</v>
      </c>
      <c r="H72" s="559">
        <f t="shared" si="7"/>
        <v>273251.77</v>
      </c>
      <c r="I72" s="559">
        <f t="shared" si="8"/>
        <v>6928894.2299999986</v>
      </c>
    </row>
    <row r="73" spans="2:10">
      <c r="B73" s="555">
        <f t="shared" si="3"/>
        <v>13</v>
      </c>
      <c r="C73" s="556">
        <f t="shared" si="4"/>
        <v>50587</v>
      </c>
      <c r="D73" s="557">
        <f t="shared" si="5"/>
        <v>525326.88</v>
      </c>
      <c r="E73" s="560"/>
      <c r="F73" s="559"/>
      <c r="G73" s="559">
        <f t="shared" si="6"/>
        <v>242511.3</v>
      </c>
      <c r="H73" s="559">
        <f t="shared" si="7"/>
        <v>282815.58</v>
      </c>
      <c r="I73" s="559">
        <f t="shared" si="8"/>
        <v>6646078.6499999985</v>
      </c>
    </row>
    <row r="74" spans="2:10">
      <c r="B74" s="555">
        <f t="shared" si="3"/>
        <v>14</v>
      </c>
      <c r="C74" s="556">
        <f t="shared" si="4"/>
        <v>50952</v>
      </c>
      <c r="D74" s="557">
        <f t="shared" si="5"/>
        <v>525326.88</v>
      </c>
      <c r="E74" s="560"/>
      <c r="F74" s="559"/>
      <c r="G74" s="559">
        <f t="shared" si="6"/>
        <v>232612.75</v>
      </c>
      <c r="H74" s="559">
        <f t="shared" si="7"/>
        <v>292714.13</v>
      </c>
      <c r="I74" s="559">
        <f t="shared" si="8"/>
        <v>6353364.5199999986</v>
      </c>
    </row>
    <row r="75" spans="2:10">
      <c r="B75" s="555">
        <f t="shared" si="3"/>
        <v>15</v>
      </c>
      <c r="C75" s="556">
        <f t="shared" si="4"/>
        <v>51318</v>
      </c>
      <c r="D75" s="557">
        <f t="shared" si="5"/>
        <v>525326.88</v>
      </c>
      <c r="E75" s="560"/>
      <c r="F75" s="559"/>
      <c r="G75" s="559">
        <f t="shared" si="6"/>
        <v>222367.76</v>
      </c>
      <c r="H75" s="559">
        <f t="shared" si="7"/>
        <v>302959.12</v>
      </c>
      <c r="I75" s="559">
        <f t="shared" si="8"/>
        <v>6050405.3999999985</v>
      </c>
    </row>
    <row r="76" spans="2:10">
      <c r="B76" s="555">
        <f t="shared" si="3"/>
        <v>16</v>
      </c>
      <c r="C76" s="556">
        <f t="shared" si="4"/>
        <v>51683</v>
      </c>
      <c r="D76" s="557">
        <f t="shared" si="5"/>
        <v>525326.88</v>
      </c>
      <c r="E76" s="560"/>
      <c r="F76" s="559"/>
      <c r="G76" s="559">
        <f t="shared" si="6"/>
        <v>211764.19</v>
      </c>
      <c r="H76" s="559">
        <f t="shared" si="7"/>
        <v>313562.69</v>
      </c>
      <c r="I76" s="559">
        <f t="shared" si="8"/>
        <v>5736842.7099999981</v>
      </c>
    </row>
    <row r="77" spans="2:10">
      <c r="B77" s="555">
        <f t="shared" si="3"/>
        <v>17</v>
      </c>
      <c r="C77" s="556">
        <f t="shared" si="4"/>
        <v>52048</v>
      </c>
      <c r="D77" s="557">
        <f t="shared" si="5"/>
        <v>525326.88</v>
      </c>
      <c r="E77" s="560"/>
      <c r="F77" s="559"/>
      <c r="G77" s="559">
        <f t="shared" si="6"/>
        <v>200789.49</v>
      </c>
      <c r="H77" s="559">
        <f t="shared" si="7"/>
        <v>324537.39</v>
      </c>
      <c r="I77" s="559">
        <f t="shared" si="8"/>
        <v>5412305.3199999984</v>
      </c>
    </row>
    <row r="78" spans="2:10">
      <c r="B78" s="555">
        <f t="shared" si="3"/>
        <v>18</v>
      </c>
      <c r="C78" s="556">
        <f t="shared" si="4"/>
        <v>52413</v>
      </c>
      <c r="D78" s="557">
        <f t="shared" si="5"/>
        <v>525326.88</v>
      </c>
      <c r="E78" s="560"/>
      <c r="F78" s="559"/>
      <c r="G78" s="559">
        <f t="shared" si="6"/>
        <v>189430.69</v>
      </c>
      <c r="H78" s="559">
        <f t="shared" si="7"/>
        <v>335896.19</v>
      </c>
      <c r="I78" s="559">
        <f t="shared" si="8"/>
        <v>5076409.129999998</v>
      </c>
    </row>
    <row r="79" spans="2:10">
      <c r="B79" s="555">
        <f t="shared" si="3"/>
        <v>19</v>
      </c>
      <c r="C79" s="556">
        <f t="shared" si="4"/>
        <v>52779</v>
      </c>
      <c r="D79" s="557">
        <f t="shared" si="5"/>
        <v>525326.88</v>
      </c>
      <c r="E79" s="560"/>
      <c r="F79" s="559"/>
      <c r="G79" s="559">
        <f t="shared" si="6"/>
        <v>177674.32</v>
      </c>
      <c r="H79" s="559">
        <f t="shared" si="7"/>
        <v>347652.56</v>
      </c>
      <c r="I79" s="559">
        <f t="shared" si="8"/>
        <v>4728756.5699999984</v>
      </c>
    </row>
    <row r="80" spans="2:10">
      <c r="B80" s="555">
        <f t="shared" si="3"/>
        <v>20</v>
      </c>
      <c r="C80" s="556">
        <f t="shared" si="4"/>
        <v>53144</v>
      </c>
      <c r="D80" s="557">
        <f t="shared" si="5"/>
        <v>525326.88</v>
      </c>
      <c r="E80" s="560"/>
      <c r="F80" s="559"/>
      <c r="G80" s="559">
        <f t="shared" si="6"/>
        <v>165506.48000000001</v>
      </c>
      <c r="H80" s="559">
        <f t="shared" si="7"/>
        <v>359820.4</v>
      </c>
      <c r="I80" s="559">
        <f t="shared" si="8"/>
        <v>4368936.1699999981</v>
      </c>
    </row>
    <row r="81" spans="2:9">
      <c r="B81" s="555">
        <f t="shared" si="3"/>
        <v>21</v>
      </c>
      <c r="C81" s="556">
        <f t="shared" si="4"/>
        <v>53509</v>
      </c>
      <c r="D81" s="557">
        <f t="shared" si="5"/>
        <v>525326.88</v>
      </c>
      <c r="E81" s="560"/>
      <c r="F81" s="559"/>
      <c r="G81" s="559">
        <f t="shared" si="6"/>
        <v>152912.76999999999</v>
      </c>
      <c r="H81" s="559">
        <f t="shared" si="7"/>
        <v>372414.11</v>
      </c>
      <c r="I81" s="559">
        <f t="shared" si="8"/>
        <v>3996522.0599999982</v>
      </c>
    </row>
    <row r="82" spans="2:9">
      <c r="B82" s="555">
        <f t="shared" si="3"/>
        <v>22</v>
      </c>
      <c r="C82" s="556">
        <f t="shared" si="4"/>
        <v>53874</v>
      </c>
      <c r="D82" s="557">
        <f t="shared" si="5"/>
        <v>525326.88</v>
      </c>
      <c r="E82" s="560"/>
      <c r="F82" s="559"/>
      <c r="G82" s="559">
        <f t="shared" si="6"/>
        <v>139878.26999999999</v>
      </c>
      <c r="H82" s="559">
        <f t="shared" si="7"/>
        <v>385448.61</v>
      </c>
      <c r="I82" s="559">
        <f t="shared" si="8"/>
        <v>3611073.4499999983</v>
      </c>
    </row>
    <row r="83" spans="2:9">
      <c r="B83" s="555">
        <f t="shared" si="3"/>
        <v>23</v>
      </c>
      <c r="C83" s="556">
        <f t="shared" si="4"/>
        <v>54240</v>
      </c>
      <c r="D83" s="557">
        <f t="shared" si="5"/>
        <v>525326.88</v>
      </c>
      <c r="E83" s="560"/>
      <c r="F83" s="559"/>
      <c r="G83" s="559">
        <f t="shared" si="6"/>
        <v>126387.57</v>
      </c>
      <c r="H83" s="559">
        <f t="shared" si="7"/>
        <v>398939.31</v>
      </c>
      <c r="I83" s="559">
        <f t="shared" si="8"/>
        <v>3212134.1399999983</v>
      </c>
    </row>
    <row r="84" spans="2:9">
      <c r="B84" s="555">
        <f t="shared" si="3"/>
        <v>24</v>
      </c>
      <c r="C84" s="556">
        <f t="shared" si="4"/>
        <v>54605</v>
      </c>
      <c r="D84" s="557">
        <f t="shared" si="5"/>
        <v>525326.88</v>
      </c>
      <c r="E84" s="560"/>
      <c r="F84" s="559"/>
      <c r="G84" s="559">
        <f t="shared" si="6"/>
        <v>112424.69</v>
      </c>
      <c r="H84" s="559">
        <f t="shared" si="7"/>
        <v>412902.19</v>
      </c>
      <c r="I84" s="559">
        <f t="shared" si="8"/>
        <v>2799231.9499999983</v>
      </c>
    </row>
    <row r="85" spans="2:9">
      <c r="B85" s="555">
        <f t="shared" si="3"/>
        <v>25</v>
      </c>
      <c r="C85" s="556">
        <f t="shared" si="4"/>
        <v>54970</v>
      </c>
      <c r="D85" s="557">
        <f t="shared" si="5"/>
        <v>525326.88</v>
      </c>
      <c r="E85" s="560"/>
      <c r="F85" s="559"/>
      <c r="G85" s="559">
        <f t="shared" si="6"/>
        <v>97973.119999999995</v>
      </c>
      <c r="H85" s="559">
        <f t="shared" si="7"/>
        <v>427353.76</v>
      </c>
      <c r="I85" s="559">
        <f t="shared" si="8"/>
        <v>2371878.1899999985</v>
      </c>
    </row>
    <row r="86" spans="2:9">
      <c r="B86" s="555">
        <f t="shared" si="3"/>
        <v>26</v>
      </c>
      <c r="C86" s="556">
        <f t="shared" si="4"/>
        <v>55335</v>
      </c>
      <c r="D86" s="557">
        <f t="shared" si="5"/>
        <v>525326.88</v>
      </c>
      <c r="E86" s="560"/>
      <c r="F86" s="559"/>
      <c r="G86" s="559">
        <f t="shared" si="6"/>
        <v>83015.740000000005</v>
      </c>
      <c r="H86" s="559">
        <f t="shared" si="7"/>
        <v>442311.14</v>
      </c>
      <c r="I86" s="559">
        <f t="shared" si="8"/>
        <v>1929567.0499999984</v>
      </c>
    </row>
    <row r="87" spans="2:9">
      <c r="B87" s="555">
        <f t="shared" si="3"/>
        <v>27</v>
      </c>
      <c r="C87" s="556">
        <f t="shared" si="4"/>
        <v>55701</v>
      </c>
      <c r="D87" s="557">
        <f t="shared" si="5"/>
        <v>525326.88</v>
      </c>
      <c r="E87" s="560"/>
      <c r="F87" s="559"/>
      <c r="G87" s="559">
        <f t="shared" si="6"/>
        <v>67534.850000000006</v>
      </c>
      <c r="H87" s="559">
        <f t="shared" si="7"/>
        <v>457792.03</v>
      </c>
      <c r="I87" s="559">
        <f t="shared" si="8"/>
        <v>1471775.0199999984</v>
      </c>
    </row>
    <row r="88" spans="2:9">
      <c r="B88" s="555">
        <f t="shared" si="3"/>
        <v>28</v>
      </c>
      <c r="C88" s="556">
        <f t="shared" si="4"/>
        <v>56066</v>
      </c>
      <c r="D88" s="557">
        <f t="shared" si="5"/>
        <v>525326.88</v>
      </c>
      <c r="E88" s="560"/>
      <c r="F88" s="559"/>
      <c r="G88" s="559">
        <f t="shared" si="6"/>
        <v>51512.13</v>
      </c>
      <c r="H88" s="559">
        <f t="shared" si="7"/>
        <v>473814.75</v>
      </c>
      <c r="I88" s="559">
        <f t="shared" si="8"/>
        <v>997960.26999999839</v>
      </c>
    </row>
    <row r="89" spans="2:9">
      <c r="B89" s="555">
        <f t="shared" si="3"/>
        <v>29</v>
      </c>
      <c r="C89" s="556">
        <f t="shared" si="4"/>
        <v>56431</v>
      </c>
      <c r="D89" s="557">
        <f t="shared" si="5"/>
        <v>525326.88</v>
      </c>
      <c r="E89" s="560"/>
      <c r="F89" s="559"/>
      <c r="G89" s="559">
        <f t="shared" si="6"/>
        <v>34928.61</v>
      </c>
      <c r="H89" s="559">
        <f t="shared" si="7"/>
        <v>490398.27</v>
      </c>
      <c r="I89" s="559">
        <f t="shared" si="8"/>
        <v>507561.99999999837</v>
      </c>
    </row>
    <row r="90" spans="2:9">
      <c r="B90" s="555">
        <f t="shared" si="3"/>
        <v>30</v>
      </c>
      <c r="C90" s="556">
        <f t="shared" si="4"/>
        <v>56796</v>
      </c>
      <c r="D90" s="557">
        <f t="shared" si="5"/>
        <v>525326.67000000004</v>
      </c>
      <c r="E90" s="560"/>
      <c r="F90" s="559"/>
      <c r="G90" s="559">
        <f t="shared" si="6"/>
        <v>17764.669999999998</v>
      </c>
      <c r="H90" s="559">
        <f t="shared" si="7"/>
        <v>507562.00000000006</v>
      </c>
      <c r="I90" s="559">
        <f t="shared" si="8"/>
        <v>-1.6880221664905548E-9</v>
      </c>
    </row>
    <row r="91" spans="2:9">
      <c r="B91" s="555"/>
      <c r="C91" s="556"/>
      <c r="D91" s="557"/>
      <c r="E91" s="560"/>
      <c r="F91" s="559"/>
      <c r="G91" s="559"/>
      <c r="H91" s="559"/>
      <c r="I91" s="559"/>
    </row>
    <row r="92" spans="2:9" ht="15.75">
      <c r="B92" s="555"/>
      <c r="C92" s="556"/>
      <c r="D92" s="596" t="s">
        <v>718</v>
      </c>
      <c r="E92" s="597">
        <f>SUM(D32:D56)</f>
        <v>12607844.910000011</v>
      </c>
      <c r="F92" s="559"/>
      <c r="G92" s="559"/>
      <c r="H92" s="559"/>
      <c r="I92" s="559"/>
    </row>
    <row r="93" spans="2:9">
      <c r="B93" s="555"/>
      <c r="C93" s="556"/>
      <c r="D93" s="557"/>
      <c r="E93" s="560"/>
      <c r="F93" s="559"/>
      <c r="G93" s="559"/>
      <c r="H93" s="559"/>
      <c r="I93" s="559"/>
    </row>
    <row r="94" spans="2:9">
      <c r="B94" s="555"/>
      <c r="C94" s="556"/>
      <c r="D94" s="557"/>
      <c r="E94" s="560"/>
      <c r="F94" s="559"/>
      <c r="G94" s="559"/>
      <c r="H94" s="559"/>
      <c r="I94" s="559"/>
    </row>
    <row r="95" spans="2:9">
      <c r="B95" s="555"/>
      <c r="C95" s="556"/>
      <c r="D95" s="557"/>
      <c r="E95" s="560"/>
      <c r="F95" s="559"/>
      <c r="G95" s="559"/>
      <c r="H95" s="559"/>
      <c r="I95" s="559"/>
    </row>
    <row r="96" spans="2:9">
      <c r="B96" s="555"/>
      <c r="C96" s="556"/>
      <c r="D96" s="557"/>
      <c r="E96" s="560"/>
      <c r="F96" s="559"/>
      <c r="G96" s="559"/>
      <c r="H96" s="559"/>
      <c r="I96" s="559"/>
    </row>
    <row r="97" spans="2:9">
      <c r="B97" s="555"/>
      <c r="C97" s="556"/>
      <c r="D97" s="557"/>
      <c r="E97" s="560"/>
      <c r="F97" s="559"/>
      <c r="G97" s="559"/>
      <c r="H97" s="559"/>
      <c r="I97" s="559"/>
    </row>
    <row r="98" spans="2:9">
      <c r="B98" s="555" t="str">
        <f t="shared" si="3"/>
        <v/>
      </c>
      <c r="C98" s="556" t="str">
        <f t="shared" si="4"/>
        <v/>
      </c>
      <c r="D98" s="557" t="str">
        <f t="shared" si="5"/>
        <v/>
      </c>
      <c r="E98" s="560"/>
      <c r="F98" s="559"/>
      <c r="G98" s="559" t="str">
        <f t="shared" si="6"/>
        <v/>
      </c>
      <c r="H98" s="559" t="str">
        <f t="shared" si="7"/>
        <v/>
      </c>
      <c r="I98" s="559" t="str">
        <f t="shared" si="8"/>
        <v/>
      </c>
    </row>
    <row r="99" spans="2:9">
      <c r="B99" s="555" t="str">
        <f t="shared" si="3"/>
        <v/>
      </c>
      <c r="C99" s="556" t="str">
        <f t="shared" si="4"/>
        <v/>
      </c>
      <c r="D99" s="557" t="str">
        <f t="shared" si="5"/>
        <v/>
      </c>
      <c r="E99" s="560"/>
      <c r="F99" s="559"/>
      <c r="G99" s="559" t="str">
        <f t="shared" si="6"/>
        <v/>
      </c>
      <c r="H99" s="559" t="str">
        <f t="shared" si="7"/>
        <v/>
      </c>
      <c r="I99" s="559" t="str">
        <f t="shared" si="8"/>
        <v/>
      </c>
    </row>
    <row r="100" spans="2:9">
      <c r="B100" s="555" t="str">
        <f t="shared" si="3"/>
        <v/>
      </c>
      <c r="C100" s="556" t="str">
        <f t="shared" si="4"/>
        <v/>
      </c>
      <c r="D100" s="557" t="str">
        <f t="shared" si="5"/>
        <v/>
      </c>
      <c r="E100" s="560"/>
      <c r="F100" s="559"/>
      <c r="G100" s="559" t="str">
        <f t="shared" si="6"/>
        <v/>
      </c>
      <c r="H100" s="559" t="str">
        <f t="shared" si="7"/>
        <v/>
      </c>
      <c r="I100" s="559" t="str">
        <f t="shared" si="8"/>
        <v/>
      </c>
    </row>
    <row r="101" spans="2:9">
      <c r="B101" s="555" t="str">
        <f t="shared" si="3"/>
        <v/>
      </c>
      <c r="C101" s="556" t="str">
        <f t="shared" si="4"/>
        <v/>
      </c>
      <c r="D101" s="557" t="str">
        <f t="shared" si="5"/>
        <v/>
      </c>
      <c r="E101" s="560"/>
      <c r="F101" s="559"/>
      <c r="G101" s="559" t="str">
        <f t="shared" si="6"/>
        <v/>
      </c>
      <c r="H101" s="559" t="str">
        <f t="shared" si="7"/>
        <v/>
      </c>
      <c r="I101" s="559" t="str">
        <f t="shared" si="8"/>
        <v/>
      </c>
    </row>
    <row r="102" spans="2:9">
      <c r="B102" s="555" t="str">
        <f t="shared" si="3"/>
        <v/>
      </c>
      <c r="C102" s="556" t="str">
        <f t="shared" si="4"/>
        <v/>
      </c>
      <c r="D102" s="557" t="str">
        <f t="shared" si="5"/>
        <v/>
      </c>
      <c r="E102" s="560"/>
      <c r="F102" s="559"/>
      <c r="G102" s="559" t="str">
        <f t="shared" si="6"/>
        <v/>
      </c>
      <c r="H102" s="559" t="str">
        <f t="shared" si="7"/>
        <v/>
      </c>
      <c r="I102" s="559" t="str">
        <f t="shared" si="8"/>
        <v/>
      </c>
    </row>
    <row r="103" spans="2:9">
      <c r="B103" s="555" t="str">
        <f t="shared" si="3"/>
        <v/>
      </c>
      <c r="C103" s="556" t="str">
        <f t="shared" si="4"/>
        <v/>
      </c>
      <c r="D103" s="557" t="str">
        <f t="shared" si="5"/>
        <v/>
      </c>
      <c r="E103" s="560"/>
      <c r="F103" s="559"/>
      <c r="G103" s="559" t="str">
        <f t="shared" si="6"/>
        <v/>
      </c>
      <c r="H103" s="559" t="str">
        <f t="shared" si="7"/>
        <v/>
      </c>
      <c r="I103" s="559" t="str">
        <f t="shared" si="8"/>
        <v/>
      </c>
    </row>
    <row r="104" spans="2:9">
      <c r="B104" s="555" t="str">
        <f t="shared" si="3"/>
        <v/>
      </c>
      <c r="C104" s="556" t="str">
        <f t="shared" si="4"/>
        <v/>
      </c>
      <c r="D104" s="557" t="str">
        <f t="shared" si="5"/>
        <v/>
      </c>
      <c r="E104" s="560"/>
      <c r="F104" s="559"/>
      <c r="G104" s="559" t="str">
        <f t="shared" si="6"/>
        <v/>
      </c>
      <c r="H104" s="559" t="str">
        <f t="shared" si="7"/>
        <v/>
      </c>
      <c r="I104" s="559" t="str">
        <f t="shared" si="8"/>
        <v/>
      </c>
    </row>
    <row r="105" spans="2:9">
      <c r="B105" s="555" t="str">
        <f t="shared" si="3"/>
        <v/>
      </c>
      <c r="C105" s="556" t="str">
        <f t="shared" si="4"/>
        <v/>
      </c>
      <c r="D105" s="557" t="str">
        <f t="shared" si="5"/>
        <v/>
      </c>
      <c r="E105" s="560"/>
      <c r="F105" s="559"/>
      <c r="G105" s="559" t="str">
        <f t="shared" si="6"/>
        <v/>
      </c>
      <c r="H105" s="559" t="str">
        <f t="shared" si="7"/>
        <v/>
      </c>
      <c r="I105" s="559" t="str">
        <f t="shared" si="8"/>
        <v/>
      </c>
    </row>
    <row r="106" spans="2:9">
      <c r="B106" s="555" t="str">
        <f t="shared" si="3"/>
        <v/>
      </c>
      <c r="C106" s="556" t="str">
        <f t="shared" si="4"/>
        <v/>
      </c>
      <c r="D106" s="557" t="str">
        <f t="shared" si="5"/>
        <v/>
      </c>
      <c r="E106" s="560"/>
      <c r="F106" s="559"/>
      <c r="G106" s="559" t="str">
        <f t="shared" si="6"/>
        <v/>
      </c>
      <c r="H106" s="559" t="str">
        <f t="shared" si="7"/>
        <v/>
      </c>
      <c r="I106" s="559" t="str">
        <f t="shared" si="8"/>
        <v/>
      </c>
    </row>
    <row r="107" spans="2:9">
      <c r="B107" s="555" t="str">
        <f t="shared" si="3"/>
        <v/>
      </c>
      <c r="C107" s="556" t="str">
        <f t="shared" si="4"/>
        <v/>
      </c>
      <c r="D107" s="557" t="str">
        <f t="shared" si="5"/>
        <v/>
      </c>
      <c r="E107" s="560"/>
      <c r="F107" s="559"/>
      <c r="G107" s="559" t="str">
        <f t="shared" si="6"/>
        <v/>
      </c>
      <c r="H107" s="559" t="str">
        <f t="shared" si="7"/>
        <v/>
      </c>
      <c r="I107" s="559" t="str">
        <f t="shared" si="8"/>
        <v/>
      </c>
    </row>
    <row r="108" spans="2:9">
      <c r="B108" s="555" t="str">
        <f t="shared" si="3"/>
        <v/>
      </c>
      <c r="C108" s="556" t="str">
        <f t="shared" si="4"/>
        <v/>
      </c>
      <c r="D108" s="557" t="str">
        <f t="shared" si="5"/>
        <v/>
      </c>
      <c r="E108" s="560"/>
      <c r="F108" s="559"/>
      <c r="G108" s="559" t="str">
        <f t="shared" si="6"/>
        <v/>
      </c>
      <c r="H108" s="559" t="str">
        <f t="shared" si="7"/>
        <v/>
      </c>
      <c r="I108" s="559" t="str">
        <f t="shared" si="8"/>
        <v/>
      </c>
    </row>
    <row r="109" spans="2:9">
      <c r="B109" s="555" t="str">
        <f t="shared" si="3"/>
        <v/>
      </c>
      <c r="C109" s="556" t="str">
        <f t="shared" si="4"/>
        <v/>
      </c>
      <c r="D109" s="557" t="str">
        <f t="shared" si="5"/>
        <v/>
      </c>
      <c r="E109" s="560"/>
      <c r="F109" s="559"/>
      <c r="G109" s="559" t="str">
        <f t="shared" si="6"/>
        <v/>
      </c>
      <c r="H109" s="559" t="str">
        <f t="shared" si="7"/>
        <v/>
      </c>
      <c r="I109" s="559" t="str">
        <f t="shared" si="8"/>
        <v/>
      </c>
    </row>
    <row r="110" spans="2:9">
      <c r="B110" s="555" t="str">
        <f t="shared" si="3"/>
        <v/>
      </c>
      <c r="C110" s="556" t="str">
        <f t="shared" si="4"/>
        <v/>
      </c>
      <c r="D110" s="557" t="str">
        <f t="shared" si="5"/>
        <v/>
      </c>
      <c r="E110" s="560"/>
      <c r="F110" s="559"/>
      <c r="G110" s="559" t="str">
        <f t="shared" si="6"/>
        <v/>
      </c>
      <c r="H110" s="559" t="str">
        <f t="shared" si="7"/>
        <v/>
      </c>
      <c r="I110" s="559" t="str">
        <f t="shared" si="8"/>
        <v/>
      </c>
    </row>
    <row r="111" spans="2:9">
      <c r="B111" s="555" t="str">
        <f t="shared" si="3"/>
        <v/>
      </c>
      <c r="C111" s="556" t="str">
        <f t="shared" si="4"/>
        <v/>
      </c>
      <c r="D111" s="557" t="str">
        <f t="shared" si="5"/>
        <v/>
      </c>
      <c r="E111" s="560"/>
      <c r="F111" s="559"/>
      <c r="G111" s="559" t="str">
        <f t="shared" si="6"/>
        <v/>
      </c>
      <c r="H111" s="559" t="str">
        <f t="shared" si="7"/>
        <v/>
      </c>
      <c r="I111" s="559" t="str">
        <f t="shared" si="8"/>
        <v/>
      </c>
    </row>
    <row r="112" spans="2:9">
      <c r="B112" s="555" t="str">
        <f t="shared" si="3"/>
        <v/>
      </c>
      <c r="C112" s="556" t="str">
        <f t="shared" si="4"/>
        <v/>
      </c>
      <c r="D112" s="557" t="str">
        <f t="shared" si="5"/>
        <v/>
      </c>
      <c r="E112" s="560"/>
      <c r="F112" s="559"/>
      <c r="G112" s="559" t="str">
        <f t="shared" si="6"/>
        <v/>
      </c>
      <c r="H112" s="559" t="str">
        <f t="shared" si="7"/>
        <v/>
      </c>
      <c r="I112" s="559" t="str">
        <f t="shared" si="8"/>
        <v/>
      </c>
    </row>
    <row r="113" spans="2:9">
      <c r="B113" s="555" t="str">
        <f t="shared" si="3"/>
        <v/>
      </c>
      <c r="C113" s="556" t="str">
        <f t="shared" si="4"/>
        <v/>
      </c>
      <c r="D113" s="557" t="str">
        <f t="shared" si="5"/>
        <v/>
      </c>
      <c r="E113" s="560"/>
      <c r="F113" s="559"/>
      <c r="G113" s="559" t="str">
        <f t="shared" si="6"/>
        <v/>
      </c>
      <c r="H113" s="559" t="str">
        <f t="shared" si="7"/>
        <v/>
      </c>
      <c r="I113" s="559" t="str">
        <f t="shared" si="8"/>
        <v/>
      </c>
    </row>
    <row r="114" spans="2:9">
      <c r="B114" s="555" t="str">
        <f t="shared" si="3"/>
        <v/>
      </c>
      <c r="C114" s="556" t="str">
        <f t="shared" si="4"/>
        <v/>
      </c>
      <c r="D114" s="557" t="str">
        <f t="shared" si="5"/>
        <v/>
      </c>
      <c r="E114" s="560"/>
      <c r="F114" s="559"/>
      <c r="G114" s="559" t="str">
        <f t="shared" si="6"/>
        <v/>
      </c>
      <c r="H114" s="559" t="str">
        <f t="shared" si="7"/>
        <v/>
      </c>
      <c r="I114" s="559" t="str">
        <f t="shared" si="8"/>
        <v/>
      </c>
    </row>
    <row r="115" spans="2:9">
      <c r="B115" s="555" t="str">
        <f t="shared" si="3"/>
        <v/>
      </c>
      <c r="C115" s="556" t="str">
        <f t="shared" si="4"/>
        <v/>
      </c>
      <c r="D115" s="557" t="str">
        <f t="shared" si="5"/>
        <v/>
      </c>
      <c r="E115" s="560"/>
      <c r="F115" s="559"/>
      <c r="G115" s="559" t="str">
        <f t="shared" si="6"/>
        <v/>
      </c>
      <c r="H115" s="559" t="str">
        <f t="shared" si="7"/>
        <v/>
      </c>
      <c r="I115" s="559" t="str">
        <f t="shared" si="8"/>
        <v/>
      </c>
    </row>
    <row r="116" spans="2:9">
      <c r="B116" s="555" t="str">
        <f t="shared" si="3"/>
        <v/>
      </c>
      <c r="C116" s="556" t="str">
        <f t="shared" si="4"/>
        <v/>
      </c>
      <c r="D116" s="557" t="str">
        <f t="shared" si="5"/>
        <v/>
      </c>
      <c r="E116" s="560"/>
      <c r="F116" s="559"/>
      <c r="G116" s="559" t="str">
        <f t="shared" si="6"/>
        <v/>
      </c>
      <c r="H116" s="559" t="str">
        <f t="shared" si="7"/>
        <v/>
      </c>
      <c r="I116" s="559" t="str">
        <f t="shared" si="8"/>
        <v/>
      </c>
    </row>
    <row r="117" spans="2:9">
      <c r="B117" s="555" t="str">
        <f t="shared" si="3"/>
        <v/>
      </c>
      <c r="C117" s="556" t="str">
        <f t="shared" si="4"/>
        <v/>
      </c>
      <c r="D117" s="557" t="str">
        <f t="shared" si="5"/>
        <v/>
      </c>
      <c r="E117" s="560"/>
      <c r="F117" s="559"/>
      <c r="G117" s="559" t="str">
        <f t="shared" si="6"/>
        <v/>
      </c>
      <c r="H117" s="559" t="str">
        <f t="shared" si="7"/>
        <v/>
      </c>
      <c r="I117" s="559" t="str">
        <f t="shared" si="8"/>
        <v/>
      </c>
    </row>
    <row r="118" spans="2:9">
      <c r="B118" s="555" t="str">
        <f t="shared" si="3"/>
        <v/>
      </c>
      <c r="C118" s="556" t="str">
        <f t="shared" si="4"/>
        <v/>
      </c>
      <c r="D118" s="557" t="str">
        <f t="shared" si="5"/>
        <v/>
      </c>
      <c r="E118" s="560"/>
      <c r="F118" s="559"/>
      <c r="G118" s="559" t="str">
        <f t="shared" si="6"/>
        <v/>
      </c>
      <c r="H118" s="559" t="str">
        <f t="shared" si="7"/>
        <v/>
      </c>
      <c r="I118" s="559" t="str">
        <f t="shared" si="8"/>
        <v/>
      </c>
    </row>
    <row r="119" spans="2:9">
      <c r="B119" s="555" t="str">
        <f t="shared" si="3"/>
        <v/>
      </c>
      <c r="C119" s="556" t="str">
        <f t="shared" si="4"/>
        <v/>
      </c>
      <c r="D119" s="557" t="str">
        <f t="shared" si="5"/>
        <v/>
      </c>
      <c r="E119" s="560"/>
      <c r="F119" s="559"/>
      <c r="G119" s="559" t="str">
        <f t="shared" si="6"/>
        <v/>
      </c>
      <c r="H119" s="559" t="str">
        <f t="shared" si="7"/>
        <v/>
      </c>
      <c r="I119" s="559" t="str">
        <f t="shared" si="8"/>
        <v/>
      </c>
    </row>
    <row r="120" spans="2:9">
      <c r="B120" s="555" t="str">
        <f t="shared" si="3"/>
        <v/>
      </c>
      <c r="C120" s="556" t="str">
        <f t="shared" si="4"/>
        <v/>
      </c>
      <c r="D120" s="557" t="str">
        <f t="shared" si="5"/>
        <v/>
      </c>
      <c r="E120" s="560"/>
      <c r="F120" s="559"/>
      <c r="G120" s="559" t="str">
        <f t="shared" si="6"/>
        <v/>
      </c>
      <c r="H120" s="559" t="str">
        <f t="shared" si="7"/>
        <v/>
      </c>
      <c r="I120" s="559" t="str">
        <f t="shared" si="8"/>
        <v/>
      </c>
    </row>
    <row r="121" spans="2:9">
      <c r="B121" s="555" t="str">
        <f t="shared" si="3"/>
        <v/>
      </c>
      <c r="C121" s="556" t="str">
        <f t="shared" si="4"/>
        <v/>
      </c>
      <c r="D121" s="557" t="str">
        <f t="shared" si="5"/>
        <v/>
      </c>
      <c r="E121" s="560"/>
      <c r="F121" s="559"/>
      <c r="G121" s="559" t="str">
        <f t="shared" si="6"/>
        <v/>
      </c>
      <c r="H121" s="559" t="str">
        <f t="shared" si="7"/>
        <v/>
      </c>
      <c r="I121" s="559" t="str">
        <f t="shared" si="8"/>
        <v/>
      </c>
    </row>
    <row r="122" spans="2:9">
      <c r="B122" s="555" t="str">
        <f t="shared" si="3"/>
        <v/>
      </c>
      <c r="C122" s="556" t="str">
        <f t="shared" si="4"/>
        <v/>
      </c>
      <c r="D122" s="557" t="str">
        <f t="shared" si="5"/>
        <v/>
      </c>
      <c r="E122" s="560"/>
      <c r="F122" s="559"/>
      <c r="G122" s="559" t="str">
        <f t="shared" si="6"/>
        <v/>
      </c>
      <c r="H122" s="559" t="str">
        <f t="shared" si="7"/>
        <v/>
      </c>
      <c r="I122" s="559" t="str">
        <f t="shared" si="8"/>
        <v/>
      </c>
    </row>
    <row r="123" spans="2:9">
      <c r="B123" s="555" t="str">
        <f t="shared" si="3"/>
        <v/>
      </c>
      <c r="C123" s="556" t="str">
        <f t="shared" si="4"/>
        <v/>
      </c>
      <c r="D123" s="557" t="str">
        <f t="shared" si="5"/>
        <v/>
      </c>
      <c r="E123" s="560"/>
      <c r="F123" s="559"/>
      <c r="G123" s="559" t="str">
        <f t="shared" si="6"/>
        <v/>
      </c>
      <c r="H123" s="559" t="str">
        <f t="shared" si="7"/>
        <v/>
      </c>
      <c r="I123" s="559" t="str">
        <f t="shared" si="8"/>
        <v/>
      </c>
    </row>
    <row r="124" spans="2:9">
      <c r="B124" s="555" t="str">
        <f t="shared" si="3"/>
        <v/>
      </c>
      <c r="C124" s="556" t="str">
        <f t="shared" si="4"/>
        <v/>
      </c>
      <c r="D124" s="557" t="str">
        <f t="shared" si="5"/>
        <v/>
      </c>
      <c r="E124" s="560"/>
      <c r="F124" s="559"/>
      <c r="G124" s="559" t="str">
        <f t="shared" si="6"/>
        <v/>
      </c>
      <c r="H124" s="559" t="str">
        <f t="shared" si="7"/>
        <v/>
      </c>
      <c r="I124" s="559" t="str">
        <f t="shared" si="8"/>
        <v/>
      </c>
    </row>
    <row r="125" spans="2:9">
      <c r="B125" s="555" t="str">
        <f t="shared" ref="B125:B188" si="9">IF(I124="","",IF(roundOpt,IF(OR(B124&gt;=nper,ROUND(I124,2)&lt;=0),"",B124+1),IF(OR(B124&gt;=nper,I124&lt;=0),"",B124+1)))</f>
        <v/>
      </c>
      <c r="C125" s="556" t="str">
        <f t="shared" ref="C125:C188" si="10">IF(B125="","",IF(OR(periods_per_year=26,periods_per_year=52),IF(periods_per_year=26,IF(B125=1,fpdate,C124+14),IF(periods_per_year=52,IF(B125=1,fpdate,C124+7),"n/a")),IF(periods_per_year=24,DATE(YEAR(fpdate),MONTH(fpdate)+(B125-1)/2+IF(AND(DAY(fpdate)&gt;=15,MOD(B125,2)=0),1,0),IF(MOD(B125,2)=0,IF(DAY(fpdate)&gt;=15,DAY(fpdate)-14,DAY(fpdate)+14),DAY(fpdate))),IF(DAY(DATE(YEAR(fpdate),MONTH(fpdate)+(B125-1)*months_per_period,DAY(fpdate)))&lt;&gt;DAY(fpdate),DATE(YEAR(fpdate),MONTH(fpdate)+(B125-1)*months_per_period+1,0),DATE(YEAR(fpdate),MONTH(fpdate)+(B125-1)*months_per_period,DAY(fpdate))))))</f>
        <v/>
      </c>
      <c r="D125" s="557" t="str">
        <f t="shared" ref="D125:D188" si="11">IF(B125="","",IF(roundOpt,IF(OR(B125=nper,payment&gt;ROUND((1+rate)*I124,2)),ROUND((1+rate)*I124,2),payment),IF(OR(B125=nper,payment&gt;(1+rate)*I124),(1+rate)*I124,payment)))</f>
        <v/>
      </c>
      <c r="E125" s="560"/>
      <c r="F125" s="559"/>
      <c r="G125" s="559" t="str">
        <f t="shared" ref="G125:G188" si="12">IF(B125="","",IF(AND(B125=1,pmtType=1),0,IF(roundOpt,ROUND(rate*I124,2),rate*I124)))</f>
        <v/>
      </c>
      <c r="H125" s="559" t="str">
        <f t="shared" ref="H125:H188" si="13">IF(B125="","",D125-G125+E125)</f>
        <v/>
      </c>
      <c r="I125" s="559" t="str">
        <f t="shared" ref="I125:I188" si="14">IF(B125="","",I124-H125)</f>
        <v/>
      </c>
    </row>
    <row r="126" spans="2:9">
      <c r="B126" s="555" t="str">
        <f t="shared" si="9"/>
        <v/>
      </c>
      <c r="C126" s="556" t="str">
        <f t="shared" si="10"/>
        <v/>
      </c>
      <c r="D126" s="557" t="str">
        <f t="shared" si="11"/>
        <v/>
      </c>
      <c r="E126" s="560"/>
      <c r="F126" s="559"/>
      <c r="G126" s="559" t="str">
        <f t="shared" si="12"/>
        <v/>
      </c>
      <c r="H126" s="559" t="str">
        <f t="shared" si="13"/>
        <v/>
      </c>
      <c r="I126" s="559" t="str">
        <f t="shared" si="14"/>
        <v/>
      </c>
    </row>
    <row r="127" spans="2:9">
      <c r="B127" s="555" t="str">
        <f t="shared" si="9"/>
        <v/>
      </c>
      <c r="C127" s="556" t="str">
        <f t="shared" si="10"/>
        <v/>
      </c>
      <c r="D127" s="557" t="str">
        <f t="shared" si="11"/>
        <v/>
      </c>
      <c r="E127" s="560"/>
      <c r="F127" s="559"/>
      <c r="G127" s="559" t="str">
        <f t="shared" si="12"/>
        <v/>
      </c>
      <c r="H127" s="559" t="str">
        <f t="shared" si="13"/>
        <v/>
      </c>
      <c r="I127" s="559" t="str">
        <f t="shared" si="14"/>
        <v/>
      </c>
    </row>
    <row r="128" spans="2:9">
      <c r="B128" s="555" t="str">
        <f t="shared" si="9"/>
        <v/>
      </c>
      <c r="C128" s="556" t="str">
        <f t="shared" si="10"/>
        <v/>
      </c>
      <c r="D128" s="557" t="str">
        <f t="shared" si="11"/>
        <v/>
      </c>
      <c r="E128" s="560"/>
      <c r="F128" s="559"/>
      <c r="G128" s="559" t="str">
        <f t="shared" si="12"/>
        <v/>
      </c>
      <c r="H128" s="559" t="str">
        <f t="shared" si="13"/>
        <v/>
      </c>
      <c r="I128" s="559" t="str">
        <f t="shared" si="14"/>
        <v/>
      </c>
    </row>
    <row r="129" spans="2:9">
      <c r="B129" s="555" t="str">
        <f t="shared" si="9"/>
        <v/>
      </c>
      <c r="C129" s="556" t="str">
        <f t="shared" si="10"/>
        <v/>
      </c>
      <c r="D129" s="557" t="str">
        <f t="shared" si="11"/>
        <v/>
      </c>
      <c r="E129" s="560"/>
      <c r="F129" s="559"/>
      <c r="G129" s="559" t="str">
        <f t="shared" si="12"/>
        <v/>
      </c>
      <c r="H129" s="559" t="str">
        <f t="shared" si="13"/>
        <v/>
      </c>
      <c r="I129" s="559" t="str">
        <f t="shared" si="14"/>
        <v/>
      </c>
    </row>
    <row r="130" spans="2:9">
      <c r="B130" s="555" t="str">
        <f t="shared" si="9"/>
        <v/>
      </c>
      <c r="C130" s="556" t="str">
        <f t="shared" si="10"/>
        <v/>
      </c>
      <c r="D130" s="557" t="str">
        <f t="shared" si="11"/>
        <v/>
      </c>
      <c r="E130" s="560"/>
      <c r="F130" s="559"/>
      <c r="G130" s="559" t="str">
        <f t="shared" si="12"/>
        <v/>
      </c>
      <c r="H130" s="559" t="str">
        <f t="shared" si="13"/>
        <v/>
      </c>
      <c r="I130" s="559" t="str">
        <f t="shared" si="14"/>
        <v/>
      </c>
    </row>
    <row r="131" spans="2:9">
      <c r="B131" s="555" t="str">
        <f t="shared" si="9"/>
        <v/>
      </c>
      <c r="C131" s="556" t="str">
        <f t="shared" si="10"/>
        <v/>
      </c>
      <c r="D131" s="557" t="str">
        <f t="shared" si="11"/>
        <v/>
      </c>
      <c r="E131" s="560"/>
      <c r="F131" s="559"/>
      <c r="G131" s="559" t="str">
        <f t="shared" si="12"/>
        <v/>
      </c>
      <c r="H131" s="559" t="str">
        <f t="shared" si="13"/>
        <v/>
      </c>
      <c r="I131" s="559" t="str">
        <f t="shared" si="14"/>
        <v/>
      </c>
    </row>
    <row r="132" spans="2:9">
      <c r="B132" s="555" t="str">
        <f t="shared" si="9"/>
        <v/>
      </c>
      <c r="C132" s="556" t="str">
        <f t="shared" si="10"/>
        <v/>
      </c>
      <c r="D132" s="557" t="str">
        <f t="shared" si="11"/>
        <v/>
      </c>
      <c r="E132" s="560"/>
      <c r="F132" s="559"/>
      <c r="G132" s="559" t="str">
        <f t="shared" si="12"/>
        <v/>
      </c>
      <c r="H132" s="559" t="str">
        <f t="shared" si="13"/>
        <v/>
      </c>
      <c r="I132" s="559" t="str">
        <f t="shared" si="14"/>
        <v/>
      </c>
    </row>
    <row r="133" spans="2:9">
      <c r="B133" s="555" t="str">
        <f t="shared" si="9"/>
        <v/>
      </c>
      <c r="C133" s="556" t="str">
        <f t="shared" si="10"/>
        <v/>
      </c>
      <c r="D133" s="557" t="str">
        <f t="shared" si="11"/>
        <v/>
      </c>
      <c r="E133" s="560"/>
      <c r="F133" s="559"/>
      <c r="G133" s="559" t="str">
        <f t="shared" si="12"/>
        <v/>
      </c>
      <c r="H133" s="559" t="str">
        <f t="shared" si="13"/>
        <v/>
      </c>
      <c r="I133" s="559" t="str">
        <f t="shared" si="14"/>
        <v/>
      </c>
    </row>
    <row r="134" spans="2:9">
      <c r="B134" s="555" t="str">
        <f t="shared" si="9"/>
        <v/>
      </c>
      <c r="C134" s="556" t="str">
        <f t="shared" si="10"/>
        <v/>
      </c>
      <c r="D134" s="557" t="str">
        <f t="shared" si="11"/>
        <v/>
      </c>
      <c r="E134" s="560"/>
      <c r="F134" s="559"/>
      <c r="G134" s="559" t="str">
        <f t="shared" si="12"/>
        <v/>
      </c>
      <c r="H134" s="559" t="str">
        <f t="shared" si="13"/>
        <v/>
      </c>
      <c r="I134" s="559" t="str">
        <f t="shared" si="14"/>
        <v/>
      </c>
    </row>
    <row r="135" spans="2:9">
      <c r="B135" s="555" t="str">
        <f t="shared" si="9"/>
        <v/>
      </c>
      <c r="C135" s="556" t="str">
        <f t="shared" si="10"/>
        <v/>
      </c>
      <c r="D135" s="557" t="str">
        <f t="shared" si="11"/>
        <v/>
      </c>
      <c r="E135" s="560"/>
      <c r="F135" s="559"/>
      <c r="G135" s="559" t="str">
        <f t="shared" si="12"/>
        <v/>
      </c>
      <c r="H135" s="559" t="str">
        <f t="shared" si="13"/>
        <v/>
      </c>
      <c r="I135" s="559" t="str">
        <f t="shared" si="14"/>
        <v/>
      </c>
    </row>
    <row r="136" spans="2:9">
      <c r="B136" s="555" t="str">
        <f t="shared" si="9"/>
        <v/>
      </c>
      <c r="C136" s="556" t="str">
        <f t="shared" si="10"/>
        <v/>
      </c>
      <c r="D136" s="557" t="str">
        <f t="shared" si="11"/>
        <v/>
      </c>
      <c r="E136" s="560"/>
      <c r="F136" s="559"/>
      <c r="G136" s="559" t="str">
        <f t="shared" si="12"/>
        <v/>
      </c>
      <c r="H136" s="559" t="str">
        <f t="shared" si="13"/>
        <v/>
      </c>
      <c r="I136" s="559" t="str">
        <f t="shared" si="14"/>
        <v/>
      </c>
    </row>
    <row r="137" spans="2:9">
      <c r="B137" s="555" t="str">
        <f t="shared" si="9"/>
        <v/>
      </c>
      <c r="C137" s="556" t="str">
        <f t="shared" si="10"/>
        <v/>
      </c>
      <c r="D137" s="557" t="str">
        <f t="shared" si="11"/>
        <v/>
      </c>
      <c r="E137" s="560"/>
      <c r="F137" s="559"/>
      <c r="G137" s="559" t="str">
        <f t="shared" si="12"/>
        <v/>
      </c>
      <c r="H137" s="559" t="str">
        <f t="shared" si="13"/>
        <v/>
      </c>
      <c r="I137" s="559" t="str">
        <f t="shared" si="14"/>
        <v/>
      </c>
    </row>
    <row r="138" spans="2:9">
      <c r="B138" s="555" t="str">
        <f t="shared" si="9"/>
        <v/>
      </c>
      <c r="C138" s="556" t="str">
        <f t="shared" si="10"/>
        <v/>
      </c>
      <c r="D138" s="557" t="str">
        <f t="shared" si="11"/>
        <v/>
      </c>
      <c r="E138" s="560"/>
      <c r="F138" s="559"/>
      <c r="G138" s="559" t="str">
        <f t="shared" si="12"/>
        <v/>
      </c>
      <c r="H138" s="559" t="str">
        <f t="shared" si="13"/>
        <v/>
      </c>
      <c r="I138" s="559" t="str">
        <f t="shared" si="14"/>
        <v/>
      </c>
    </row>
    <row r="139" spans="2:9">
      <c r="B139" s="555" t="str">
        <f t="shared" si="9"/>
        <v/>
      </c>
      <c r="C139" s="556" t="str">
        <f t="shared" si="10"/>
        <v/>
      </c>
      <c r="D139" s="557" t="str">
        <f t="shared" si="11"/>
        <v/>
      </c>
      <c r="E139" s="560"/>
      <c r="F139" s="559"/>
      <c r="G139" s="559" t="str">
        <f t="shared" si="12"/>
        <v/>
      </c>
      <c r="H139" s="559" t="str">
        <f t="shared" si="13"/>
        <v/>
      </c>
      <c r="I139" s="559" t="str">
        <f t="shared" si="14"/>
        <v/>
      </c>
    </row>
    <row r="140" spans="2:9">
      <c r="B140" s="555" t="str">
        <f t="shared" si="9"/>
        <v/>
      </c>
      <c r="C140" s="556" t="str">
        <f t="shared" si="10"/>
        <v/>
      </c>
      <c r="D140" s="557" t="str">
        <f t="shared" si="11"/>
        <v/>
      </c>
      <c r="E140" s="560"/>
      <c r="F140" s="559"/>
      <c r="G140" s="559" t="str">
        <f t="shared" si="12"/>
        <v/>
      </c>
      <c r="H140" s="559" t="str">
        <f t="shared" si="13"/>
        <v/>
      </c>
      <c r="I140" s="559" t="str">
        <f t="shared" si="14"/>
        <v/>
      </c>
    </row>
    <row r="141" spans="2:9">
      <c r="B141" s="555" t="str">
        <f t="shared" si="9"/>
        <v/>
      </c>
      <c r="C141" s="556" t="str">
        <f t="shared" si="10"/>
        <v/>
      </c>
      <c r="D141" s="557" t="str">
        <f t="shared" si="11"/>
        <v/>
      </c>
      <c r="E141" s="560"/>
      <c r="F141" s="559"/>
      <c r="G141" s="559" t="str">
        <f t="shared" si="12"/>
        <v/>
      </c>
      <c r="H141" s="559" t="str">
        <f t="shared" si="13"/>
        <v/>
      </c>
      <c r="I141" s="559" t="str">
        <f t="shared" si="14"/>
        <v/>
      </c>
    </row>
    <row r="142" spans="2:9">
      <c r="B142" s="555" t="str">
        <f t="shared" si="9"/>
        <v/>
      </c>
      <c r="C142" s="556" t="str">
        <f t="shared" si="10"/>
        <v/>
      </c>
      <c r="D142" s="557" t="str">
        <f t="shared" si="11"/>
        <v/>
      </c>
      <c r="E142" s="560"/>
      <c r="F142" s="559"/>
      <c r="G142" s="559" t="str">
        <f t="shared" si="12"/>
        <v/>
      </c>
      <c r="H142" s="559" t="str">
        <f t="shared" si="13"/>
        <v/>
      </c>
      <c r="I142" s="559" t="str">
        <f t="shared" si="14"/>
        <v/>
      </c>
    </row>
    <row r="143" spans="2:9">
      <c r="B143" s="555" t="str">
        <f t="shared" si="9"/>
        <v/>
      </c>
      <c r="C143" s="556" t="str">
        <f t="shared" si="10"/>
        <v/>
      </c>
      <c r="D143" s="557" t="str">
        <f t="shared" si="11"/>
        <v/>
      </c>
      <c r="E143" s="560"/>
      <c r="F143" s="559"/>
      <c r="G143" s="559" t="str">
        <f t="shared" si="12"/>
        <v/>
      </c>
      <c r="H143" s="559" t="str">
        <f t="shared" si="13"/>
        <v/>
      </c>
      <c r="I143" s="559" t="str">
        <f t="shared" si="14"/>
        <v/>
      </c>
    </row>
    <row r="144" spans="2:9">
      <c r="B144" s="555" t="str">
        <f t="shared" si="9"/>
        <v/>
      </c>
      <c r="C144" s="556" t="str">
        <f t="shared" si="10"/>
        <v/>
      </c>
      <c r="D144" s="557" t="str">
        <f t="shared" si="11"/>
        <v/>
      </c>
      <c r="E144" s="560"/>
      <c r="F144" s="559"/>
      <c r="G144" s="559" t="str">
        <f t="shared" si="12"/>
        <v/>
      </c>
      <c r="H144" s="559" t="str">
        <f t="shared" si="13"/>
        <v/>
      </c>
      <c r="I144" s="559" t="str">
        <f t="shared" si="14"/>
        <v/>
      </c>
    </row>
    <row r="145" spans="2:9">
      <c r="B145" s="555" t="str">
        <f t="shared" si="9"/>
        <v/>
      </c>
      <c r="C145" s="556" t="str">
        <f t="shared" si="10"/>
        <v/>
      </c>
      <c r="D145" s="557" t="str">
        <f t="shared" si="11"/>
        <v/>
      </c>
      <c r="E145" s="560"/>
      <c r="F145" s="559"/>
      <c r="G145" s="559" t="str">
        <f t="shared" si="12"/>
        <v/>
      </c>
      <c r="H145" s="559" t="str">
        <f t="shared" si="13"/>
        <v/>
      </c>
      <c r="I145" s="559" t="str">
        <f t="shared" si="14"/>
        <v/>
      </c>
    </row>
    <row r="146" spans="2:9">
      <c r="B146" s="555" t="str">
        <f t="shared" si="9"/>
        <v/>
      </c>
      <c r="C146" s="556" t="str">
        <f t="shared" si="10"/>
        <v/>
      </c>
      <c r="D146" s="557" t="str">
        <f t="shared" si="11"/>
        <v/>
      </c>
      <c r="E146" s="560"/>
      <c r="F146" s="559"/>
      <c r="G146" s="559" t="str">
        <f t="shared" si="12"/>
        <v/>
      </c>
      <c r="H146" s="559" t="str">
        <f t="shared" si="13"/>
        <v/>
      </c>
      <c r="I146" s="559" t="str">
        <f t="shared" si="14"/>
        <v/>
      </c>
    </row>
    <row r="147" spans="2:9">
      <c r="B147" s="555" t="str">
        <f t="shared" si="9"/>
        <v/>
      </c>
      <c r="C147" s="556" t="str">
        <f t="shared" si="10"/>
        <v/>
      </c>
      <c r="D147" s="557" t="str">
        <f t="shared" si="11"/>
        <v/>
      </c>
      <c r="E147" s="560"/>
      <c r="F147" s="559"/>
      <c r="G147" s="559" t="str">
        <f t="shared" si="12"/>
        <v/>
      </c>
      <c r="H147" s="559" t="str">
        <f t="shared" si="13"/>
        <v/>
      </c>
      <c r="I147" s="559" t="str">
        <f t="shared" si="14"/>
        <v/>
      </c>
    </row>
    <row r="148" spans="2:9">
      <c r="B148" s="555" t="str">
        <f t="shared" si="9"/>
        <v/>
      </c>
      <c r="C148" s="556" t="str">
        <f t="shared" si="10"/>
        <v/>
      </c>
      <c r="D148" s="557" t="str">
        <f t="shared" si="11"/>
        <v/>
      </c>
      <c r="E148" s="560"/>
      <c r="F148" s="559"/>
      <c r="G148" s="559" t="str">
        <f t="shared" si="12"/>
        <v/>
      </c>
      <c r="H148" s="559" t="str">
        <f t="shared" si="13"/>
        <v/>
      </c>
      <c r="I148" s="559" t="str">
        <f t="shared" si="14"/>
        <v/>
      </c>
    </row>
    <row r="149" spans="2:9">
      <c r="B149" s="555" t="str">
        <f t="shared" si="9"/>
        <v/>
      </c>
      <c r="C149" s="556" t="str">
        <f t="shared" si="10"/>
        <v/>
      </c>
      <c r="D149" s="557" t="str">
        <f t="shared" si="11"/>
        <v/>
      </c>
      <c r="E149" s="560"/>
      <c r="F149" s="559"/>
      <c r="G149" s="559" t="str">
        <f t="shared" si="12"/>
        <v/>
      </c>
      <c r="H149" s="559" t="str">
        <f t="shared" si="13"/>
        <v/>
      </c>
      <c r="I149" s="559" t="str">
        <f t="shared" si="14"/>
        <v/>
      </c>
    </row>
    <row r="150" spans="2:9">
      <c r="B150" s="555" t="str">
        <f t="shared" si="9"/>
        <v/>
      </c>
      <c r="C150" s="556" t="str">
        <f t="shared" si="10"/>
        <v/>
      </c>
      <c r="D150" s="557" t="str">
        <f t="shared" si="11"/>
        <v/>
      </c>
      <c r="E150" s="560"/>
      <c r="F150" s="559"/>
      <c r="G150" s="559" t="str">
        <f t="shared" si="12"/>
        <v/>
      </c>
      <c r="H150" s="559" t="str">
        <f t="shared" si="13"/>
        <v/>
      </c>
      <c r="I150" s="559" t="str">
        <f t="shared" si="14"/>
        <v/>
      </c>
    </row>
    <row r="151" spans="2:9">
      <c r="B151" s="555" t="str">
        <f t="shared" si="9"/>
        <v/>
      </c>
      <c r="C151" s="556" t="str">
        <f t="shared" si="10"/>
        <v/>
      </c>
      <c r="D151" s="557" t="str">
        <f t="shared" si="11"/>
        <v/>
      </c>
      <c r="E151" s="560"/>
      <c r="F151" s="559"/>
      <c r="G151" s="559" t="str">
        <f t="shared" si="12"/>
        <v/>
      </c>
      <c r="H151" s="559" t="str">
        <f t="shared" si="13"/>
        <v/>
      </c>
      <c r="I151" s="559" t="str">
        <f t="shared" si="14"/>
        <v/>
      </c>
    </row>
    <row r="152" spans="2:9">
      <c r="B152" s="555" t="str">
        <f t="shared" si="9"/>
        <v/>
      </c>
      <c r="C152" s="556" t="str">
        <f t="shared" si="10"/>
        <v/>
      </c>
      <c r="D152" s="557" t="str">
        <f t="shared" si="11"/>
        <v/>
      </c>
      <c r="E152" s="560"/>
      <c r="F152" s="559"/>
      <c r="G152" s="559" t="str">
        <f t="shared" si="12"/>
        <v/>
      </c>
      <c r="H152" s="559" t="str">
        <f t="shared" si="13"/>
        <v/>
      </c>
      <c r="I152" s="559" t="str">
        <f t="shared" si="14"/>
        <v/>
      </c>
    </row>
    <row r="153" spans="2:9">
      <c r="B153" s="555" t="str">
        <f t="shared" si="9"/>
        <v/>
      </c>
      <c r="C153" s="556" t="str">
        <f t="shared" si="10"/>
        <v/>
      </c>
      <c r="D153" s="557" t="str">
        <f t="shared" si="11"/>
        <v/>
      </c>
      <c r="E153" s="560"/>
      <c r="F153" s="559"/>
      <c r="G153" s="559" t="str">
        <f t="shared" si="12"/>
        <v/>
      </c>
      <c r="H153" s="559" t="str">
        <f t="shared" si="13"/>
        <v/>
      </c>
      <c r="I153" s="559" t="str">
        <f t="shared" si="14"/>
        <v/>
      </c>
    </row>
    <row r="154" spans="2:9">
      <c r="B154" s="555" t="str">
        <f t="shared" si="9"/>
        <v/>
      </c>
      <c r="C154" s="556" t="str">
        <f t="shared" si="10"/>
        <v/>
      </c>
      <c r="D154" s="557" t="str">
        <f t="shared" si="11"/>
        <v/>
      </c>
      <c r="E154" s="560"/>
      <c r="F154" s="559"/>
      <c r="G154" s="559" t="str">
        <f t="shared" si="12"/>
        <v/>
      </c>
      <c r="H154" s="559" t="str">
        <f t="shared" si="13"/>
        <v/>
      </c>
      <c r="I154" s="559" t="str">
        <f t="shared" si="14"/>
        <v/>
      </c>
    </row>
    <row r="155" spans="2:9">
      <c r="B155" s="555" t="str">
        <f t="shared" si="9"/>
        <v/>
      </c>
      <c r="C155" s="556" t="str">
        <f t="shared" si="10"/>
        <v/>
      </c>
      <c r="D155" s="557" t="str">
        <f t="shared" si="11"/>
        <v/>
      </c>
      <c r="E155" s="560"/>
      <c r="F155" s="559"/>
      <c r="G155" s="559" t="str">
        <f t="shared" si="12"/>
        <v/>
      </c>
      <c r="H155" s="559" t="str">
        <f t="shared" si="13"/>
        <v/>
      </c>
      <c r="I155" s="559" t="str">
        <f t="shared" si="14"/>
        <v/>
      </c>
    </row>
    <row r="156" spans="2:9">
      <c r="B156" s="555" t="str">
        <f t="shared" si="9"/>
        <v/>
      </c>
      <c r="C156" s="556" t="str">
        <f t="shared" si="10"/>
        <v/>
      </c>
      <c r="D156" s="557" t="str">
        <f t="shared" si="11"/>
        <v/>
      </c>
      <c r="E156" s="560"/>
      <c r="F156" s="559"/>
      <c r="G156" s="559" t="str">
        <f t="shared" si="12"/>
        <v/>
      </c>
      <c r="H156" s="559" t="str">
        <f t="shared" si="13"/>
        <v/>
      </c>
      <c r="I156" s="559" t="str">
        <f t="shared" si="14"/>
        <v/>
      </c>
    </row>
    <row r="157" spans="2:9">
      <c r="B157" s="555" t="str">
        <f t="shared" si="9"/>
        <v/>
      </c>
      <c r="C157" s="556" t="str">
        <f t="shared" si="10"/>
        <v/>
      </c>
      <c r="D157" s="557" t="str">
        <f t="shared" si="11"/>
        <v/>
      </c>
      <c r="E157" s="560"/>
      <c r="F157" s="559"/>
      <c r="G157" s="559" t="str">
        <f t="shared" si="12"/>
        <v/>
      </c>
      <c r="H157" s="559" t="str">
        <f t="shared" si="13"/>
        <v/>
      </c>
      <c r="I157" s="559" t="str">
        <f t="shared" si="14"/>
        <v/>
      </c>
    </row>
    <row r="158" spans="2:9">
      <c r="B158" s="555" t="str">
        <f t="shared" si="9"/>
        <v/>
      </c>
      <c r="C158" s="556" t="str">
        <f t="shared" si="10"/>
        <v/>
      </c>
      <c r="D158" s="557" t="str">
        <f t="shared" si="11"/>
        <v/>
      </c>
      <c r="E158" s="560"/>
      <c r="F158" s="559"/>
      <c r="G158" s="559" t="str">
        <f t="shared" si="12"/>
        <v/>
      </c>
      <c r="H158" s="559" t="str">
        <f t="shared" si="13"/>
        <v/>
      </c>
      <c r="I158" s="559" t="str">
        <f t="shared" si="14"/>
        <v/>
      </c>
    </row>
    <row r="159" spans="2:9">
      <c r="B159" s="555" t="str">
        <f t="shared" si="9"/>
        <v/>
      </c>
      <c r="C159" s="556" t="str">
        <f t="shared" si="10"/>
        <v/>
      </c>
      <c r="D159" s="557" t="str">
        <f t="shared" si="11"/>
        <v/>
      </c>
      <c r="E159" s="560"/>
      <c r="F159" s="559"/>
      <c r="G159" s="559" t="str">
        <f t="shared" si="12"/>
        <v/>
      </c>
      <c r="H159" s="559" t="str">
        <f t="shared" si="13"/>
        <v/>
      </c>
      <c r="I159" s="559" t="str">
        <f t="shared" si="14"/>
        <v/>
      </c>
    </row>
    <row r="160" spans="2:9">
      <c r="B160" s="555" t="str">
        <f t="shared" si="9"/>
        <v/>
      </c>
      <c r="C160" s="556" t="str">
        <f t="shared" si="10"/>
        <v/>
      </c>
      <c r="D160" s="557" t="str">
        <f t="shared" si="11"/>
        <v/>
      </c>
      <c r="E160" s="560"/>
      <c r="F160" s="559"/>
      <c r="G160" s="559" t="str">
        <f t="shared" si="12"/>
        <v/>
      </c>
      <c r="H160" s="559" t="str">
        <f t="shared" si="13"/>
        <v/>
      </c>
      <c r="I160" s="559" t="str">
        <f t="shared" si="14"/>
        <v/>
      </c>
    </row>
    <row r="161" spans="2:9">
      <c r="B161" s="555" t="str">
        <f t="shared" si="9"/>
        <v/>
      </c>
      <c r="C161" s="556" t="str">
        <f t="shared" si="10"/>
        <v/>
      </c>
      <c r="D161" s="557" t="str">
        <f t="shared" si="11"/>
        <v/>
      </c>
      <c r="E161" s="560"/>
      <c r="F161" s="559"/>
      <c r="G161" s="559" t="str">
        <f t="shared" si="12"/>
        <v/>
      </c>
      <c r="H161" s="559" t="str">
        <f t="shared" si="13"/>
        <v/>
      </c>
      <c r="I161" s="559" t="str">
        <f t="shared" si="14"/>
        <v/>
      </c>
    </row>
    <row r="162" spans="2:9">
      <c r="B162" s="555" t="str">
        <f t="shared" si="9"/>
        <v/>
      </c>
      <c r="C162" s="556" t="str">
        <f t="shared" si="10"/>
        <v/>
      </c>
      <c r="D162" s="557" t="str">
        <f t="shared" si="11"/>
        <v/>
      </c>
      <c r="E162" s="560"/>
      <c r="F162" s="559"/>
      <c r="G162" s="559" t="str">
        <f t="shared" si="12"/>
        <v/>
      </c>
      <c r="H162" s="559" t="str">
        <f t="shared" si="13"/>
        <v/>
      </c>
      <c r="I162" s="559" t="str">
        <f t="shared" si="14"/>
        <v/>
      </c>
    </row>
    <row r="163" spans="2:9">
      <c r="B163" s="555" t="str">
        <f t="shared" si="9"/>
        <v/>
      </c>
      <c r="C163" s="556" t="str">
        <f t="shared" si="10"/>
        <v/>
      </c>
      <c r="D163" s="557" t="str">
        <f t="shared" si="11"/>
        <v/>
      </c>
      <c r="E163" s="560"/>
      <c r="F163" s="559"/>
      <c r="G163" s="559" t="str">
        <f t="shared" si="12"/>
        <v/>
      </c>
      <c r="H163" s="559" t="str">
        <f t="shared" si="13"/>
        <v/>
      </c>
      <c r="I163" s="559" t="str">
        <f t="shared" si="14"/>
        <v/>
      </c>
    </row>
    <row r="164" spans="2:9">
      <c r="B164" s="555" t="str">
        <f t="shared" si="9"/>
        <v/>
      </c>
      <c r="C164" s="556" t="str">
        <f t="shared" si="10"/>
        <v/>
      </c>
      <c r="D164" s="557" t="str">
        <f t="shared" si="11"/>
        <v/>
      </c>
      <c r="E164" s="560"/>
      <c r="F164" s="559"/>
      <c r="G164" s="559" t="str">
        <f t="shared" si="12"/>
        <v/>
      </c>
      <c r="H164" s="559" t="str">
        <f t="shared" si="13"/>
        <v/>
      </c>
      <c r="I164" s="559" t="str">
        <f t="shared" si="14"/>
        <v/>
      </c>
    </row>
    <row r="165" spans="2:9">
      <c r="B165" s="555" t="str">
        <f t="shared" si="9"/>
        <v/>
      </c>
      <c r="C165" s="556" t="str">
        <f t="shared" si="10"/>
        <v/>
      </c>
      <c r="D165" s="557" t="str">
        <f t="shared" si="11"/>
        <v/>
      </c>
      <c r="E165" s="560"/>
      <c r="F165" s="559"/>
      <c r="G165" s="559" t="str">
        <f t="shared" si="12"/>
        <v/>
      </c>
      <c r="H165" s="559" t="str">
        <f t="shared" si="13"/>
        <v/>
      </c>
      <c r="I165" s="559" t="str">
        <f t="shared" si="14"/>
        <v/>
      </c>
    </row>
    <row r="166" spans="2:9">
      <c r="B166" s="555" t="str">
        <f t="shared" si="9"/>
        <v/>
      </c>
      <c r="C166" s="556" t="str">
        <f t="shared" si="10"/>
        <v/>
      </c>
      <c r="D166" s="557" t="str">
        <f t="shared" si="11"/>
        <v/>
      </c>
      <c r="E166" s="560"/>
      <c r="F166" s="559"/>
      <c r="G166" s="559" t="str">
        <f t="shared" si="12"/>
        <v/>
      </c>
      <c r="H166" s="559" t="str">
        <f t="shared" si="13"/>
        <v/>
      </c>
      <c r="I166" s="559" t="str">
        <f t="shared" si="14"/>
        <v/>
      </c>
    </row>
    <row r="167" spans="2:9">
      <c r="B167" s="555" t="str">
        <f t="shared" si="9"/>
        <v/>
      </c>
      <c r="C167" s="556" t="str">
        <f t="shared" si="10"/>
        <v/>
      </c>
      <c r="D167" s="557" t="str">
        <f t="shared" si="11"/>
        <v/>
      </c>
      <c r="E167" s="560"/>
      <c r="F167" s="559"/>
      <c r="G167" s="559" t="str">
        <f t="shared" si="12"/>
        <v/>
      </c>
      <c r="H167" s="559" t="str">
        <f t="shared" si="13"/>
        <v/>
      </c>
      <c r="I167" s="559" t="str">
        <f t="shared" si="14"/>
        <v/>
      </c>
    </row>
    <row r="168" spans="2:9">
      <c r="B168" s="555" t="str">
        <f t="shared" si="9"/>
        <v/>
      </c>
      <c r="C168" s="556" t="str">
        <f t="shared" si="10"/>
        <v/>
      </c>
      <c r="D168" s="557" t="str">
        <f t="shared" si="11"/>
        <v/>
      </c>
      <c r="E168" s="560"/>
      <c r="F168" s="559"/>
      <c r="G168" s="559" t="str">
        <f t="shared" si="12"/>
        <v/>
      </c>
      <c r="H168" s="559" t="str">
        <f t="shared" si="13"/>
        <v/>
      </c>
      <c r="I168" s="559" t="str">
        <f t="shared" si="14"/>
        <v/>
      </c>
    </row>
    <row r="169" spans="2:9">
      <c r="B169" s="555" t="str">
        <f t="shared" si="9"/>
        <v/>
      </c>
      <c r="C169" s="556" t="str">
        <f t="shared" si="10"/>
        <v/>
      </c>
      <c r="D169" s="557" t="str">
        <f t="shared" si="11"/>
        <v/>
      </c>
      <c r="E169" s="560"/>
      <c r="F169" s="559"/>
      <c r="G169" s="559" t="str">
        <f t="shared" si="12"/>
        <v/>
      </c>
      <c r="H169" s="559" t="str">
        <f t="shared" si="13"/>
        <v/>
      </c>
      <c r="I169" s="559" t="str">
        <f t="shared" si="14"/>
        <v/>
      </c>
    </row>
    <row r="170" spans="2:9">
      <c r="B170" s="555" t="str">
        <f t="shared" si="9"/>
        <v/>
      </c>
      <c r="C170" s="556" t="str">
        <f t="shared" si="10"/>
        <v/>
      </c>
      <c r="D170" s="557" t="str">
        <f t="shared" si="11"/>
        <v/>
      </c>
      <c r="E170" s="560"/>
      <c r="F170" s="559"/>
      <c r="G170" s="559" t="str">
        <f t="shared" si="12"/>
        <v/>
      </c>
      <c r="H170" s="559" t="str">
        <f t="shared" si="13"/>
        <v/>
      </c>
      <c r="I170" s="559" t="str">
        <f t="shared" si="14"/>
        <v/>
      </c>
    </row>
    <row r="171" spans="2:9">
      <c r="B171" s="555" t="str">
        <f t="shared" si="9"/>
        <v/>
      </c>
      <c r="C171" s="556" t="str">
        <f t="shared" si="10"/>
        <v/>
      </c>
      <c r="D171" s="557" t="str">
        <f t="shared" si="11"/>
        <v/>
      </c>
      <c r="E171" s="560"/>
      <c r="F171" s="559"/>
      <c r="G171" s="559" t="str">
        <f t="shared" si="12"/>
        <v/>
      </c>
      <c r="H171" s="559" t="str">
        <f t="shared" si="13"/>
        <v/>
      </c>
      <c r="I171" s="559" t="str">
        <f t="shared" si="14"/>
        <v/>
      </c>
    </row>
    <row r="172" spans="2:9">
      <c r="B172" s="555" t="str">
        <f t="shared" si="9"/>
        <v/>
      </c>
      <c r="C172" s="556" t="str">
        <f t="shared" si="10"/>
        <v/>
      </c>
      <c r="D172" s="557" t="str">
        <f t="shared" si="11"/>
        <v/>
      </c>
      <c r="E172" s="560"/>
      <c r="F172" s="559"/>
      <c r="G172" s="559" t="str">
        <f t="shared" si="12"/>
        <v/>
      </c>
      <c r="H172" s="559" t="str">
        <f t="shared" si="13"/>
        <v/>
      </c>
      <c r="I172" s="559" t="str">
        <f t="shared" si="14"/>
        <v/>
      </c>
    </row>
    <row r="173" spans="2:9">
      <c r="B173" s="555" t="str">
        <f t="shared" si="9"/>
        <v/>
      </c>
      <c r="C173" s="556" t="str">
        <f t="shared" si="10"/>
        <v/>
      </c>
      <c r="D173" s="557" t="str">
        <f t="shared" si="11"/>
        <v/>
      </c>
      <c r="E173" s="560"/>
      <c r="F173" s="559"/>
      <c r="G173" s="559" t="str">
        <f t="shared" si="12"/>
        <v/>
      </c>
      <c r="H173" s="559" t="str">
        <f t="shared" si="13"/>
        <v/>
      </c>
      <c r="I173" s="559" t="str">
        <f t="shared" si="14"/>
        <v/>
      </c>
    </row>
    <row r="174" spans="2:9">
      <c r="B174" s="555" t="str">
        <f t="shared" si="9"/>
        <v/>
      </c>
      <c r="C174" s="556" t="str">
        <f t="shared" si="10"/>
        <v/>
      </c>
      <c r="D174" s="557" t="str">
        <f t="shared" si="11"/>
        <v/>
      </c>
      <c r="E174" s="560"/>
      <c r="F174" s="559"/>
      <c r="G174" s="559" t="str">
        <f t="shared" si="12"/>
        <v/>
      </c>
      <c r="H174" s="559" t="str">
        <f t="shared" si="13"/>
        <v/>
      </c>
      <c r="I174" s="559" t="str">
        <f t="shared" si="14"/>
        <v/>
      </c>
    </row>
    <row r="175" spans="2:9">
      <c r="B175" s="555" t="str">
        <f t="shared" si="9"/>
        <v/>
      </c>
      <c r="C175" s="556" t="str">
        <f t="shared" si="10"/>
        <v/>
      </c>
      <c r="D175" s="557" t="str">
        <f t="shared" si="11"/>
        <v/>
      </c>
      <c r="E175" s="560"/>
      <c r="F175" s="559"/>
      <c r="G175" s="559" t="str">
        <f t="shared" si="12"/>
        <v/>
      </c>
      <c r="H175" s="559" t="str">
        <f t="shared" si="13"/>
        <v/>
      </c>
      <c r="I175" s="559" t="str">
        <f t="shared" si="14"/>
        <v/>
      </c>
    </row>
    <row r="176" spans="2:9">
      <c r="B176" s="555" t="str">
        <f t="shared" si="9"/>
        <v/>
      </c>
      <c r="C176" s="556" t="str">
        <f t="shared" si="10"/>
        <v/>
      </c>
      <c r="D176" s="557" t="str">
        <f t="shared" si="11"/>
        <v/>
      </c>
      <c r="E176" s="560"/>
      <c r="F176" s="559"/>
      <c r="G176" s="559" t="str">
        <f t="shared" si="12"/>
        <v/>
      </c>
      <c r="H176" s="559" t="str">
        <f t="shared" si="13"/>
        <v/>
      </c>
      <c r="I176" s="559" t="str">
        <f t="shared" si="14"/>
        <v/>
      </c>
    </row>
    <row r="177" spans="2:9">
      <c r="B177" s="555" t="str">
        <f t="shared" si="9"/>
        <v/>
      </c>
      <c r="C177" s="556" t="str">
        <f t="shared" si="10"/>
        <v/>
      </c>
      <c r="D177" s="557" t="str">
        <f t="shared" si="11"/>
        <v/>
      </c>
      <c r="E177" s="560"/>
      <c r="F177" s="559"/>
      <c r="G177" s="559" t="str">
        <f t="shared" si="12"/>
        <v/>
      </c>
      <c r="H177" s="559" t="str">
        <f t="shared" si="13"/>
        <v/>
      </c>
      <c r="I177" s="559" t="str">
        <f t="shared" si="14"/>
        <v/>
      </c>
    </row>
    <row r="178" spans="2:9">
      <c r="B178" s="555" t="str">
        <f t="shared" si="9"/>
        <v/>
      </c>
      <c r="C178" s="556" t="str">
        <f t="shared" si="10"/>
        <v/>
      </c>
      <c r="D178" s="557" t="str">
        <f t="shared" si="11"/>
        <v/>
      </c>
      <c r="E178" s="560"/>
      <c r="F178" s="559"/>
      <c r="G178" s="559" t="str">
        <f t="shared" si="12"/>
        <v/>
      </c>
      <c r="H178" s="559" t="str">
        <f t="shared" si="13"/>
        <v/>
      </c>
      <c r="I178" s="559" t="str">
        <f t="shared" si="14"/>
        <v/>
      </c>
    </row>
    <row r="179" spans="2:9">
      <c r="B179" s="555" t="str">
        <f t="shared" si="9"/>
        <v/>
      </c>
      <c r="C179" s="556" t="str">
        <f t="shared" si="10"/>
        <v/>
      </c>
      <c r="D179" s="557" t="str">
        <f t="shared" si="11"/>
        <v/>
      </c>
      <c r="E179" s="560"/>
      <c r="F179" s="559"/>
      <c r="G179" s="559" t="str">
        <f t="shared" si="12"/>
        <v/>
      </c>
      <c r="H179" s="559" t="str">
        <f t="shared" si="13"/>
        <v/>
      </c>
      <c r="I179" s="559" t="str">
        <f t="shared" si="14"/>
        <v/>
      </c>
    </row>
    <row r="180" spans="2:9">
      <c r="B180" s="555" t="str">
        <f t="shared" si="9"/>
        <v/>
      </c>
      <c r="C180" s="556" t="str">
        <f t="shared" si="10"/>
        <v/>
      </c>
      <c r="D180" s="557" t="str">
        <f t="shared" si="11"/>
        <v/>
      </c>
      <c r="E180" s="560"/>
      <c r="F180" s="559"/>
      <c r="G180" s="559" t="str">
        <f t="shared" si="12"/>
        <v/>
      </c>
      <c r="H180" s="559" t="str">
        <f t="shared" si="13"/>
        <v/>
      </c>
      <c r="I180" s="559" t="str">
        <f t="shared" si="14"/>
        <v/>
      </c>
    </row>
    <row r="181" spans="2:9">
      <c r="B181" s="555" t="str">
        <f t="shared" si="9"/>
        <v/>
      </c>
      <c r="C181" s="556" t="str">
        <f t="shared" si="10"/>
        <v/>
      </c>
      <c r="D181" s="557" t="str">
        <f t="shared" si="11"/>
        <v/>
      </c>
      <c r="E181" s="560"/>
      <c r="F181" s="559"/>
      <c r="G181" s="559" t="str">
        <f t="shared" si="12"/>
        <v/>
      </c>
      <c r="H181" s="559" t="str">
        <f t="shared" si="13"/>
        <v/>
      </c>
      <c r="I181" s="559" t="str">
        <f t="shared" si="14"/>
        <v/>
      </c>
    </row>
    <row r="182" spans="2:9">
      <c r="B182" s="555" t="str">
        <f t="shared" si="9"/>
        <v/>
      </c>
      <c r="C182" s="556" t="str">
        <f t="shared" si="10"/>
        <v/>
      </c>
      <c r="D182" s="557" t="str">
        <f t="shared" si="11"/>
        <v/>
      </c>
      <c r="E182" s="560"/>
      <c r="F182" s="559"/>
      <c r="G182" s="559" t="str">
        <f t="shared" si="12"/>
        <v/>
      </c>
      <c r="H182" s="559" t="str">
        <f t="shared" si="13"/>
        <v/>
      </c>
      <c r="I182" s="559" t="str">
        <f t="shared" si="14"/>
        <v/>
      </c>
    </row>
    <row r="183" spans="2:9">
      <c r="B183" s="555" t="str">
        <f t="shared" si="9"/>
        <v/>
      </c>
      <c r="C183" s="556" t="str">
        <f t="shared" si="10"/>
        <v/>
      </c>
      <c r="D183" s="557" t="str">
        <f t="shared" si="11"/>
        <v/>
      </c>
      <c r="E183" s="560"/>
      <c r="F183" s="559"/>
      <c r="G183" s="559" t="str">
        <f t="shared" si="12"/>
        <v/>
      </c>
      <c r="H183" s="559" t="str">
        <f t="shared" si="13"/>
        <v/>
      </c>
      <c r="I183" s="559" t="str">
        <f t="shared" si="14"/>
        <v/>
      </c>
    </row>
    <row r="184" spans="2:9">
      <c r="B184" s="555" t="str">
        <f t="shared" si="9"/>
        <v/>
      </c>
      <c r="C184" s="556" t="str">
        <f t="shared" si="10"/>
        <v/>
      </c>
      <c r="D184" s="557" t="str">
        <f t="shared" si="11"/>
        <v/>
      </c>
      <c r="E184" s="560"/>
      <c r="F184" s="559"/>
      <c r="G184" s="559" t="str">
        <f t="shared" si="12"/>
        <v/>
      </c>
      <c r="H184" s="559" t="str">
        <f t="shared" si="13"/>
        <v/>
      </c>
      <c r="I184" s="559" t="str">
        <f t="shared" si="14"/>
        <v/>
      </c>
    </row>
    <row r="185" spans="2:9">
      <c r="B185" s="555" t="str">
        <f t="shared" si="9"/>
        <v/>
      </c>
      <c r="C185" s="556" t="str">
        <f t="shared" si="10"/>
        <v/>
      </c>
      <c r="D185" s="557" t="str">
        <f t="shared" si="11"/>
        <v/>
      </c>
      <c r="E185" s="560"/>
      <c r="F185" s="559"/>
      <c r="G185" s="559" t="str">
        <f t="shared" si="12"/>
        <v/>
      </c>
      <c r="H185" s="559" t="str">
        <f t="shared" si="13"/>
        <v/>
      </c>
      <c r="I185" s="559" t="str">
        <f t="shared" si="14"/>
        <v/>
      </c>
    </row>
    <row r="186" spans="2:9">
      <c r="B186" s="555" t="str">
        <f t="shared" si="9"/>
        <v/>
      </c>
      <c r="C186" s="556" t="str">
        <f t="shared" si="10"/>
        <v/>
      </c>
      <c r="D186" s="557" t="str">
        <f t="shared" si="11"/>
        <v/>
      </c>
      <c r="E186" s="560"/>
      <c r="F186" s="559"/>
      <c r="G186" s="559" t="str">
        <f t="shared" si="12"/>
        <v/>
      </c>
      <c r="H186" s="559" t="str">
        <f t="shared" si="13"/>
        <v/>
      </c>
      <c r="I186" s="559" t="str">
        <f t="shared" si="14"/>
        <v/>
      </c>
    </row>
    <row r="187" spans="2:9">
      <c r="B187" s="555" t="str">
        <f t="shared" si="9"/>
        <v/>
      </c>
      <c r="C187" s="556" t="str">
        <f t="shared" si="10"/>
        <v/>
      </c>
      <c r="D187" s="557" t="str">
        <f t="shared" si="11"/>
        <v/>
      </c>
      <c r="E187" s="560"/>
      <c r="F187" s="559"/>
      <c r="G187" s="559" t="str">
        <f t="shared" si="12"/>
        <v/>
      </c>
      <c r="H187" s="559" t="str">
        <f t="shared" si="13"/>
        <v/>
      </c>
      <c r="I187" s="559" t="str">
        <f t="shared" si="14"/>
        <v/>
      </c>
    </row>
    <row r="188" spans="2:9">
      <c r="B188" s="555" t="str">
        <f t="shared" si="9"/>
        <v/>
      </c>
      <c r="C188" s="556" t="str">
        <f t="shared" si="10"/>
        <v/>
      </c>
      <c r="D188" s="557" t="str">
        <f t="shared" si="11"/>
        <v/>
      </c>
      <c r="E188" s="560"/>
      <c r="F188" s="559"/>
      <c r="G188" s="559" t="str">
        <f t="shared" si="12"/>
        <v/>
      </c>
      <c r="H188" s="559" t="str">
        <f t="shared" si="13"/>
        <v/>
      </c>
      <c r="I188" s="559" t="str">
        <f t="shared" si="14"/>
        <v/>
      </c>
    </row>
    <row r="189" spans="2:9">
      <c r="B189" s="555" t="str">
        <f t="shared" ref="B189:B252" si="15">IF(I188="","",IF(roundOpt,IF(OR(B188&gt;=nper,ROUND(I188,2)&lt;=0),"",B188+1),IF(OR(B188&gt;=nper,I188&lt;=0),"",B188+1)))</f>
        <v/>
      </c>
      <c r="C189" s="556" t="str">
        <f t="shared" ref="C189:C252" si="16">IF(B189="","",IF(OR(periods_per_year=26,periods_per_year=52),IF(periods_per_year=26,IF(B189=1,fpdate,C188+14),IF(periods_per_year=52,IF(B189=1,fpdate,C188+7),"n/a")),IF(periods_per_year=24,DATE(YEAR(fpdate),MONTH(fpdate)+(B189-1)/2+IF(AND(DAY(fpdate)&gt;=15,MOD(B189,2)=0),1,0),IF(MOD(B189,2)=0,IF(DAY(fpdate)&gt;=15,DAY(fpdate)-14,DAY(fpdate)+14),DAY(fpdate))),IF(DAY(DATE(YEAR(fpdate),MONTH(fpdate)+(B189-1)*months_per_period,DAY(fpdate)))&lt;&gt;DAY(fpdate),DATE(YEAR(fpdate),MONTH(fpdate)+(B189-1)*months_per_period+1,0),DATE(YEAR(fpdate),MONTH(fpdate)+(B189-1)*months_per_period,DAY(fpdate))))))</f>
        <v/>
      </c>
      <c r="D189" s="557" t="str">
        <f t="shared" ref="D189:D252" si="17">IF(B189="","",IF(roundOpt,IF(OR(B189=nper,payment&gt;ROUND((1+rate)*I188,2)),ROUND((1+rate)*I188,2),payment),IF(OR(B189=nper,payment&gt;(1+rate)*I188),(1+rate)*I188,payment)))</f>
        <v/>
      </c>
      <c r="E189" s="560"/>
      <c r="F189" s="559"/>
      <c r="G189" s="559" t="str">
        <f t="shared" ref="G189:G252" si="18">IF(B189="","",IF(AND(B189=1,pmtType=1),0,IF(roundOpt,ROUND(rate*I188,2),rate*I188)))</f>
        <v/>
      </c>
      <c r="H189" s="559" t="str">
        <f t="shared" ref="H189:H252" si="19">IF(B189="","",D189-G189+E189)</f>
        <v/>
      </c>
      <c r="I189" s="559" t="str">
        <f t="shared" ref="I189:I252" si="20">IF(B189="","",I188-H189)</f>
        <v/>
      </c>
    </row>
    <row r="190" spans="2:9">
      <c r="B190" s="555" t="str">
        <f t="shared" si="15"/>
        <v/>
      </c>
      <c r="C190" s="556" t="str">
        <f t="shared" si="16"/>
        <v/>
      </c>
      <c r="D190" s="557" t="str">
        <f t="shared" si="17"/>
        <v/>
      </c>
      <c r="E190" s="560"/>
      <c r="F190" s="559"/>
      <c r="G190" s="559" t="str">
        <f t="shared" si="18"/>
        <v/>
      </c>
      <c r="H190" s="559" t="str">
        <f t="shared" si="19"/>
        <v/>
      </c>
      <c r="I190" s="559" t="str">
        <f t="shared" si="20"/>
        <v/>
      </c>
    </row>
    <row r="191" spans="2:9">
      <c r="B191" s="555" t="str">
        <f t="shared" si="15"/>
        <v/>
      </c>
      <c r="C191" s="556" t="str">
        <f t="shared" si="16"/>
        <v/>
      </c>
      <c r="D191" s="557" t="str">
        <f t="shared" si="17"/>
        <v/>
      </c>
      <c r="E191" s="560"/>
      <c r="F191" s="559"/>
      <c r="G191" s="559" t="str">
        <f t="shared" si="18"/>
        <v/>
      </c>
      <c r="H191" s="559" t="str">
        <f t="shared" si="19"/>
        <v/>
      </c>
      <c r="I191" s="559" t="str">
        <f t="shared" si="20"/>
        <v/>
      </c>
    </row>
    <row r="192" spans="2:9">
      <c r="B192" s="555" t="str">
        <f t="shared" si="15"/>
        <v/>
      </c>
      <c r="C192" s="556" t="str">
        <f t="shared" si="16"/>
        <v/>
      </c>
      <c r="D192" s="557" t="str">
        <f t="shared" si="17"/>
        <v/>
      </c>
      <c r="E192" s="560"/>
      <c r="F192" s="559"/>
      <c r="G192" s="559" t="str">
        <f t="shared" si="18"/>
        <v/>
      </c>
      <c r="H192" s="559" t="str">
        <f t="shared" si="19"/>
        <v/>
      </c>
      <c r="I192" s="559" t="str">
        <f t="shared" si="20"/>
        <v/>
      </c>
    </row>
    <row r="193" spans="2:9">
      <c r="B193" s="555" t="str">
        <f t="shared" si="15"/>
        <v/>
      </c>
      <c r="C193" s="556" t="str">
        <f t="shared" si="16"/>
        <v/>
      </c>
      <c r="D193" s="557" t="str">
        <f t="shared" si="17"/>
        <v/>
      </c>
      <c r="E193" s="560"/>
      <c r="F193" s="559"/>
      <c r="G193" s="559" t="str">
        <f t="shared" si="18"/>
        <v/>
      </c>
      <c r="H193" s="559" t="str">
        <f t="shared" si="19"/>
        <v/>
      </c>
      <c r="I193" s="559" t="str">
        <f t="shared" si="20"/>
        <v/>
      </c>
    </row>
    <row r="194" spans="2:9">
      <c r="B194" s="555" t="str">
        <f t="shared" si="15"/>
        <v/>
      </c>
      <c r="C194" s="556" t="str">
        <f t="shared" si="16"/>
        <v/>
      </c>
      <c r="D194" s="557" t="str">
        <f t="shared" si="17"/>
        <v/>
      </c>
      <c r="E194" s="560"/>
      <c r="F194" s="559"/>
      <c r="G194" s="559" t="str">
        <f t="shared" si="18"/>
        <v/>
      </c>
      <c r="H194" s="559" t="str">
        <f t="shared" si="19"/>
        <v/>
      </c>
      <c r="I194" s="559" t="str">
        <f t="shared" si="20"/>
        <v/>
      </c>
    </row>
    <row r="195" spans="2:9">
      <c r="B195" s="555" t="str">
        <f t="shared" si="15"/>
        <v/>
      </c>
      <c r="C195" s="556" t="str">
        <f t="shared" si="16"/>
        <v/>
      </c>
      <c r="D195" s="557" t="str">
        <f t="shared" si="17"/>
        <v/>
      </c>
      <c r="E195" s="560"/>
      <c r="F195" s="559"/>
      <c r="G195" s="559" t="str">
        <f t="shared" si="18"/>
        <v/>
      </c>
      <c r="H195" s="559" t="str">
        <f t="shared" si="19"/>
        <v/>
      </c>
      <c r="I195" s="559" t="str">
        <f t="shared" si="20"/>
        <v/>
      </c>
    </row>
    <row r="196" spans="2:9">
      <c r="B196" s="555" t="str">
        <f t="shared" si="15"/>
        <v/>
      </c>
      <c r="C196" s="556" t="str">
        <f t="shared" si="16"/>
        <v/>
      </c>
      <c r="D196" s="557" t="str">
        <f t="shared" si="17"/>
        <v/>
      </c>
      <c r="E196" s="560"/>
      <c r="F196" s="559"/>
      <c r="G196" s="559" t="str">
        <f t="shared" si="18"/>
        <v/>
      </c>
      <c r="H196" s="559" t="str">
        <f t="shared" si="19"/>
        <v/>
      </c>
      <c r="I196" s="559" t="str">
        <f t="shared" si="20"/>
        <v/>
      </c>
    </row>
    <row r="197" spans="2:9">
      <c r="B197" s="555" t="str">
        <f t="shared" si="15"/>
        <v/>
      </c>
      <c r="C197" s="556" t="str">
        <f t="shared" si="16"/>
        <v/>
      </c>
      <c r="D197" s="557" t="str">
        <f t="shared" si="17"/>
        <v/>
      </c>
      <c r="E197" s="560"/>
      <c r="F197" s="559"/>
      <c r="G197" s="559" t="str">
        <f t="shared" si="18"/>
        <v/>
      </c>
      <c r="H197" s="559" t="str">
        <f t="shared" si="19"/>
        <v/>
      </c>
      <c r="I197" s="559" t="str">
        <f t="shared" si="20"/>
        <v/>
      </c>
    </row>
    <row r="198" spans="2:9">
      <c r="B198" s="555" t="str">
        <f t="shared" si="15"/>
        <v/>
      </c>
      <c r="C198" s="556" t="str">
        <f t="shared" si="16"/>
        <v/>
      </c>
      <c r="D198" s="557" t="str">
        <f t="shared" si="17"/>
        <v/>
      </c>
      <c r="E198" s="560"/>
      <c r="F198" s="559"/>
      <c r="G198" s="559" t="str">
        <f t="shared" si="18"/>
        <v/>
      </c>
      <c r="H198" s="559" t="str">
        <f t="shared" si="19"/>
        <v/>
      </c>
      <c r="I198" s="559" t="str">
        <f t="shared" si="20"/>
        <v/>
      </c>
    </row>
    <row r="199" spans="2:9">
      <c r="B199" s="555" t="str">
        <f t="shared" si="15"/>
        <v/>
      </c>
      <c r="C199" s="556" t="str">
        <f t="shared" si="16"/>
        <v/>
      </c>
      <c r="D199" s="557" t="str">
        <f t="shared" si="17"/>
        <v/>
      </c>
      <c r="E199" s="560"/>
      <c r="F199" s="559"/>
      <c r="G199" s="559" t="str">
        <f t="shared" si="18"/>
        <v/>
      </c>
      <c r="H199" s="559" t="str">
        <f t="shared" si="19"/>
        <v/>
      </c>
      <c r="I199" s="559" t="str">
        <f t="shared" si="20"/>
        <v/>
      </c>
    </row>
    <row r="200" spans="2:9">
      <c r="B200" s="555" t="str">
        <f t="shared" si="15"/>
        <v/>
      </c>
      <c r="C200" s="556" t="str">
        <f t="shared" si="16"/>
        <v/>
      </c>
      <c r="D200" s="557" t="str">
        <f t="shared" si="17"/>
        <v/>
      </c>
      <c r="E200" s="560"/>
      <c r="F200" s="559"/>
      <c r="G200" s="559" t="str">
        <f t="shared" si="18"/>
        <v/>
      </c>
      <c r="H200" s="559" t="str">
        <f t="shared" si="19"/>
        <v/>
      </c>
      <c r="I200" s="559" t="str">
        <f t="shared" si="20"/>
        <v/>
      </c>
    </row>
    <row r="201" spans="2:9">
      <c r="B201" s="555" t="str">
        <f t="shared" si="15"/>
        <v/>
      </c>
      <c r="C201" s="556" t="str">
        <f t="shared" si="16"/>
        <v/>
      </c>
      <c r="D201" s="557" t="str">
        <f t="shared" si="17"/>
        <v/>
      </c>
      <c r="E201" s="560"/>
      <c r="F201" s="559"/>
      <c r="G201" s="559" t="str">
        <f t="shared" si="18"/>
        <v/>
      </c>
      <c r="H201" s="559" t="str">
        <f t="shared" si="19"/>
        <v/>
      </c>
      <c r="I201" s="559" t="str">
        <f t="shared" si="20"/>
        <v/>
      </c>
    </row>
    <row r="202" spans="2:9">
      <c r="B202" s="555" t="str">
        <f t="shared" si="15"/>
        <v/>
      </c>
      <c r="C202" s="556" t="str">
        <f t="shared" si="16"/>
        <v/>
      </c>
      <c r="D202" s="557" t="str">
        <f t="shared" si="17"/>
        <v/>
      </c>
      <c r="E202" s="560"/>
      <c r="F202" s="559"/>
      <c r="G202" s="559" t="str">
        <f t="shared" si="18"/>
        <v/>
      </c>
      <c r="H202" s="559" t="str">
        <f t="shared" si="19"/>
        <v/>
      </c>
      <c r="I202" s="559" t="str">
        <f t="shared" si="20"/>
        <v/>
      </c>
    </row>
    <row r="203" spans="2:9">
      <c r="B203" s="555" t="str">
        <f t="shared" si="15"/>
        <v/>
      </c>
      <c r="C203" s="556" t="str">
        <f t="shared" si="16"/>
        <v/>
      </c>
      <c r="D203" s="557" t="str">
        <f t="shared" si="17"/>
        <v/>
      </c>
      <c r="E203" s="560"/>
      <c r="F203" s="559"/>
      <c r="G203" s="559" t="str">
        <f t="shared" si="18"/>
        <v/>
      </c>
      <c r="H203" s="559" t="str">
        <f t="shared" si="19"/>
        <v/>
      </c>
      <c r="I203" s="559" t="str">
        <f t="shared" si="20"/>
        <v/>
      </c>
    </row>
    <row r="204" spans="2:9">
      <c r="B204" s="555" t="str">
        <f t="shared" si="15"/>
        <v/>
      </c>
      <c r="C204" s="556" t="str">
        <f t="shared" si="16"/>
        <v/>
      </c>
      <c r="D204" s="557" t="str">
        <f t="shared" si="17"/>
        <v/>
      </c>
      <c r="E204" s="560"/>
      <c r="F204" s="559"/>
      <c r="G204" s="559" t="str">
        <f t="shared" si="18"/>
        <v/>
      </c>
      <c r="H204" s="559" t="str">
        <f t="shared" si="19"/>
        <v/>
      </c>
      <c r="I204" s="559" t="str">
        <f t="shared" si="20"/>
        <v/>
      </c>
    </row>
    <row r="205" spans="2:9">
      <c r="B205" s="555" t="str">
        <f t="shared" si="15"/>
        <v/>
      </c>
      <c r="C205" s="556" t="str">
        <f t="shared" si="16"/>
        <v/>
      </c>
      <c r="D205" s="557" t="str">
        <f t="shared" si="17"/>
        <v/>
      </c>
      <c r="E205" s="560"/>
      <c r="F205" s="559"/>
      <c r="G205" s="559" t="str">
        <f t="shared" si="18"/>
        <v/>
      </c>
      <c r="H205" s="559" t="str">
        <f t="shared" si="19"/>
        <v/>
      </c>
      <c r="I205" s="559" t="str">
        <f t="shared" si="20"/>
        <v/>
      </c>
    </row>
    <row r="206" spans="2:9">
      <c r="B206" s="555" t="str">
        <f t="shared" si="15"/>
        <v/>
      </c>
      <c r="C206" s="556" t="str">
        <f t="shared" si="16"/>
        <v/>
      </c>
      <c r="D206" s="557" t="str">
        <f t="shared" si="17"/>
        <v/>
      </c>
      <c r="E206" s="560"/>
      <c r="F206" s="559"/>
      <c r="G206" s="559" t="str">
        <f t="shared" si="18"/>
        <v/>
      </c>
      <c r="H206" s="559" t="str">
        <f t="shared" si="19"/>
        <v/>
      </c>
      <c r="I206" s="559" t="str">
        <f t="shared" si="20"/>
        <v/>
      </c>
    </row>
    <row r="207" spans="2:9">
      <c r="B207" s="555" t="str">
        <f t="shared" si="15"/>
        <v/>
      </c>
      <c r="C207" s="556" t="str">
        <f t="shared" si="16"/>
        <v/>
      </c>
      <c r="D207" s="557" t="str">
        <f t="shared" si="17"/>
        <v/>
      </c>
      <c r="E207" s="560"/>
      <c r="F207" s="559"/>
      <c r="G207" s="559" t="str">
        <f t="shared" si="18"/>
        <v/>
      </c>
      <c r="H207" s="559" t="str">
        <f t="shared" si="19"/>
        <v/>
      </c>
      <c r="I207" s="559" t="str">
        <f t="shared" si="20"/>
        <v/>
      </c>
    </row>
    <row r="208" spans="2:9">
      <c r="B208" s="555" t="str">
        <f t="shared" si="15"/>
        <v/>
      </c>
      <c r="C208" s="556" t="str">
        <f t="shared" si="16"/>
        <v/>
      </c>
      <c r="D208" s="557" t="str">
        <f t="shared" si="17"/>
        <v/>
      </c>
      <c r="E208" s="560"/>
      <c r="F208" s="559"/>
      <c r="G208" s="559" t="str">
        <f t="shared" si="18"/>
        <v/>
      </c>
      <c r="H208" s="559" t="str">
        <f t="shared" si="19"/>
        <v/>
      </c>
      <c r="I208" s="559" t="str">
        <f t="shared" si="20"/>
        <v/>
      </c>
    </row>
    <row r="209" spans="2:9">
      <c r="B209" s="555" t="str">
        <f t="shared" si="15"/>
        <v/>
      </c>
      <c r="C209" s="556" t="str">
        <f t="shared" si="16"/>
        <v/>
      </c>
      <c r="D209" s="557" t="str">
        <f t="shared" si="17"/>
        <v/>
      </c>
      <c r="E209" s="560"/>
      <c r="F209" s="559"/>
      <c r="G209" s="559" t="str">
        <f t="shared" si="18"/>
        <v/>
      </c>
      <c r="H209" s="559" t="str">
        <f t="shared" si="19"/>
        <v/>
      </c>
      <c r="I209" s="559" t="str">
        <f t="shared" si="20"/>
        <v/>
      </c>
    </row>
    <row r="210" spans="2:9">
      <c r="B210" s="555" t="str">
        <f t="shared" si="15"/>
        <v/>
      </c>
      <c r="C210" s="556" t="str">
        <f t="shared" si="16"/>
        <v/>
      </c>
      <c r="D210" s="557" t="str">
        <f t="shared" si="17"/>
        <v/>
      </c>
      <c r="E210" s="560"/>
      <c r="F210" s="559"/>
      <c r="G210" s="559" t="str">
        <f t="shared" si="18"/>
        <v/>
      </c>
      <c r="H210" s="559" t="str">
        <f t="shared" si="19"/>
        <v/>
      </c>
      <c r="I210" s="559" t="str">
        <f t="shared" si="20"/>
        <v/>
      </c>
    </row>
    <row r="211" spans="2:9">
      <c r="B211" s="555" t="str">
        <f t="shared" si="15"/>
        <v/>
      </c>
      <c r="C211" s="556" t="str">
        <f t="shared" si="16"/>
        <v/>
      </c>
      <c r="D211" s="557" t="str">
        <f t="shared" si="17"/>
        <v/>
      </c>
      <c r="E211" s="560"/>
      <c r="F211" s="559"/>
      <c r="G211" s="559" t="str">
        <f t="shared" si="18"/>
        <v/>
      </c>
      <c r="H211" s="559" t="str">
        <f t="shared" si="19"/>
        <v/>
      </c>
      <c r="I211" s="559" t="str">
        <f t="shared" si="20"/>
        <v/>
      </c>
    </row>
    <row r="212" spans="2:9">
      <c r="B212" s="555" t="str">
        <f t="shared" si="15"/>
        <v/>
      </c>
      <c r="C212" s="556" t="str">
        <f t="shared" si="16"/>
        <v/>
      </c>
      <c r="D212" s="557" t="str">
        <f t="shared" si="17"/>
        <v/>
      </c>
      <c r="E212" s="560"/>
      <c r="F212" s="559"/>
      <c r="G212" s="559" t="str">
        <f t="shared" si="18"/>
        <v/>
      </c>
      <c r="H212" s="559" t="str">
        <f t="shared" si="19"/>
        <v/>
      </c>
      <c r="I212" s="559" t="str">
        <f t="shared" si="20"/>
        <v/>
      </c>
    </row>
    <row r="213" spans="2:9">
      <c r="B213" s="555" t="str">
        <f t="shared" si="15"/>
        <v/>
      </c>
      <c r="C213" s="556" t="str">
        <f t="shared" si="16"/>
        <v/>
      </c>
      <c r="D213" s="557" t="str">
        <f t="shared" si="17"/>
        <v/>
      </c>
      <c r="E213" s="560"/>
      <c r="F213" s="559"/>
      <c r="G213" s="559" t="str">
        <f t="shared" si="18"/>
        <v/>
      </c>
      <c r="H213" s="559" t="str">
        <f t="shared" si="19"/>
        <v/>
      </c>
      <c r="I213" s="559" t="str">
        <f t="shared" si="20"/>
        <v/>
      </c>
    </row>
    <row r="214" spans="2:9">
      <c r="B214" s="555" t="str">
        <f t="shared" si="15"/>
        <v/>
      </c>
      <c r="C214" s="556" t="str">
        <f t="shared" si="16"/>
        <v/>
      </c>
      <c r="D214" s="557" t="str">
        <f t="shared" si="17"/>
        <v/>
      </c>
      <c r="E214" s="560"/>
      <c r="F214" s="559"/>
      <c r="G214" s="559" t="str">
        <f t="shared" si="18"/>
        <v/>
      </c>
      <c r="H214" s="559" t="str">
        <f t="shared" si="19"/>
        <v/>
      </c>
      <c r="I214" s="559" t="str">
        <f t="shared" si="20"/>
        <v/>
      </c>
    </row>
    <row r="215" spans="2:9">
      <c r="B215" s="555" t="str">
        <f t="shared" si="15"/>
        <v/>
      </c>
      <c r="C215" s="556" t="str">
        <f t="shared" si="16"/>
        <v/>
      </c>
      <c r="D215" s="557" t="str">
        <f t="shared" si="17"/>
        <v/>
      </c>
      <c r="E215" s="560"/>
      <c r="F215" s="559"/>
      <c r="G215" s="559" t="str">
        <f t="shared" si="18"/>
        <v/>
      </c>
      <c r="H215" s="559" t="str">
        <f t="shared" si="19"/>
        <v/>
      </c>
      <c r="I215" s="559" t="str">
        <f t="shared" si="20"/>
        <v/>
      </c>
    </row>
    <row r="216" spans="2:9">
      <c r="B216" s="555" t="str">
        <f t="shared" si="15"/>
        <v/>
      </c>
      <c r="C216" s="556" t="str">
        <f t="shared" si="16"/>
        <v/>
      </c>
      <c r="D216" s="557" t="str">
        <f t="shared" si="17"/>
        <v/>
      </c>
      <c r="E216" s="560"/>
      <c r="F216" s="559"/>
      <c r="G216" s="559" t="str">
        <f t="shared" si="18"/>
        <v/>
      </c>
      <c r="H216" s="559" t="str">
        <f t="shared" si="19"/>
        <v/>
      </c>
      <c r="I216" s="559" t="str">
        <f t="shared" si="20"/>
        <v/>
      </c>
    </row>
    <row r="217" spans="2:9">
      <c r="B217" s="555" t="str">
        <f t="shared" si="15"/>
        <v/>
      </c>
      <c r="C217" s="556" t="str">
        <f t="shared" si="16"/>
        <v/>
      </c>
      <c r="D217" s="557" t="str">
        <f t="shared" si="17"/>
        <v/>
      </c>
      <c r="E217" s="560"/>
      <c r="F217" s="559"/>
      <c r="G217" s="559" t="str">
        <f t="shared" si="18"/>
        <v/>
      </c>
      <c r="H217" s="559" t="str">
        <f t="shared" si="19"/>
        <v/>
      </c>
      <c r="I217" s="559" t="str">
        <f t="shared" si="20"/>
        <v/>
      </c>
    </row>
    <row r="218" spans="2:9">
      <c r="B218" s="555" t="str">
        <f t="shared" si="15"/>
        <v/>
      </c>
      <c r="C218" s="556" t="str">
        <f t="shared" si="16"/>
        <v/>
      </c>
      <c r="D218" s="557" t="str">
        <f t="shared" si="17"/>
        <v/>
      </c>
      <c r="E218" s="560"/>
      <c r="F218" s="559"/>
      <c r="G218" s="559" t="str">
        <f t="shared" si="18"/>
        <v/>
      </c>
      <c r="H218" s="559" t="str">
        <f t="shared" si="19"/>
        <v/>
      </c>
      <c r="I218" s="559" t="str">
        <f t="shared" si="20"/>
        <v/>
      </c>
    </row>
    <row r="219" spans="2:9">
      <c r="B219" s="555" t="str">
        <f t="shared" si="15"/>
        <v/>
      </c>
      <c r="C219" s="556" t="str">
        <f t="shared" si="16"/>
        <v/>
      </c>
      <c r="D219" s="557" t="str">
        <f t="shared" si="17"/>
        <v/>
      </c>
      <c r="E219" s="560"/>
      <c r="F219" s="559"/>
      <c r="G219" s="559" t="str">
        <f t="shared" si="18"/>
        <v/>
      </c>
      <c r="H219" s="559" t="str">
        <f t="shared" si="19"/>
        <v/>
      </c>
      <c r="I219" s="559" t="str">
        <f t="shared" si="20"/>
        <v/>
      </c>
    </row>
    <row r="220" spans="2:9">
      <c r="B220" s="555" t="str">
        <f t="shared" si="15"/>
        <v/>
      </c>
      <c r="C220" s="556" t="str">
        <f t="shared" si="16"/>
        <v/>
      </c>
      <c r="D220" s="557" t="str">
        <f t="shared" si="17"/>
        <v/>
      </c>
      <c r="E220" s="560"/>
      <c r="F220" s="559"/>
      <c r="G220" s="559" t="str">
        <f t="shared" si="18"/>
        <v/>
      </c>
      <c r="H220" s="559" t="str">
        <f t="shared" si="19"/>
        <v/>
      </c>
      <c r="I220" s="559" t="str">
        <f t="shared" si="20"/>
        <v/>
      </c>
    </row>
    <row r="221" spans="2:9">
      <c r="B221" s="555" t="str">
        <f t="shared" si="15"/>
        <v/>
      </c>
      <c r="C221" s="556" t="str">
        <f t="shared" si="16"/>
        <v/>
      </c>
      <c r="D221" s="557" t="str">
        <f t="shared" si="17"/>
        <v/>
      </c>
      <c r="E221" s="560"/>
      <c r="F221" s="559"/>
      <c r="G221" s="559" t="str">
        <f t="shared" si="18"/>
        <v/>
      </c>
      <c r="H221" s="559" t="str">
        <f t="shared" si="19"/>
        <v/>
      </c>
      <c r="I221" s="559" t="str">
        <f t="shared" si="20"/>
        <v/>
      </c>
    </row>
    <row r="222" spans="2:9">
      <c r="B222" s="555" t="str">
        <f t="shared" si="15"/>
        <v/>
      </c>
      <c r="C222" s="556" t="str">
        <f t="shared" si="16"/>
        <v/>
      </c>
      <c r="D222" s="557" t="str">
        <f t="shared" si="17"/>
        <v/>
      </c>
      <c r="E222" s="560"/>
      <c r="F222" s="559"/>
      <c r="G222" s="559" t="str">
        <f t="shared" si="18"/>
        <v/>
      </c>
      <c r="H222" s="559" t="str">
        <f t="shared" si="19"/>
        <v/>
      </c>
      <c r="I222" s="559" t="str">
        <f t="shared" si="20"/>
        <v/>
      </c>
    </row>
    <row r="223" spans="2:9">
      <c r="B223" s="555" t="str">
        <f t="shared" si="15"/>
        <v/>
      </c>
      <c r="C223" s="556" t="str">
        <f t="shared" si="16"/>
        <v/>
      </c>
      <c r="D223" s="557" t="str">
        <f t="shared" si="17"/>
        <v/>
      </c>
      <c r="E223" s="560"/>
      <c r="F223" s="559"/>
      <c r="G223" s="559" t="str">
        <f t="shared" si="18"/>
        <v/>
      </c>
      <c r="H223" s="559" t="str">
        <f t="shared" si="19"/>
        <v/>
      </c>
      <c r="I223" s="559" t="str">
        <f t="shared" si="20"/>
        <v/>
      </c>
    </row>
    <row r="224" spans="2:9">
      <c r="B224" s="555" t="str">
        <f t="shared" si="15"/>
        <v/>
      </c>
      <c r="C224" s="556" t="str">
        <f t="shared" si="16"/>
        <v/>
      </c>
      <c r="D224" s="557" t="str">
        <f t="shared" si="17"/>
        <v/>
      </c>
      <c r="E224" s="560"/>
      <c r="F224" s="559"/>
      <c r="G224" s="559" t="str">
        <f t="shared" si="18"/>
        <v/>
      </c>
      <c r="H224" s="559" t="str">
        <f t="shared" si="19"/>
        <v/>
      </c>
      <c r="I224" s="559" t="str">
        <f t="shared" si="20"/>
        <v/>
      </c>
    </row>
    <row r="225" spans="2:9">
      <c r="B225" s="555" t="str">
        <f t="shared" si="15"/>
        <v/>
      </c>
      <c r="C225" s="556" t="str">
        <f t="shared" si="16"/>
        <v/>
      </c>
      <c r="D225" s="557" t="str">
        <f t="shared" si="17"/>
        <v/>
      </c>
      <c r="E225" s="560"/>
      <c r="F225" s="559"/>
      <c r="G225" s="559" t="str">
        <f t="shared" si="18"/>
        <v/>
      </c>
      <c r="H225" s="559" t="str">
        <f t="shared" si="19"/>
        <v/>
      </c>
      <c r="I225" s="559" t="str">
        <f t="shared" si="20"/>
        <v/>
      </c>
    </row>
    <row r="226" spans="2:9">
      <c r="B226" s="555" t="str">
        <f t="shared" si="15"/>
        <v/>
      </c>
      <c r="C226" s="556" t="str">
        <f t="shared" si="16"/>
        <v/>
      </c>
      <c r="D226" s="557" t="str">
        <f t="shared" si="17"/>
        <v/>
      </c>
      <c r="E226" s="560"/>
      <c r="F226" s="559"/>
      <c r="G226" s="559" t="str">
        <f t="shared" si="18"/>
        <v/>
      </c>
      <c r="H226" s="559" t="str">
        <f t="shared" si="19"/>
        <v/>
      </c>
      <c r="I226" s="559" t="str">
        <f t="shared" si="20"/>
        <v/>
      </c>
    </row>
    <row r="227" spans="2:9">
      <c r="B227" s="555" t="str">
        <f t="shared" si="15"/>
        <v/>
      </c>
      <c r="C227" s="556" t="str">
        <f t="shared" si="16"/>
        <v/>
      </c>
      <c r="D227" s="557" t="str">
        <f t="shared" si="17"/>
        <v/>
      </c>
      <c r="E227" s="560"/>
      <c r="F227" s="559"/>
      <c r="G227" s="559" t="str">
        <f t="shared" si="18"/>
        <v/>
      </c>
      <c r="H227" s="559" t="str">
        <f t="shared" si="19"/>
        <v/>
      </c>
      <c r="I227" s="559" t="str">
        <f t="shared" si="20"/>
        <v/>
      </c>
    </row>
    <row r="228" spans="2:9">
      <c r="B228" s="555" t="str">
        <f t="shared" si="15"/>
        <v/>
      </c>
      <c r="C228" s="556" t="str">
        <f t="shared" si="16"/>
        <v/>
      </c>
      <c r="D228" s="557" t="str">
        <f t="shared" si="17"/>
        <v/>
      </c>
      <c r="E228" s="560"/>
      <c r="F228" s="559"/>
      <c r="G228" s="559" t="str">
        <f t="shared" si="18"/>
        <v/>
      </c>
      <c r="H228" s="559" t="str">
        <f t="shared" si="19"/>
        <v/>
      </c>
      <c r="I228" s="559" t="str">
        <f t="shared" si="20"/>
        <v/>
      </c>
    </row>
    <row r="229" spans="2:9">
      <c r="B229" s="555" t="str">
        <f t="shared" si="15"/>
        <v/>
      </c>
      <c r="C229" s="556" t="str">
        <f t="shared" si="16"/>
        <v/>
      </c>
      <c r="D229" s="557" t="str">
        <f t="shared" si="17"/>
        <v/>
      </c>
      <c r="E229" s="560"/>
      <c r="F229" s="559"/>
      <c r="G229" s="559" t="str">
        <f t="shared" si="18"/>
        <v/>
      </c>
      <c r="H229" s="559" t="str">
        <f t="shared" si="19"/>
        <v/>
      </c>
      <c r="I229" s="559" t="str">
        <f t="shared" si="20"/>
        <v/>
      </c>
    </row>
    <row r="230" spans="2:9">
      <c r="B230" s="555" t="str">
        <f t="shared" si="15"/>
        <v/>
      </c>
      <c r="C230" s="556" t="str">
        <f t="shared" si="16"/>
        <v/>
      </c>
      <c r="D230" s="557" t="str">
        <f t="shared" si="17"/>
        <v/>
      </c>
      <c r="E230" s="560"/>
      <c r="F230" s="559"/>
      <c r="G230" s="559" t="str">
        <f t="shared" si="18"/>
        <v/>
      </c>
      <c r="H230" s="559" t="str">
        <f t="shared" si="19"/>
        <v/>
      </c>
      <c r="I230" s="559" t="str">
        <f t="shared" si="20"/>
        <v/>
      </c>
    </row>
    <row r="231" spans="2:9">
      <c r="B231" s="555" t="str">
        <f t="shared" si="15"/>
        <v/>
      </c>
      <c r="C231" s="556" t="str">
        <f t="shared" si="16"/>
        <v/>
      </c>
      <c r="D231" s="557" t="str">
        <f t="shared" si="17"/>
        <v/>
      </c>
      <c r="E231" s="560"/>
      <c r="F231" s="559"/>
      <c r="G231" s="559" t="str">
        <f t="shared" si="18"/>
        <v/>
      </c>
      <c r="H231" s="559" t="str">
        <f t="shared" si="19"/>
        <v/>
      </c>
      <c r="I231" s="559" t="str">
        <f t="shared" si="20"/>
        <v/>
      </c>
    </row>
    <row r="232" spans="2:9">
      <c r="B232" s="555" t="str">
        <f t="shared" si="15"/>
        <v/>
      </c>
      <c r="C232" s="556" t="str">
        <f t="shared" si="16"/>
        <v/>
      </c>
      <c r="D232" s="557" t="str">
        <f t="shared" si="17"/>
        <v/>
      </c>
      <c r="E232" s="560"/>
      <c r="F232" s="559"/>
      <c r="G232" s="559" t="str">
        <f t="shared" si="18"/>
        <v/>
      </c>
      <c r="H232" s="559" t="str">
        <f t="shared" si="19"/>
        <v/>
      </c>
      <c r="I232" s="559" t="str">
        <f t="shared" si="20"/>
        <v/>
      </c>
    </row>
    <row r="233" spans="2:9">
      <c r="B233" s="555" t="str">
        <f t="shared" si="15"/>
        <v/>
      </c>
      <c r="C233" s="556" t="str">
        <f t="shared" si="16"/>
        <v/>
      </c>
      <c r="D233" s="557" t="str">
        <f t="shared" si="17"/>
        <v/>
      </c>
      <c r="E233" s="560"/>
      <c r="F233" s="559"/>
      <c r="G233" s="559" t="str">
        <f t="shared" si="18"/>
        <v/>
      </c>
      <c r="H233" s="559" t="str">
        <f t="shared" si="19"/>
        <v/>
      </c>
      <c r="I233" s="559" t="str">
        <f t="shared" si="20"/>
        <v/>
      </c>
    </row>
    <row r="234" spans="2:9">
      <c r="B234" s="555" t="str">
        <f t="shared" si="15"/>
        <v/>
      </c>
      <c r="C234" s="556" t="str">
        <f t="shared" si="16"/>
        <v/>
      </c>
      <c r="D234" s="557" t="str">
        <f t="shared" si="17"/>
        <v/>
      </c>
      <c r="E234" s="560"/>
      <c r="F234" s="559"/>
      <c r="G234" s="559" t="str">
        <f t="shared" si="18"/>
        <v/>
      </c>
      <c r="H234" s="559" t="str">
        <f t="shared" si="19"/>
        <v/>
      </c>
      <c r="I234" s="559" t="str">
        <f t="shared" si="20"/>
        <v/>
      </c>
    </row>
    <row r="235" spans="2:9">
      <c r="B235" s="555" t="str">
        <f t="shared" si="15"/>
        <v/>
      </c>
      <c r="C235" s="556" t="str">
        <f t="shared" si="16"/>
        <v/>
      </c>
      <c r="D235" s="557" t="str">
        <f t="shared" si="17"/>
        <v/>
      </c>
      <c r="E235" s="560"/>
      <c r="F235" s="559"/>
      <c r="G235" s="559" t="str">
        <f t="shared" si="18"/>
        <v/>
      </c>
      <c r="H235" s="559" t="str">
        <f t="shared" si="19"/>
        <v/>
      </c>
      <c r="I235" s="559" t="str">
        <f t="shared" si="20"/>
        <v/>
      </c>
    </row>
    <row r="236" spans="2:9">
      <c r="B236" s="555" t="str">
        <f t="shared" si="15"/>
        <v/>
      </c>
      <c r="C236" s="556" t="str">
        <f t="shared" si="16"/>
        <v/>
      </c>
      <c r="D236" s="557" t="str">
        <f t="shared" si="17"/>
        <v/>
      </c>
      <c r="E236" s="560"/>
      <c r="F236" s="559"/>
      <c r="G236" s="559" t="str">
        <f t="shared" si="18"/>
        <v/>
      </c>
      <c r="H236" s="559" t="str">
        <f t="shared" si="19"/>
        <v/>
      </c>
      <c r="I236" s="559" t="str">
        <f t="shared" si="20"/>
        <v/>
      </c>
    </row>
    <row r="237" spans="2:9">
      <c r="B237" s="555" t="str">
        <f t="shared" si="15"/>
        <v/>
      </c>
      <c r="C237" s="556" t="str">
        <f t="shared" si="16"/>
        <v/>
      </c>
      <c r="D237" s="557" t="str">
        <f t="shared" si="17"/>
        <v/>
      </c>
      <c r="E237" s="560"/>
      <c r="F237" s="559"/>
      <c r="G237" s="559" t="str">
        <f t="shared" si="18"/>
        <v/>
      </c>
      <c r="H237" s="559" t="str">
        <f t="shared" si="19"/>
        <v/>
      </c>
      <c r="I237" s="559" t="str">
        <f t="shared" si="20"/>
        <v/>
      </c>
    </row>
    <row r="238" spans="2:9">
      <c r="B238" s="555" t="str">
        <f t="shared" si="15"/>
        <v/>
      </c>
      <c r="C238" s="556" t="str">
        <f t="shared" si="16"/>
        <v/>
      </c>
      <c r="D238" s="557" t="str">
        <f t="shared" si="17"/>
        <v/>
      </c>
      <c r="E238" s="560"/>
      <c r="F238" s="559"/>
      <c r="G238" s="559" t="str">
        <f t="shared" si="18"/>
        <v/>
      </c>
      <c r="H238" s="559" t="str">
        <f t="shared" si="19"/>
        <v/>
      </c>
      <c r="I238" s="559" t="str">
        <f t="shared" si="20"/>
        <v/>
      </c>
    </row>
    <row r="239" spans="2:9">
      <c r="B239" s="555" t="str">
        <f t="shared" si="15"/>
        <v/>
      </c>
      <c r="C239" s="556" t="str">
        <f t="shared" si="16"/>
        <v/>
      </c>
      <c r="D239" s="557" t="str">
        <f t="shared" si="17"/>
        <v/>
      </c>
      <c r="E239" s="560"/>
      <c r="F239" s="559"/>
      <c r="G239" s="559" t="str">
        <f t="shared" si="18"/>
        <v/>
      </c>
      <c r="H239" s="559" t="str">
        <f t="shared" si="19"/>
        <v/>
      </c>
      <c r="I239" s="559" t="str">
        <f t="shared" si="20"/>
        <v/>
      </c>
    </row>
    <row r="240" spans="2:9">
      <c r="B240" s="555" t="str">
        <f t="shared" si="15"/>
        <v/>
      </c>
      <c r="C240" s="556" t="str">
        <f t="shared" si="16"/>
        <v/>
      </c>
      <c r="D240" s="557" t="str">
        <f t="shared" si="17"/>
        <v/>
      </c>
      <c r="E240" s="560"/>
      <c r="F240" s="559"/>
      <c r="G240" s="559" t="str">
        <f t="shared" si="18"/>
        <v/>
      </c>
      <c r="H240" s="559" t="str">
        <f t="shared" si="19"/>
        <v/>
      </c>
      <c r="I240" s="559" t="str">
        <f t="shared" si="20"/>
        <v/>
      </c>
    </row>
    <row r="241" spans="2:9">
      <c r="B241" s="555" t="str">
        <f t="shared" si="15"/>
        <v/>
      </c>
      <c r="C241" s="556" t="str">
        <f t="shared" si="16"/>
        <v/>
      </c>
      <c r="D241" s="557" t="str">
        <f t="shared" si="17"/>
        <v/>
      </c>
      <c r="E241" s="560"/>
      <c r="F241" s="559"/>
      <c r="G241" s="559" t="str">
        <f t="shared" si="18"/>
        <v/>
      </c>
      <c r="H241" s="559" t="str">
        <f t="shared" si="19"/>
        <v/>
      </c>
      <c r="I241" s="559" t="str">
        <f t="shared" si="20"/>
        <v/>
      </c>
    </row>
    <row r="242" spans="2:9">
      <c r="B242" s="555" t="str">
        <f t="shared" si="15"/>
        <v/>
      </c>
      <c r="C242" s="556" t="str">
        <f t="shared" si="16"/>
        <v/>
      </c>
      <c r="D242" s="557" t="str">
        <f t="shared" si="17"/>
        <v/>
      </c>
      <c r="E242" s="560"/>
      <c r="F242" s="559"/>
      <c r="G242" s="559" t="str">
        <f t="shared" si="18"/>
        <v/>
      </c>
      <c r="H242" s="559" t="str">
        <f t="shared" si="19"/>
        <v/>
      </c>
      <c r="I242" s="559" t="str">
        <f t="shared" si="20"/>
        <v/>
      </c>
    </row>
    <row r="243" spans="2:9">
      <c r="B243" s="555" t="str">
        <f t="shared" si="15"/>
        <v/>
      </c>
      <c r="C243" s="556" t="str">
        <f t="shared" si="16"/>
        <v/>
      </c>
      <c r="D243" s="557" t="str">
        <f t="shared" si="17"/>
        <v/>
      </c>
      <c r="E243" s="560"/>
      <c r="F243" s="559"/>
      <c r="G243" s="559" t="str">
        <f t="shared" si="18"/>
        <v/>
      </c>
      <c r="H243" s="559" t="str">
        <f t="shared" si="19"/>
        <v/>
      </c>
      <c r="I243" s="559" t="str">
        <f t="shared" si="20"/>
        <v/>
      </c>
    </row>
    <row r="244" spans="2:9">
      <c r="B244" s="555" t="str">
        <f t="shared" si="15"/>
        <v/>
      </c>
      <c r="C244" s="556" t="str">
        <f t="shared" si="16"/>
        <v/>
      </c>
      <c r="D244" s="557" t="str">
        <f t="shared" si="17"/>
        <v/>
      </c>
      <c r="E244" s="560"/>
      <c r="F244" s="559"/>
      <c r="G244" s="559" t="str">
        <f t="shared" si="18"/>
        <v/>
      </c>
      <c r="H244" s="559" t="str">
        <f t="shared" si="19"/>
        <v/>
      </c>
      <c r="I244" s="559" t="str">
        <f t="shared" si="20"/>
        <v/>
      </c>
    </row>
    <row r="245" spans="2:9">
      <c r="B245" s="555" t="str">
        <f t="shared" si="15"/>
        <v/>
      </c>
      <c r="C245" s="556" t="str">
        <f t="shared" si="16"/>
        <v/>
      </c>
      <c r="D245" s="557" t="str">
        <f t="shared" si="17"/>
        <v/>
      </c>
      <c r="E245" s="560"/>
      <c r="F245" s="559"/>
      <c r="G245" s="559" t="str">
        <f t="shared" si="18"/>
        <v/>
      </c>
      <c r="H245" s="559" t="str">
        <f t="shared" si="19"/>
        <v/>
      </c>
      <c r="I245" s="559" t="str">
        <f t="shared" si="20"/>
        <v/>
      </c>
    </row>
    <row r="246" spans="2:9">
      <c r="B246" s="555" t="str">
        <f t="shared" si="15"/>
        <v/>
      </c>
      <c r="C246" s="556" t="str">
        <f t="shared" si="16"/>
        <v/>
      </c>
      <c r="D246" s="557" t="str">
        <f t="shared" si="17"/>
        <v/>
      </c>
      <c r="E246" s="560"/>
      <c r="F246" s="559"/>
      <c r="G246" s="559" t="str">
        <f t="shared" si="18"/>
        <v/>
      </c>
      <c r="H246" s="559" t="str">
        <f t="shared" si="19"/>
        <v/>
      </c>
      <c r="I246" s="559" t="str">
        <f t="shared" si="20"/>
        <v/>
      </c>
    </row>
    <row r="247" spans="2:9">
      <c r="B247" s="555" t="str">
        <f t="shared" si="15"/>
        <v/>
      </c>
      <c r="C247" s="556" t="str">
        <f t="shared" si="16"/>
        <v/>
      </c>
      <c r="D247" s="557" t="str">
        <f t="shared" si="17"/>
        <v/>
      </c>
      <c r="E247" s="560"/>
      <c r="F247" s="559"/>
      <c r="G247" s="559" t="str">
        <f t="shared" si="18"/>
        <v/>
      </c>
      <c r="H247" s="559" t="str">
        <f t="shared" si="19"/>
        <v/>
      </c>
      <c r="I247" s="559" t="str">
        <f t="shared" si="20"/>
        <v/>
      </c>
    </row>
    <row r="248" spans="2:9">
      <c r="B248" s="555" t="str">
        <f t="shared" si="15"/>
        <v/>
      </c>
      <c r="C248" s="556" t="str">
        <f t="shared" si="16"/>
        <v/>
      </c>
      <c r="D248" s="557" t="str">
        <f t="shared" si="17"/>
        <v/>
      </c>
      <c r="E248" s="560"/>
      <c r="F248" s="559"/>
      <c r="G248" s="559" t="str">
        <f t="shared" si="18"/>
        <v/>
      </c>
      <c r="H248" s="559" t="str">
        <f t="shared" si="19"/>
        <v/>
      </c>
      <c r="I248" s="559" t="str">
        <f t="shared" si="20"/>
        <v/>
      </c>
    </row>
    <row r="249" spans="2:9">
      <c r="B249" s="555" t="str">
        <f t="shared" si="15"/>
        <v/>
      </c>
      <c r="C249" s="556" t="str">
        <f t="shared" si="16"/>
        <v/>
      </c>
      <c r="D249" s="557" t="str">
        <f t="shared" si="17"/>
        <v/>
      </c>
      <c r="E249" s="560"/>
      <c r="F249" s="559"/>
      <c r="G249" s="559" t="str">
        <f t="shared" si="18"/>
        <v/>
      </c>
      <c r="H249" s="559" t="str">
        <f t="shared" si="19"/>
        <v/>
      </c>
      <c r="I249" s="559" t="str">
        <f t="shared" si="20"/>
        <v/>
      </c>
    </row>
    <row r="250" spans="2:9">
      <c r="B250" s="555" t="str">
        <f t="shared" si="15"/>
        <v/>
      </c>
      <c r="C250" s="556" t="str">
        <f t="shared" si="16"/>
        <v/>
      </c>
      <c r="D250" s="557" t="str">
        <f t="shared" si="17"/>
        <v/>
      </c>
      <c r="E250" s="560"/>
      <c r="F250" s="559"/>
      <c r="G250" s="559" t="str">
        <f t="shared" si="18"/>
        <v/>
      </c>
      <c r="H250" s="559" t="str">
        <f t="shared" si="19"/>
        <v/>
      </c>
      <c r="I250" s="559" t="str">
        <f t="shared" si="20"/>
        <v/>
      </c>
    </row>
    <row r="251" spans="2:9">
      <c r="B251" s="555" t="str">
        <f t="shared" si="15"/>
        <v/>
      </c>
      <c r="C251" s="556" t="str">
        <f t="shared" si="16"/>
        <v/>
      </c>
      <c r="D251" s="557" t="str">
        <f t="shared" si="17"/>
        <v/>
      </c>
      <c r="E251" s="560"/>
      <c r="F251" s="559"/>
      <c r="G251" s="559" t="str">
        <f t="shared" si="18"/>
        <v/>
      </c>
      <c r="H251" s="559" t="str">
        <f t="shared" si="19"/>
        <v/>
      </c>
      <c r="I251" s="559" t="str">
        <f t="shared" si="20"/>
        <v/>
      </c>
    </row>
    <row r="252" spans="2:9">
      <c r="B252" s="555" t="str">
        <f t="shared" si="15"/>
        <v/>
      </c>
      <c r="C252" s="556" t="str">
        <f t="shared" si="16"/>
        <v/>
      </c>
      <c r="D252" s="557" t="str">
        <f t="shared" si="17"/>
        <v/>
      </c>
      <c r="E252" s="560"/>
      <c r="F252" s="559"/>
      <c r="G252" s="559" t="str">
        <f t="shared" si="18"/>
        <v/>
      </c>
      <c r="H252" s="559" t="str">
        <f t="shared" si="19"/>
        <v/>
      </c>
      <c r="I252" s="559" t="str">
        <f t="shared" si="20"/>
        <v/>
      </c>
    </row>
    <row r="253" spans="2:9">
      <c r="B253" s="555" t="str">
        <f t="shared" ref="B253:B316" si="21">IF(I252="","",IF(roundOpt,IF(OR(B252&gt;=nper,ROUND(I252,2)&lt;=0),"",B252+1),IF(OR(B252&gt;=nper,I252&lt;=0),"",B252+1)))</f>
        <v/>
      </c>
      <c r="C253" s="556" t="str">
        <f t="shared" ref="C253:C316" si="22">IF(B253="","",IF(OR(periods_per_year=26,periods_per_year=52),IF(periods_per_year=26,IF(B253=1,fpdate,C252+14),IF(periods_per_year=52,IF(B253=1,fpdate,C252+7),"n/a")),IF(periods_per_year=24,DATE(YEAR(fpdate),MONTH(fpdate)+(B253-1)/2+IF(AND(DAY(fpdate)&gt;=15,MOD(B253,2)=0),1,0),IF(MOD(B253,2)=0,IF(DAY(fpdate)&gt;=15,DAY(fpdate)-14,DAY(fpdate)+14),DAY(fpdate))),IF(DAY(DATE(YEAR(fpdate),MONTH(fpdate)+(B253-1)*months_per_period,DAY(fpdate)))&lt;&gt;DAY(fpdate),DATE(YEAR(fpdate),MONTH(fpdate)+(B253-1)*months_per_period+1,0),DATE(YEAR(fpdate),MONTH(fpdate)+(B253-1)*months_per_period,DAY(fpdate))))))</f>
        <v/>
      </c>
      <c r="D253" s="557" t="str">
        <f t="shared" ref="D253:D316" si="23">IF(B253="","",IF(roundOpt,IF(OR(B253=nper,payment&gt;ROUND((1+rate)*I252,2)),ROUND((1+rate)*I252,2),payment),IF(OR(B253=nper,payment&gt;(1+rate)*I252),(1+rate)*I252,payment)))</f>
        <v/>
      </c>
      <c r="E253" s="560"/>
      <c r="F253" s="559"/>
      <c r="G253" s="559" t="str">
        <f t="shared" ref="G253:G316" si="24">IF(B253="","",IF(AND(B253=1,pmtType=1),0,IF(roundOpt,ROUND(rate*I252,2),rate*I252)))</f>
        <v/>
      </c>
      <c r="H253" s="559" t="str">
        <f t="shared" ref="H253:H316" si="25">IF(B253="","",D253-G253+E253)</f>
        <v/>
      </c>
      <c r="I253" s="559" t="str">
        <f t="shared" ref="I253:I316" si="26">IF(B253="","",I252-H253)</f>
        <v/>
      </c>
    </row>
    <row r="254" spans="2:9">
      <c r="B254" s="555" t="str">
        <f t="shared" si="21"/>
        <v/>
      </c>
      <c r="C254" s="556" t="str">
        <f t="shared" si="22"/>
        <v/>
      </c>
      <c r="D254" s="557" t="str">
        <f t="shared" si="23"/>
        <v/>
      </c>
      <c r="E254" s="560"/>
      <c r="F254" s="559"/>
      <c r="G254" s="559" t="str">
        <f t="shared" si="24"/>
        <v/>
      </c>
      <c r="H254" s="559" t="str">
        <f t="shared" si="25"/>
        <v/>
      </c>
      <c r="I254" s="559" t="str">
        <f t="shared" si="26"/>
        <v/>
      </c>
    </row>
    <row r="255" spans="2:9">
      <c r="B255" s="555" t="str">
        <f t="shared" si="21"/>
        <v/>
      </c>
      <c r="C255" s="556" t="str">
        <f t="shared" si="22"/>
        <v/>
      </c>
      <c r="D255" s="557" t="str">
        <f t="shared" si="23"/>
        <v/>
      </c>
      <c r="E255" s="560"/>
      <c r="F255" s="559"/>
      <c r="G255" s="559" t="str">
        <f t="shared" si="24"/>
        <v/>
      </c>
      <c r="H255" s="559" t="str">
        <f t="shared" si="25"/>
        <v/>
      </c>
      <c r="I255" s="559" t="str">
        <f t="shared" si="26"/>
        <v/>
      </c>
    </row>
    <row r="256" spans="2:9">
      <c r="B256" s="555" t="str">
        <f t="shared" si="21"/>
        <v/>
      </c>
      <c r="C256" s="556" t="str">
        <f t="shared" si="22"/>
        <v/>
      </c>
      <c r="D256" s="557" t="str">
        <f t="shared" si="23"/>
        <v/>
      </c>
      <c r="E256" s="560"/>
      <c r="F256" s="559"/>
      <c r="G256" s="559" t="str">
        <f t="shared" si="24"/>
        <v/>
      </c>
      <c r="H256" s="559" t="str">
        <f t="shared" si="25"/>
        <v/>
      </c>
      <c r="I256" s="559" t="str">
        <f t="shared" si="26"/>
        <v/>
      </c>
    </row>
    <row r="257" spans="2:9">
      <c r="B257" s="555" t="str">
        <f t="shared" si="21"/>
        <v/>
      </c>
      <c r="C257" s="556" t="str">
        <f t="shared" si="22"/>
        <v/>
      </c>
      <c r="D257" s="557" t="str">
        <f t="shared" si="23"/>
        <v/>
      </c>
      <c r="E257" s="560"/>
      <c r="F257" s="559"/>
      <c r="G257" s="559" t="str">
        <f t="shared" si="24"/>
        <v/>
      </c>
      <c r="H257" s="559" t="str">
        <f t="shared" si="25"/>
        <v/>
      </c>
      <c r="I257" s="559" t="str">
        <f t="shared" si="26"/>
        <v/>
      </c>
    </row>
    <row r="258" spans="2:9">
      <c r="B258" s="555" t="str">
        <f t="shared" si="21"/>
        <v/>
      </c>
      <c r="C258" s="556" t="str">
        <f t="shared" si="22"/>
        <v/>
      </c>
      <c r="D258" s="557" t="str">
        <f t="shared" si="23"/>
        <v/>
      </c>
      <c r="E258" s="560"/>
      <c r="F258" s="559"/>
      <c r="G258" s="559" t="str">
        <f t="shared" si="24"/>
        <v/>
      </c>
      <c r="H258" s="559" t="str">
        <f t="shared" si="25"/>
        <v/>
      </c>
      <c r="I258" s="559" t="str">
        <f t="shared" si="26"/>
        <v/>
      </c>
    </row>
    <row r="259" spans="2:9">
      <c r="B259" s="555" t="str">
        <f t="shared" si="21"/>
        <v/>
      </c>
      <c r="C259" s="556" t="str">
        <f t="shared" si="22"/>
        <v/>
      </c>
      <c r="D259" s="557" t="str">
        <f t="shared" si="23"/>
        <v/>
      </c>
      <c r="E259" s="560"/>
      <c r="F259" s="559"/>
      <c r="G259" s="559" t="str">
        <f t="shared" si="24"/>
        <v/>
      </c>
      <c r="H259" s="559" t="str">
        <f t="shared" si="25"/>
        <v/>
      </c>
      <c r="I259" s="559" t="str">
        <f t="shared" si="26"/>
        <v/>
      </c>
    </row>
    <row r="260" spans="2:9">
      <c r="B260" s="555" t="str">
        <f t="shared" si="21"/>
        <v/>
      </c>
      <c r="C260" s="556" t="str">
        <f t="shared" si="22"/>
        <v/>
      </c>
      <c r="D260" s="557" t="str">
        <f t="shared" si="23"/>
        <v/>
      </c>
      <c r="E260" s="560"/>
      <c r="F260" s="559"/>
      <c r="G260" s="559" t="str">
        <f t="shared" si="24"/>
        <v/>
      </c>
      <c r="H260" s="559" t="str">
        <f t="shared" si="25"/>
        <v/>
      </c>
      <c r="I260" s="559" t="str">
        <f t="shared" si="26"/>
        <v/>
      </c>
    </row>
    <row r="261" spans="2:9">
      <c r="B261" s="555" t="str">
        <f t="shared" si="21"/>
        <v/>
      </c>
      <c r="C261" s="556" t="str">
        <f t="shared" si="22"/>
        <v/>
      </c>
      <c r="D261" s="557" t="str">
        <f t="shared" si="23"/>
        <v/>
      </c>
      <c r="E261" s="560"/>
      <c r="F261" s="559"/>
      <c r="G261" s="559" t="str">
        <f t="shared" si="24"/>
        <v/>
      </c>
      <c r="H261" s="559" t="str">
        <f t="shared" si="25"/>
        <v/>
      </c>
      <c r="I261" s="559" t="str">
        <f t="shared" si="26"/>
        <v/>
      </c>
    </row>
    <row r="262" spans="2:9">
      <c r="B262" s="555" t="str">
        <f t="shared" si="21"/>
        <v/>
      </c>
      <c r="C262" s="556" t="str">
        <f t="shared" si="22"/>
        <v/>
      </c>
      <c r="D262" s="557" t="str">
        <f t="shared" si="23"/>
        <v/>
      </c>
      <c r="E262" s="560"/>
      <c r="F262" s="559"/>
      <c r="G262" s="559" t="str">
        <f t="shared" si="24"/>
        <v/>
      </c>
      <c r="H262" s="559" t="str">
        <f t="shared" si="25"/>
        <v/>
      </c>
      <c r="I262" s="559" t="str">
        <f t="shared" si="26"/>
        <v/>
      </c>
    </row>
    <row r="263" spans="2:9">
      <c r="B263" s="555" t="str">
        <f t="shared" si="21"/>
        <v/>
      </c>
      <c r="C263" s="556" t="str">
        <f t="shared" si="22"/>
        <v/>
      </c>
      <c r="D263" s="557" t="str">
        <f t="shared" si="23"/>
        <v/>
      </c>
      <c r="E263" s="560"/>
      <c r="F263" s="559"/>
      <c r="G263" s="559" t="str">
        <f t="shared" si="24"/>
        <v/>
      </c>
      <c r="H263" s="559" t="str">
        <f t="shared" si="25"/>
        <v/>
      </c>
      <c r="I263" s="559" t="str">
        <f t="shared" si="26"/>
        <v/>
      </c>
    </row>
    <row r="264" spans="2:9">
      <c r="B264" s="555" t="str">
        <f t="shared" si="21"/>
        <v/>
      </c>
      <c r="C264" s="556" t="str">
        <f t="shared" si="22"/>
        <v/>
      </c>
      <c r="D264" s="557" t="str">
        <f t="shared" si="23"/>
        <v/>
      </c>
      <c r="E264" s="560"/>
      <c r="F264" s="559"/>
      <c r="G264" s="559" t="str">
        <f t="shared" si="24"/>
        <v/>
      </c>
      <c r="H264" s="559" t="str">
        <f t="shared" si="25"/>
        <v/>
      </c>
      <c r="I264" s="559" t="str">
        <f t="shared" si="26"/>
        <v/>
      </c>
    </row>
    <row r="265" spans="2:9">
      <c r="B265" s="555" t="str">
        <f t="shared" si="21"/>
        <v/>
      </c>
      <c r="C265" s="556" t="str">
        <f t="shared" si="22"/>
        <v/>
      </c>
      <c r="D265" s="557" t="str">
        <f t="shared" si="23"/>
        <v/>
      </c>
      <c r="E265" s="560"/>
      <c r="F265" s="559"/>
      <c r="G265" s="559" t="str">
        <f t="shared" si="24"/>
        <v/>
      </c>
      <c r="H265" s="559" t="str">
        <f t="shared" si="25"/>
        <v/>
      </c>
      <c r="I265" s="559" t="str">
        <f t="shared" si="26"/>
        <v/>
      </c>
    </row>
    <row r="266" spans="2:9">
      <c r="B266" s="555" t="str">
        <f t="shared" si="21"/>
        <v/>
      </c>
      <c r="C266" s="556" t="str">
        <f t="shared" si="22"/>
        <v/>
      </c>
      <c r="D266" s="557" t="str">
        <f t="shared" si="23"/>
        <v/>
      </c>
      <c r="E266" s="560"/>
      <c r="F266" s="559"/>
      <c r="G266" s="559" t="str">
        <f t="shared" si="24"/>
        <v/>
      </c>
      <c r="H266" s="559" t="str">
        <f t="shared" si="25"/>
        <v/>
      </c>
      <c r="I266" s="559" t="str">
        <f t="shared" si="26"/>
        <v/>
      </c>
    </row>
    <row r="267" spans="2:9">
      <c r="B267" s="555" t="str">
        <f t="shared" si="21"/>
        <v/>
      </c>
      <c r="C267" s="556" t="str">
        <f t="shared" si="22"/>
        <v/>
      </c>
      <c r="D267" s="557" t="str">
        <f t="shared" si="23"/>
        <v/>
      </c>
      <c r="E267" s="560"/>
      <c r="F267" s="559"/>
      <c r="G267" s="559" t="str">
        <f t="shared" si="24"/>
        <v/>
      </c>
      <c r="H267" s="559" t="str">
        <f t="shared" si="25"/>
        <v/>
      </c>
      <c r="I267" s="559" t="str">
        <f t="shared" si="26"/>
        <v/>
      </c>
    </row>
    <row r="268" spans="2:9">
      <c r="B268" s="555" t="str">
        <f t="shared" si="21"/>
        <v/>
      </c>
      <c r="C268" s="556" t="str">
        <f t="shared" si="22"/>
        <v/>
      </c>
      <c r="D268" s="557" t="str">
        <f t="shared" si="23"/>
        <v/>
      </c>
      <c r="E268" s="560"/>
      <c r="F268" s="559"/>
      <c r="G268" s="559" t="str">
        <f t="shared" si="24"/>
        <v/>
      </c>
      <c r="H268" s="559" t="str">
        <f t="shared" si="25"/>
        <v/>
      </c>
      <c r="I268" s="559" t="str">
        <f t="shared" si="26"/>
        <v/>
      </c>
    </row>
    <row r="269" spans="2:9">
      <c r="B269" s="555" t="str">
        <f t="shared" si="21"/>
        <v/>
      </c>
      <c r="C269" s="556" t="str">
        <f t="shared" si="22"/>
        <v/>
      </c>
      <c r="D269" s="557" t="str">
        <f t="shared" si="23"/>
        <v/>
      </c>
      <c r="E269" s="560"/>
      <c r="F269" s="559"/>
      <c r="G269" s="559" t="str">
        <f t="shared" si="24"/>
        <v/>
      </c>
      <c r="H269" s="559" t="str">
        <f t="shared" si="25"/>
        <v/>
      </c>
      <c r="I269" s="559" t="str">
        <f t="shared" si="26"/>
        <v/>
      </c>
    </row>
    <row r="270" spans="2:9">
      <c r="B270" s="555" t="str">
        <f t="shared" si="21"/>
        <v/>
      </c>
      <c r="C270" s="556" t="str">
        <f t="shared" si="22"/>
        <v/>
      </c>
      <c r="D270" s="557" t="str">
        <f t="shared" si="23"/>
        <v/>
      </c>
      <c r="E270" s="560"/>
      <c r="F270" s="559"/>
      <c r="G270" s="559" t="str">
        <f t="shared" si="24"/>
        <v/>
      </c>
      <c r="H270" s="559" t="str">
        <f t="shared" si="25"/>
        <v/>
      </c>
      <c r="I270" s="559" t="str">
        <f t="shared" si="26"/>
        <v/>
      </c>
    </row>
    <row r="271" spans="2:9">
      <c r="B271" s="555" t="str">
        <f t="shared" si="21"/>
        <v/>
      </c>
      <c r="C271" s="556" t="str">
        <f t="shared" si="22"/>
        <v/>
      </c>
      <c r="D271" s="557" t="str">
        <f t="shared" si="23"/>
        <v/>
      </c>
      <c r="E271" s="560"/>
      <c r="F271" s="559"/>
      <c r="G271" s="559" t="str">
        <f t="shared" si="24"/>
        <v/>
      </c>
      <c r="H271" s="559" t="str">
        <f t="shared" si="25"/>
        <v/>
      </c>
      <c r="I271" s="559" t="str">
        <f t="shared" si="26"/>
        <v/>
      </c>
    </row>
    <row r="272" spans="2:9">
      <c r="B272" s="555" t="str">
        <f t="shared" si="21"/>
        <v/>
      </c>
      <c r="C272" s="556" t="str">
        <f t="shared" si="22"/>
        <v/>
      </c>
      <c r="D272" s="557" t="str">
        <f t="shared" si="23"/>
        <v/>
      </c>
      <c r="E272" s="560"/>
      <c r="F272" s="559"/>
      <c r="G272" s="559" t="str">
        <f t="shared" si="24"/>
        <v/>
      </c>
      <c r="H272" s="559" t="str">
        <f t="shared" si="25"/>
        <v/>
      </c>
      <c r="I272" s="559" t="str">
        <f t="shared" si="26"/>
        <v/>
      </c>
    </row>
    <row r="273" spans="2:9">
      <c r="B273" s="555" t="str">
        <f t="shared" si="21"/>
        <v/>
      </c>
      <c r="C273" s="556" t="str">
        <f t="shared" si="22"/>
        <v/>
      </c>
      <c r="D273" s="557" t="str">
        <f t="shared" si="23"/>
        <v/>
      </c>
      <c r="E273" s="560"/>
      <c r="F273" s="559"/>
      <c r="G273" s="559" t="str">
        <f t="shared" si="24"/>
        <v/>
      </c>
      <c r="H273" s="559" t="str">
        <f t="shared" si="25"/>
        <v/>
      </c>
      <c r="I273" s="559" t="str">
        <f t="shared" si="26"/>
        <v/>
      </c>
    </row>
    <row r="274" spans="2:9">
      <c r="B274" s="555" t="str">
        <f t="shared" si="21"/>
        <v/>
      </c>
      <c r="C274" s="556" t="str">
        <f t="shared" si="22"/>
        <v/>
      </c>
      <c r="D274" s="557" t="str">
        <f t="shared" si="23"/>
        <v/>
      </c>
      <c r="E274" s="560"/>
      <c r="F274" s="559"/>
      <c r="G274" s="559" t="str">
        <f t="shared" si="24"/>
        <v/>
      </c>
      <c r="H274" s="559" t="str">
        <f t="shared" si="25"/>
        <v/>
      </c>
      <c r="I274" s="559" t="str">
        <f t="shared" si="26"/>
        <v/>
      </c>
    </row>
    <row r="275" spans="2:9">
      <c r="B275" s="555" t="str">
        <f t="shared" si="21"/>
        <v/>
      </c>
      <c r="C275" s="556" t="str">
        <f t="shared" si="22"/>
        <v/>
      </c>
      <c r="D275" s="557" t="str">
        <f t="shared" si="23"/>
        <v/>
      </c>
      <c r="E275" s="560"/>
      <c r="F275" s="559"/>
      <c r="G275" s="559" t="str">
        <f t="shared" si="24"/>
        <v/>
      </c>
      <c r="H275" s="559" t="str">
        <f t="shared" si="25"/>
        <v/>
      </c>
      <c r="I275" s="559" t="str">
        <f t="shared" si="26"/>
        <v/>
      </c>
    </row>
    <row r="276" spans="2:9">
      <c r="B276" s="555" t="str">
        <f t="shared" si="21"/>
        <v/>
      </c>
      <c r="C276" s="556" t="str">
        <f t="shared" si="22"/>
        <v/>
      </c>
      <c r="D276" s="557" t="str">
        <f t="shared" si="23"/>
        <v/>
      </c>
      <c r="E276" s="560"/>
      <c r="F276" s="559"/>
      <c r="G276" s="559" t="str">
        <f t="shared" si="24"/>
        <v/>
      </c>
      <c r="H276" s="559" t="str">
        <f t="shared" si="25"/>
        <v/>
      </c>
      <c r="I276" s="559" t="str">
        <f t="shared" si="26"/>
        <v/>
      </c>
    </row>
    <row r="277" spans="2:9">
      <c r="B277" s="555" t="str">
        <f t="shared" si="21"/>
        <v/>
      </c>
      <c r="C277" s="556" t="str">
        <f t="shared" si="22"/>
        <v/>
      </c>
      <c r="D277" s="557" t="str">
        <f t="shared" si="23"/>
        <v/>
      </c>
      <c r="E277" s="560"/>
      <c r="F277" s="559"/>
      <c r="G277" s="559" t="str">
        <f t="shared" si="24"/>
        <v/>
      </c>
      <c r="H277" s="559" t="str">
        <f t="shared" si="25"/>
        <v/>
      </c>
      <c r="I277" s="559" t="str">
        <f t="shared" si="26"/>
        <v/>
      </c>
    </row>
    <row r="278" spans="2:9">
      <c r="B278" s="555" t="str">
        <f t="shared" si="21"/>
        <v/>
      </c>
      <c r="C278" s="556" t="str">
        <f t="shared" si="22"/>
        <v/>
      </c>
      <c r="D278" s="557" t="str">
        <f t="shared" si="23"/>
        <v/>
      </c>
      <c r="E278" s="560"/>
      <c r="F278" s="559"/>
      <c r="G278" s="559" t="str">
        <f t="shared" si="24"/>
        <v/>
      </c>
      <c r="H278" s="559" t="str">
        <f t="shared" si="25"/>
        <v/>
      </c>
      <c r="I278" s="559" t="str">
        <f t="shared" si="26"/>
        <v/>
      </c>
    </row>
    <row r="279" spans="2:9">
      <c r="B279" s="555" t="str">
        <f t="shared" si="21"/>
        <v/>
      </c>
      <c r="C279" s="556" t="str">
        <f t="shared" si="22"/>
        <v/>
      </c>
      <c r="D279" s="557" t="str">
        <f t="shared" si="23"/>
        <v/>
      </c>
      <c r="E279" s="560"/>
      <c r="F279" s="559"/>
      <c r="G279" s="559" t="str">
        <f t="shared" si="24"/>
        <v/>
      </c>
      <c r="H279" s="559" t="str">
        <f t="shared" si="25"/>
        <v/>
      </c>
      <c r="I279" s="559" t="str">
        <f t="shared" si="26"/>
        <v/>
      </c>
    </row>
    <row r="280" spans="2:9">
      <c r="B280" s="555" t="str">
        <f t="shared" si="21"/>
        <v/>
      </c>
      <c r="C280" s="556" t="str">
        <f t="shared" si="22"/>
        <v/>
      </c>
      <c r="D280" s="557" t="str">
        <f t="shared" si="23"/>
        <v/>
      </c>
      <c r="E280" s="560"/>
      <c r="F280" s="559"/>
      <c r="G280" s="559" t="str">
        <f t="shared" si="24"/>
        <v/>
      </c>
      <c r="H280" s="559" t="str">
        <f t="shared" si="25"/>
        <v/>
      </c>
      <c r="I280" s="559" t="str">
        <f t="shared" si="26"/>
        <v/>
      </c>
    </row>
    <row r="281" spans="2:9">
      <c r="B281" s="555" t="str">
        <f t="shared" si="21"/>
        <v/>
      </c>
      <c r="C281" s="556" t="str">
        <f t="shared" si="22"/>
        <v/>
      </c>
      <c r="D281" s="557" t="str">
        <f t="shared" si="23"/>
        <v/>
      </c>
      <c r="E281" s="560"/>
      <c r="F281" s="559"/>
      <c r="G281" s="559" t="str">
        <f t="shared" si="24"/>
        <v/>
      </c>
      <c r="H281" s="559" t="str">
        <f t="shared" si="25"/>
        <v/>
      </c>
      <c r="I281" s="559" t="str">
        <f t="shared" si="26"/>
        <v/>
      </c>
    </row>
    <row r="282" spans="2:9">
      <c r="B282" s="555" t="str">
        <f t="shared" si="21"/>
        <v/>
      </c>
      <c r="C282" s="556" t="str">
        <f t="shared" si="22"/>
        <v/>
      </c>
      <c r="D282" s="557" t="str">
        <f t="shared" si="23"/>
        <v/>
      </c>
      <c r="E282" s="560"/>
      <c r="F282" s="559"/>
      <c r="G282" s="559" t="str">
        <f t="shared" si="24"/>
        <v/>
      </c>
      <c r="H282" s="559" t="str">
        <f t="shared" si="25"/>
        <v/>
      </c>
      <c r="I282" s="559" t="str">
        <f t="shared" si="26"/>
        <v/>
      </c>
    </row>
    <row r="283" spans="2:9">
      <c r="B283" s="555" t="str">
        <f t="shared" si="21"/>
        <v/>
      </c>
      <c r="C283" s="556" t="str">
        <f t="shared" si="22"/>
        <v/>
      </c>
      <c r="D283" s="557" t="str">
        <f t="shared" si="23"/>
        <v/>
      </c>
      <c r="E283" s="560"/>
      <c r="F283" s="559"/>
      <c r="G283" s="559" t="str">
        <f t="shared" si="24"/>
        <v/>
      </c>
      <c r="H283" s="559" t="str">
        <f t="shared" si="25"/>
        <v/>
      </c>
      <c r="I283" s="559" t="str">
        <f t="shared" si="26"/>
        <v/>
      </c>
    </row>
    <row r="284" spans="2:9">
      <c r="B284" s="555" t="str">
        <f t="shared" si="21"/>
        <v/>
      </c>
      <c r="C284" s="556" t="str">
        <f t="shared" si="22"/>
        <v/>
      </c>
      <c r="D284" s="557" t="str">
        <f t="shared" si="23"/>
        <v/>
      </c>
      <c r="E284" s="560"/>
      <c r="F284" s="559"/>
      <c r="G284" s="559" t="str">
        <f t="shared" si="24"/>
        <v/>
      </c>
      <c r="H284" s="559" t="str">
        <f t="shared" si="25"/>
        <v/>
      </c>
      <c r="I284" s="559" t="str">
        <f t="shared" si="26"/>
        <v/>
      </c>
    </row>
    <row r="285" spans="2:9">
      <c r="B285" s="555" t="str">
        <f t="shared" si="21"/>
        <v/>
      </c>
      <c r="C285" s="556" t="str">
        <f t="shared" si="22"/>
        <v/>
      </c>
      <c r="D285" s="557" t="str">
        <f t="shared" si="23"/>
        <v/>
      </c>
      <c r="E285" s="560"/>
      <c r="F285" s="559"/>
      <c r="G285" s="559" t="str">
        <f t="shared" si="24"/>
        <v/>
      </c>
      <c r="H285" s="559" t="str">
        <f t="shared" si="25"/>
        <v/>
      </c>
      <c r="I285" s="559" t="str">
        <f t="shared" si="26"/>
        <v/>
      </c>
    </row>
    <row r="286" spans="2:9">
      <c r="B286" s="555" t="str">
        <f t="shared" si="21"/>
        <v/>
      </c>
      <c r="C286" s="556" t="str">
        <f t="shared" si="22"/>
        <v/>
      </c>
      <c r="D286" s="557" t="str">
        <f t="shared" si="23"/>
        <v/>
      </c>
      <c r="E286" s="560"/>
      <c r="F286" s="559"/>
      <c r="G286" s="559" t="str">
        <f t="shared" si="24"/>
        <v/>
      </c>
      <c r="H286" s="559" t="str">
        <f t="shared" si="25"/>
        <v/>
      </c>
      <c r="I286" s="559" t="str">
        <f t="shared" si="26"/>
        <v/>
      </c>
    </row>
    <row r="287" spans="2:9">
      <c r="B287" s="555" t="str">
        <f t="shared" si="21"/>
        <v/>
      </c>
      <c r="C287" s="556" t="str">
        <f t="shared" si="22"/>
        <v/>
      </c>
      <c r="D287" s="557" t="str">
        <f t="shared" si="23"/>
        <v/>
      </c>
      <c r="E287" s="560"/>
      <c r="F287" s="559"/>
      <c r="G287" s="559" t="str">
        <f t="shared" si="24"/>
        <v/>
      </c>
      <c r="H287" s="559" t="str">
        <f t="shared" si="25"/>
        <v/>
      </c>
      <c r="I287" s="559" t="str">
        <f t="shared" si="26"/>
        <v/>
      </c>
    </row>
    <row r="288" spans="2:9">
      <c r="B288" s="555" t="str">
        <f t="shared" si="21"/>
        <v/>
      </c>
      <c r="C288" s="556" t="str">
        <f t="shared" si="22"/>
        <v/>
      </c>
      <c r="D288" s="557" t="str">
        <f t="shared" si="23"/>
        <v/>
      </c>
      <c r="E288" s="560"/>
      <c r="F288" s="559"/>
      <c r="G288" s="559" t="str">
        <f t="shared" si="24"/>
        <v/>
      </c>
      <c r="H288" s="559" t="str">
        <f t="shared" si="25"/>
        <v/>
      </c>
      <c r="I288" s="559" t="str">
        <f t="shared" si="26"/>
        <v/>
      </c>
    </row>
    <row r="289" spans="2:9">
      <c r="B289" s="555" t="str">
        <f t="shared" si="21"/>
        <v/>
      </c>
      <c r="C289" s="556" t="str">
        <f t="shared" si="22"/>
        <v/>
      </c>
      <c r="D289" s="557" t="str">
        <f t="shared" si="23"/>
        <v/>
      </c>
      <c r="E289" s="560"/>
      <c r="F289" s="559"/>
      <c r="G289" s="559" t="str">
        <f t="shared" si="24"/>
        <v/>
      </c>
      <c r="H289" s="559" t="str">
        <f t="shared" si="25"/>
        <v/>
      </c>
      <c r="I289" s="559" t="str">
        <f t="shared" si="26"/>
        <v/>
      </c>
    </row>
    <row r="290" spans="2:9">
      <c r="B290" s="555" t="str">
        <f t="shared" si="21"/>
        <v/>
      </c>
      <c r="C290" s="556" t="str">
        <f t="shared" si="22"/>
        <v/>
      </c>
      <c r="D290" s="557" t="str">
        <f t="shared" si="23"/>
        <v/>
      </c>
      <c r="E290" s="560"/>
      <c r="F290" s="559"/>
      <c r="G290" s="559" t="str">
        <f t="shared" si="24"/>
        <v/>
      </c>
      <c r="H290" s="559" t="str">
        <f t="shared" si="25"/>
        <v/>
      </c>
      <c r="I290" s="559" t="str">
        <f t="shared" si="26"/>
        <v/>
      </c>
    </row>
    <row r="291" spans="2:9">
      <c r="B291" s="555" t="str">
        <f t="shared" si="21"/>
        <v/>
      </c>
      <c r="C291" s="556" t="str">
        <f t="shared" si="22"/>
        <v/>
      </c>
      <c r="D291" s="557" t="str">
        <f t="shared" si="23"/>
        <v/>
      </c>
      <c r="E291" s="560"/>
      <c r="F291" s="559"/>
      <c r="G291" s="559" t="str">
        <f t="shared" si="24"/>
        <v/>
      </c>
      <c r="H291" s="559" t="str">
        <f t="shared" si="25"/>
        <v/>
      </c>
      <c r="I291" s="559" t="str">
        <f t="shared" si="26"/>
        <v/>
      </c>
    </row>
    <row r="292" spans="2:9">
      <c r="B292" s="555" t="str">
        <f t="shared" si="21"/>
        <v/>
      </c>
      <c r="C292" s="556" t="str">
        <f t="shared" si="22"/>
        <v/>
      </c>
      <c r="D292" s="557" t="str">
        <f t="shared" si="23"/>
        <v/>
      </c>
      <c r="E292" s="560"/>
      <c r="F292" s="559"/>
      <c r="G292" s="559" t="str">
        <f t="shared" si="24"/>
        <v/>
      </c>
      <c r="H292" s="559" t="str">
        <f t="shared" si="25"/>
        <v/>
      </c>
      <c r="I292" s="559" t="str">
        <f t="shared" si="26"/>
        <v/>
      </c>
    </row>
    <row r="293" spans="2:9">
      <c r="B293" s="555" t="str">
        <f t="shared" si="21"/>
        <v/>
      </c>
      <c r="C293" s="556" t="str">
        <f t="shared" si="22"/>
        <v/>
      </c>
      <c r="D293" s="557" t="str">
        <f t="shared" si="23"/>
        <v/>
      </c>
      <c r="E293" s="560"/>
      <c r="F293" s="559"/>
      <c r="G293" s="559" t="str">
        <f t="shared" si="24"/>
        <v/>
      </c>
      <c r="H293" s="559" t="str">
        <f t="shared" si="25"/>
        <v/>
      </c>
      <c r="I293" s="559" t="str">
        <f t="shared" si="26"/>
        <v/>
      </c>
    </row>
    <row r="294" spans="2:9">
      <c r="B294" s="555" t="str">
        <f t="shared" si="21"/>
        <v/>
      </c>
      <c r="C294" s="556" t="str">
        <f t="shared" si="22"/>
        <v/>
      </c>
      <c r="D294" s="557" t="str">
        <f t="shared" si="23"/>
        <v/>
      </c>
      <c r="E294" s="560"/>
      <c r="F294" s="559"/>
      <c r="G294" s="559" t="str">
        <f t="shared" si="24"/>
        <v/>
      </c>
      <c r="H294" s="559" t="str">
        <f t="shared" si="25"/>
        <v/>
      </c>
      <c r="I294" s="559" t="str">
        <f t="shared" si="26"/>
        <v/>
      </c>
    </row>
    <row r="295" spans="2:9">
      <c r="B295" s="555" t="str">
        <f t="shared" si="21"/>
        <v/>
      </c>
      <c r="C295" s="556" t="str">
        <f t="shared" si="22"/>
        <v/>
      </c>
      <c r="D295" s="557" t="str">
        <f t="shared" si="23"/>
        <v/>
      </c>
      <c r="E295" s="560"/>
      <c r="F295" s="559"/>
      <c r="G295" s="559" t="str">
        <f t="shared" si="24"/>
        <v/>
      </c>
      <c r="H295" s="559" t="str">
        <f t="shared" si="25"/>
        <v/>
      </c>
      <c r="I295" s="559" t="str">
        <f t="shared" si="26"/>
        <v/>
      </c>
    </row>
    <row r="296" spans="2:9">
      <c r="B296" s="555" t="str">
        <f t="shared" si="21"/>
        <v/>
      </c>
      <c r="C296" s="556" t="str">
        <f t="shared" si="22"/>
        <v/>
      </c>
      <c r="D296" s="557" t="str">
        <f t="shared" si="23"/>
        <v/>
      </c>
      <c r="E296" s="560"/>
      <c r="F296" s="559"/>
      <c r="G296" s="559" t="str">
        <f t="shared" si="24"/>
        <v/>
      </c>
      <c r="H296" s="559" t="str">
        <f t="shared" si="25"/>
        <v/>
      </c>
      <c r="I296" s="559" t="str">
        <f t="shared" si="26"/>
        <v/>
      </c>
    </row>
    <row r="297" spans="2:9">
      <c r="B297" s="555" t="str">
        <f t="shared" si="21"/>
        <v/>
      </c>
      <c r="C297" s="556" t="str">
        <f t="shared" si="22"/>
        <v/>
      </c>
      <c r="D297" s="557" t="str">
        <f t="shared" si="23"/>
        <v/>
      </c>
      <c r="E297" s="560"/>
      <c r="F297" s="559"/>
      <c r="G297" s="559" t="str">
        <f t="shared" si="24"/>
        <v/>
      </c>
      <c r="H297" s="559" t="str">
        <f t="shared" si="25"/>
        <v/>
      </c>
      <c r="I297" s="559" t="str">
        <f t="shared" si="26"/>
        <v/>
      </c>
    </row>
    <row r="298" spans="2:9">
      <c r="B298" s="555" t="str">
        <f t="shared" si="21"/>
        <v/>
      </c>
      <c r="C298" s="556" t="str">
        <f t="shared" si="22"/>
        <v/>
      </c>
      <c r="D298" s="557" t="str">
        <f t="shared" si="23"/>
        <v/>
      </c>
      <c r="E298" s="560"/>
      <c r="F298" s="559"/>
      <c r="G298" s="559" t="str">
        <f t="shared" si="24"/>
        <v/>
      </c>
      <c r="H298" s="559" t="str">
        <f t="shared" si="25"/>
        <v/>
      </c>
      <c r="I298" s="559" t="str">
        <f t="shared" si="26"/>
        <v/>
      </c>
    </row>
    <row r="299" spans="2:9">
      <c r="B299" s="555" t="str">
        <f t="shared" si="21"/>
        <v/>
      </c>
      <c r="C299" s="556" t="str">
        <f t="shared" si="22"/>
        <v/>
      </c>
      <c r="D299" s="557" t="str">
        <f t="shared" si="23"/>
        <v/>
      </c>
      <c r="E299" s="560"/>
      <c r="F299" s="559"/>
      <c r="G299" s="559" t="str">
        <f t="shared" si="24"/>
        <v/>
      </c>
      <c r="H299" s="559" t="str">
        <f t="shared" si="25"/>
        <v/>
      </c>
      <c r="I299" s="559" t="str">
        <f t="shared" si="26"/>
        <v/>
      </c>
    </row>
    <row r="300" spans="2:9">
      <c r="B300" s="555" t="str">
        <f t="shared" si="21"/>
        <v/>
      </c>
      <c r="C300" s="556" t="str">
        <f t="shared" si="22"/>
        <v/>
      </c>
      <c r="D300" s="557" t="str">
        <f t="shared" si="23"/>
        <v/>
      </c>
      <c r="E300" s="560"/>
      <c r="F300" s="559"/>
      <c r="G300" s="559" t="str">
        <f t="shared" si="24"/>
        <v/>
      </c>
      <c r="H300" s="559" t="str">
        <f t="shared" si="25"/>
        <v/>
      </c>
      <c r="I300" s="559" t="str">
        <f t="shared" si="26"/>
        <v/>
      </c>
    </row>
    <row r="301" spans="2:9">
      <c r="B301" s="555" t="str">
        <f t="shared" si="21"/>
        <v/>
      </c>
      <c r="C301" s="556" t="str">
        <f t="shared" si="22"/>
        <v/>
      </c>
      <c r="D301" s="557" t="str">
        <f t="shared" si="23"/>
        <v/>
      </c>
      <c r="E301" s="560"/>
      <c r="F301" s="559"/>
      <c r="G301" s="559" t="str">
        <f t="shared" si="24"/>
        <v/>
      </c>
      <c r="H301" s="559" t="str">
        <f t="shared" si="25"/>
        <v/>
      </c>
      <c r="I301" s="559" t="str">
        <f t="shared" si="26"/>
        <v/>
      </c>
    </row>
    <row r="302" spans="2:9">
      <c r="B302" s="555" t="str">
        <f t="shared" si="21"/>
        <v/>
      </c>
      <c r="C302" s="556" t="str">
        <f t="shared" si="22"/>
        <v/>
      </c>
      <c r="D302" s="557" t="str">
        <f t="shared" si="23"/>
        <v/>
      </c>
      <c r="E302" s="560"/>
      <c r="F302" s="559"/>
      <c r="G302" s="559" t="str">
        <f t="shared" si="24"/>
        <v/>
      </c>
      <c r="H302" s="559" t="str">
        <f t="shared" si="25"/>
        <v/>
      </c>
      <c r="I302" s="559" t="str">
        <f t="shared" si="26"/>
        <v/>
      </c>
    </row>
    <row r="303" spans="2:9">
      <c r="B303" s="555" t="str">
        <f t="shared" si="21"/>
        <v/>
      </c>
      <c r="C303" s="556" t="str">
        <f t="shared" si="22"/>
        <v/>
      </c>
      <c r="D303" s="557" t="str">
        <f t="shared" si="23"/>
        <v/>
      </c>
      <c r="E303" s="560"/>
      <c r="F303" s="559"/>
      <c r="G303" s="559" t="str">
        <f t="shared" si="24"/>
        <v/>
      </c>
      <c r="H303" s="559" t="str">
        <f t="shared" si="25"/>
        <v/>
      </c>
      <c r="I303" s="559" t="str">
        <f t="shared" si="26"/>
        <v/>
      </c>
    </row>
    <row r="304" spans="2:9">
      <c r="B304" s="555" t="str">
        <f t="shared" si="21"/>
        <v/>
      </c>
      <c r="C304" s="556" t="str">
        <f t="shared" si="22"/>
        <v/>
      </c>
      <c r="D304" s="557" t="str">
        <f t="shared" si="23"/>
        <v/>
      </c>
      <c r="E304" s="560"/>
      <c r="F304" s="559"/>
      <c r="G304" s="559" t="str">
        <f t="shared" si="24"/>
        <v/>
      </c>
      <c r="H304" s="559" t="str">
        <f t="shared" si="25"/>
        <v/>
      </c>
      <c r="I304" s="559" t="str">
        <f t="shared" si="26"/>
        <v/>
      </c>
    </row>
    <row r="305" spans="2:9">
      <c r="B305" s="555" t="str">
        <f t="shared" si="21"/>
        <v/>
      </c>
      <c r="C305" s="556" t="str">
        <f t="shared" si="22"/>
        <v/>
      </c>
      <c r="D305" s="557" t="str">
        <f t="shared" si="23"/>
        <v/>
      </c>
      <c r="E305" s="560"/>
      <c r="F305" s="559"/>
      <c r="G305" s="559" t="str">
        <f t="shared" si="24"/>
        <v/>
      </c>
      <c r="H305" s="559" t="str">
        <f t="shared" si="25"/>
        <v/>
      </c>
      <c r="I305" s="559" t="str">
        <f t="shared" si="26"/>
        <v/>
      </c>
    </row>
    <row r="306" spans="2:9">
      <c r="B306" s="555" t="str">
        <f t="shared" si="21"/>
        <v/>
      </c>
      <c r="C306" s="556" t="str">
        <f t="shared" si="22"/>
        <v/>
      </c>
      <c r="D306" s="557" t="str">
        <f t="shared" si="23"/>
        <v/>
      </c>
      <c r="E306" s="560"/>
      <c r="F306" s="559"/>
      <c r="G306" s="559" t="str">
        <f t="shared" si="24"/>
        <v/>
      </c>
      <c r="H306" s="559" t="str">
        <f t="shared" si="25"/>
        <v/>
      </c>
      <c r="I306" s="559" t="str">
        <f t="shared" si="26"/>
        <v/>
      </c>
    </row>
    <row r="307" spans="2:9">
      <c r="B307" s="555" t="str">
        <f t="shared" si="21"/>
        <v/>
      </c>
      <c r="C307" s="556" t="str">
        <f t="shared" si="22"/>
        <v/>
      </c>
      <c r="D307" s="557" t="str">
        <f t="shared" si="23"/>
        <v/>
      </c>
      <c r="E307" s="560"/>
      <c r="F307" s="559"/>
      <c r="G307" s="559" t="str">
        <f t="shared" si="24"/>
        <v/>
      </c>
      <c r="H307" s="559" t="str">
        <f t="shared" si="25"/>
        <v/>
      </c>
      <c r="I307" s="559" t="str">
        <f t="shared" si="26"/>
        <v/>
      </c>
    </row>
    <row r="308" spans="2:9">
      <c r="B308" s="555" t="str">
        <f t="shared" si="21"/>
        <v/>
      </c>
      <c r="C308" s="556" t="str">
        <f t="shared" si="22"/>
        <v/>
      </c>
      <c r="D308" s="557" t="str">
        <f t="shared" si="23"/>
        <v/>
      </c>
      <c r="E308" s="560"/>
      <c r="F308" s="559"/>
      <c r="G308" s="559" t="str">
        <f t="shared" si="24"/>
        <v/>
      </c>
      <c r="H308" s="559" t="str">
        <f t="shared" si="25"/>
        <v/>
      </c>
      <c r="I308" s="559" t="str">
        <f t="shared" si="26"/>
        <v/>
      </c>
    </row>
    <row r="309" spans="2:9">
      <c r="B309" s="555" t="str">
        <f t="shared" si="21"/>
        <v/>
      </c>
      <c r="C309" s="556" t="str">
        <f t="shared" si="22"/>
        <v/>
      </c>
      <c r="D309" s="557" t="str">
        <f t="shared" si="23"/>
        <v/>
      </c>
      <c r="E309" s="560"/>
      <c r="F309" s="559"/>
      <c r="G309" s="559" t="str">
        <f t="shared" si="24"/>
        <v/>
      </c>
      <c r="H309" s="559" t="str">
        <f t="shared" si="25"/>
        <v/>
      </c>
      <c r="I309" s="559" t="str">
        <f t="shared" si="26"/>
        <v/>
      </c>
    </row>
    <row r="310" spans="2:9">
      <c r="B310" s="555" t="str">
        <f t="shared" si="21"/>
        <v/>
      </c>
      <c r="C310" s="556" t="str">
        <f t="shared" si="22"/>
        <v/>
      </c>
      <c r="D310" s="557" t="str">
        <f t="shared" si="23"/>
        <v/>
      </c>
      <c r="E310" s="560"/>
      <c r="F310" s="559"/>
      <c r="G310" s="559" t="str">
        <f t="shared" si="24"/>
        <v/>
      </c>
      <c r="H310" s="559" t="str">
        <f t="shared" si="25"/>
        <v/>
      </c>
      <c r="I310" s="559" t="str">
        <f t="shared" si="26"/>
        <v/>
      </c>
    </row>
    <row r="311" spans="2:9">
      <c r="B311" s="555" t="str">
        <f t="shared" si="21"/>
        <v/>
      </c>
      <c r="C311" s="556" t="str">
        <f t="shared" si="22"/>
        <v/>
      </c>
      <c r="D311" s="557" t="str">
        <f t="shared" si="23"/>
        <v/>
      </c>
      <c r="E311" s="560"/>
      <c r="F311" s="559"/>
      <c r="G311" s="559" t="str">
        <f t="shared" si="24"/>
        <v/>
      </c>
      <c r="H311" s="559" t="str">
        <f t="shared" si="25"/>
        <v/>
      </c>
      <c r="I311" s="559" t="str">
        <f t="shared" si="26"/>
        <v/>
      </c>
    </row>
    <row r="312" spans="2:9">
      <c r="B312" s="555" t="str">
        <f t="shared" si="21"/>
        <v/>
      </c>
      <c r="C312" s="556" t="str">
        <f t="shared" si="22"/>
        <v/>
      </c>
      <c r="D312" s="557" t="str">
        <f t="shared" si="23"/>
        <v/>
      </c>
      <c r="E312" s="560"/>
      <c r="F312" s="559"/>
      <c r="G312" s="559" t="str">
        <f t="shared" si="24"/>
        <v/>
      </c>
      <c r="H312" s="559" t="str">
        <f t="shared" si="25"/>
        <v/>
      </c>
      <c r="I312" s="559" t="str">
        <f t="shared" si="26"/>
        <v/>
      </c>
    </row>
    <row r="313" spans="2:9">
      <c r="B313" s="555" t="str">
        <f t="shared" si="21"/>
        <v/>
      </c>
      <c r="C313" s="556" t="str">
        <f t="shared" si="22"/>
        <v/>
      </c>
      <c r="D313" s="557" t="str">
        <f t="shared" si="23"/>
        <v/>
      </c>
      <c r="E313" s="560"/>
      <c r="F313" s="559"/>
      <c r="G313" s="559" t="str">
        <f t="shared" si="24"/>
        <v/>
      </c>
      <c r="H313" s="559" t="str">
        <f t="shared" si="25"/>
        <v/>
      </c>
      <c r="I313" s="559" t="str">
        <f t="shared" si="26"/>
        <v/>
      </c>
    </row>
    <row r="314" spans="2:9">
      <c r="B314" s="555" t="str">
        <f t="shared" si="21"/>
        <v/>
      </c>
      <c r="C314" s="556" t="str">
        <f t="shared" si="22"/>
        <v/>
      </c>
      <c r="D314" s="557" t="str">
        <f t="shared" si="23"/>
        <v/>
      </c>
      <c r="E314" s="560"/>
      <c r="F314" s="559"/>
      <c r="G314" s="559" t="str">
        <f t="shared" si="24"/>
        <v/>
      </c>
      <c r="H314" s="559" t="str">
        <f t="shared" si="25"/>
        <v/>
      </c>
      <c r="I314" s="559" t="str">
        <f t="shared" si="26"/>
        <v/>
      </c>
    </row>
    <row r="315" spans="2:9">
      <c r="B315" s="555" t="str">
        <f t="shared" si="21"/>
        <v/>
      </c>
      <c r="C315" s="556" t="str">
        <f t="shared" si="22"/>
        <v/>
      </c>
      <c r="D315" s="557" t="str">
        <f t="shared" si="23"/>
        <v/>
      </c>
      <c r="E315" s="560"/>
      <c r="F315" s="559"/>
      <c r="G315" s="559" t="str">
        <f t="shared" si="24"/>
        <v/>
      </c>
      <c r="H315" s="559" t="str">
        <f t="shared" si="25"/>
        <v/>
      </c>
      <c r="I315" s="559" t="str">
        <f t="shared" si="26"/>
        <v/>
      </c>
    </row>
    <row r="316" spans="2:9">
      <c r="B316" s="555" t="str">
        <f t="shared" si="21"/>
        <v/>
      </c>
      <c r="C316" s="556" t="str">
        <f t="shared" si="22"/>
        <v/>
      </c>
      <c r="D316" s="557" t="str">
        <f t="shared" si="23"/>
        <v/>
      </c>
      <c r="E316" s="560"/>
      <c r="F316" s="559"/>
      <c r="G316" s="559" t="str">
        <f t="shared" si="24"/>
        <v/>
      </c>
      <c r="H316" s="559" t="str">
        <f t="shared" si="25"/>
        <v/>
      </c>
      <c r="I316" s="559" t="str">
        <f t="shared" si="26"/>
        <v/>
      </c>
    </row>
    <row r="317" spans="2:9">
      <c r="B317" s="555" t="str">
        <f t="shared" ref="B317:B380" si="27">IF(I316="","",IF(roundOpt,IF(OR(B316&gt;=nper,ROUND(I316,2)&lt;=0),"",B316+1),IF(OR(B316&gt;=nper,I316&lt;=0),"",B316+1)))</f>
        <v/>
      </c>
      <c r="C317" s="556" t="str">
        <f t="shared" ref="C317:C380" si="28">IF(B317="","",IF(OR(periods_per_year=26,periods_per_year=52),IF(periods_per_year=26,IF(B317=1,fpdate,C316+14),IF(periods_per_year=52,IF(B317=1,fpdate,C316+7),"n/a")),IF(periods_per_year=24,DATE(YEAR(fpdate),MONTH(fpdate)+(B317-1)/2+IF(AND(DAY(fpdate)&gt;=15,MOD(B317,2)=0),1,0),IF(MOD(B317,2)=0,IF(DAY(fpdate)&gt;=15,DAY(fpdate)-14,DAY(fpdate)+14),DAY(fpdate))),IF(DAY(DATE(YEAR(fpdate),MONTH(fpdate)+(B317-1)*months_per_period,DAY(fpdate)))&lt;&gt;DAY(fpdate),DATE(YEAR(fpdate),MONTH(fpdate)+(B317-1)*months_per_period+1,0),DATE(YEAR(fpdate),MONTH(fpdate)+(B317-1)*months_per_period,DAY(fpdate))))))</f>
        <v/>
      </c>
      <c r="D317" s="557" t="str">
        <f t="shared" ref="D317:D380" si="29">IF(B317="","",IF(roundOpt,IF(OR(B317=nper,payment&gt;ROUND((1+rate)*I316,2)),ROUND((1+rate)*I316,2),payment),IF(OR(B317=nper,payment&gt;(1+rate)*I316),(1+rate)*I316,payment)))</f>
        <v/>
      </c>
      <c r="E317" s="560"/>
      <c r="F317" s="559"/>
      <c r="G317" s="559" t="str">
        <f t="shared" ref="G317:G380" si="30">IF(B317="","",IF(AND(B317=1,pmtType=1),0,IF(roundOpt,ROUND(rate*I316,2),rate*I316)))</f>
        <v/>
      </c>
      <c r="H317" s="559" t="str">
        <f t="shared" ref="H317:H380" si="31">IF(B317="","",D317-G317+E317)</f>
        <v/>
      </c>
      <c r="I317" s="559" t="str">
        <f t="shared" ref="I317:I380" si="32">IF(B317="","",I316-H317)</f>
        <v/>
      </c>
    </row>
    <row r="318" spans="2:9">
      <c r="B318" s="555" t="str">
        <f t="shared" si="27"/>
        <v/>
      </c>
      <c r="C318" s="556" t="str">
        <f t="shared" si="28"/>
        <v/>
      </c>
      <c r="D318" s="557" t="str">
        <f t="shared" si="29"/>
        <v/>
      </c>
      <c r="E318" s="560"/>
      <c r="F318" s="559"/>
      <c r="G318" s="559" t="str">
        <f t="shared" si="30"/>
        <v/>
      </c>
      <c r="H318" s="559" t="str">
        <f t="shared" si="31"/>
        <v/>
      </c>
      <c r="I318" s="559" t="str">
        <f t="shared" si="32"/>
        <v/>
      </c>
    </row>
    <row r="319" spans="2:9">
      <c r="B319" s="555" t="str">
        <f t="shared" si="27"/>
        <v/>
      </c>
      <c r="C319" s="556" t="str">
        <f t="shared" si="28"/>
        <v/>
      </c>
      <c r="D319" s="557" t="str">
        <f t="shared" si="29"/>
        <v/>
      </c>
      <c r="E319" s="560"/>
      <c r="F319" s="559"/>
      <c r="G319" s="559" t="str">
        <f t="shared" si="30"/>
        <v/>
      </c>
      <c r="H319" s="559" t="str">
        <f t="shared" si="31"/>
        <v/>
      </c>
      <c r="I319" s="559" t="str">
        <f t="shared" si="32"/>
        <v/>
      </c>
    </row>
    <row r="320" spans="2:9">
      <c r="B320" s="555" t="str">
        <f t="shared" si="27"/>
        <v/>
      </c>
      <c r="C320" s="556" t="str">
        <f t="shared" si="28"/>
        <v/>
      </c>
      <c r="D320" s="557" t="str">
        <f t="shared" si="29"/>
        <v/>
      </c>
      <c r="E320" s="560"/>
      <c r="F320" s="559"/>
      <c r="G320" s="559" t="str">
        <f t="shared" si="30"/>
        <v/>
      </c>
      <c r="H320" s="559" t="str">
        <f t="shared" si="31"/>
        <v/>
      </c>
      <c r="I320" s="559" t="str">
        <f t="shared" si="32"/>
        <v/>
      </c>
    </row>
    <row r="321" spans="2:9">
      <c r="B321" s="555" t="str">
        <f t="shared" si="27"/>
        <v/>
      </c>
      <c r="C321" s="556" t="str">
        <f t="shared" si="28"/>
        <v/>
      </c>
      <c r="D321" s="557" t="str">
        <f t="shared" si="29"/>
        <v/>
      </c>
      <c r="E321" s="560"/>
      <c r="F321" s="559"/>
      <c r="G321" s="559" t="str">
        <f t="shared" si="30"/>
        <v/>
      </c>
      <c r="H321" s="559" t="str">
        <f t="shared" si="31"/>
        <v/>
      </c>
      <c r="I321" s="559" t="str">
        <f t="shared" si="32"/>
        <v/>
      </c>
    </row>
    <row r="322" spans="2:9">
      <c r="B322" s="555" t="str">
        <f t="shared" si="27"/>
        <v/>
      </c>
      <c r="C322" s="556" t="str">
        <f t="shared" si="28"/>
        <v/>
      </c>
      <c r="D322" s="557" t="str">
        <f t="shared" si="29"/>
        <v/>
      </c>
      <c r="E322" s="560"/>
      <c r="F322" s="559"/>
      <c r="G322" s="559" t="str">
        <f t="shared" si="30"/>
        <v/>
      </c>
      <c r="H322" s="559" t="str">
        <f t="shared" si="31"/>
        <v/>
      </c>
      <c r="I322" s="559" t="str">
        <f t="shared" si="32"/>
        <v/>
      </c>
    </row>
    <row r="323" spans="2:9">
      <c r="B323" s="555" t="str">
        <f t="shared" si="27"/>
        <v/>
      </c>
      <c r="C323" s="556" t="str">
        <f t="shared" si="28"/>
        <v/>
      </c>
      <c r="D323" s="557" t="str">
        <f t="shared" si="29"/>
        <v/>
      </c>
      <c r="E323" s="560"/>
      <c r="F323" s="559"/>
      <c r="G323" s="559" t="str">
        <f t="shared" si="30"/>
        <v/>
      </c>
      <c r="H323" s="559" t="str">
        <f t="shared" si="31"/>
        <v/>
      </c>
      <c r="I323" s="559" t="str">
        <f t="shared" si="32"/>
        <v/>
      </c>
    </row>
    <row r="324" spans="2:9">
      <c r="B324" s="555" t="str">
        <f t="shared" si="27"/>
        <v/>
      </c>
      <c r="C324" s="556" t="str">
        <f t="shared" si="28"/>
        <v/>
      </c>
      <c r="D324" s="557" t="str">
        <f t="shared" si="29"/>
        <v/>
      </c>
      <c r="E324" s="560"/>
      <c r="F324" s="559"/>
      <c r="G324" s="559" t="str">
        <f t="shared" si="30"/>
        <v/>
      </c>
      <c r="H324" s="559" t="str">
        <f t="shared" si="31"/>
        <v/>
      </c>
      <c r="I324" s="559" t="str">
        <f t="shared" si="32"/>
        <v/>
      </c>
    </row>
    <row r="325" spans="2:9">
      <c r="B325" s="555" t="str">
        <f t="shared" si="27"/>
        <v/>
      </c>
      <c r="C325" s="556" t="str">
        <f t="shared" si="28"/>
        <v/>
      </c>
      <c r="D325" s="557" t="str">
        <f t="shared" si="29"/>
        <v/>
      </c>
      <c r="E325" s="560"/>
      <c r="F325" s="559"/>
      <c r="G325" s="559" t="str">
        <f t="shared" si="30"/>
        <v/>
      </c>
      <c r="H325" s="559" t="str">
        <f t="shared" si="31"/>
        <v/>
      </c>
      <c r="I325" s="559" t="str">
        <f t="shared" si="32"/>
        <v/>
      </c>
    </row>
    <row r="326" spans="2:9">
      <c r="B326" s="555" t="str">
        <f t="shared" si="27"/>
        <v/>
      </c>
      <c r="C326" s="556" t="str">
        <f t="shared" si="28"/>
        <v/>
      </c>
      <c r="D326" s="557" t="str">
        <f t="shared" si="29"/>
        <v/>
      </c>
      <c r="E326" s="560"/>
      <c r="F326" s="559"/>
      <c r="G326" s="559" t="str">
        <f t="shared" si="30"/>
        <v/>
      </c>
      <c r="H326" s="559" t="str">
        <f t="shared" si="31"/>
        <v/>
      </c>
      <c r="I326" s="559" t="str">
        <f t="shared" si="32"/>
        <v/>
      </c>
    </row>
    <row r="327" spans="2:9">
      <c r="B327" s="555" t="str">
        <f t="shared" si="27"/>
        <v/>
      </c>
      <c r="C327" s="556" t="str">
        <f t="shared" si="28"/>
        <v/>
      </c>
      <c r="D327" s="557" t="str">
        <f t="shared" si="29"/>
        <v/>
      </c>
      <c r="E327" s="560"/>
      <c r="F327" s="559"/>
      <c r="G327" s="559" t="str">
        <f t="shared" si="30"/>
        <v/>
      </c>
      <c r="H327" s="559" t="str">
        <f t="shared" si="31"/>
        <v/>
      </c>
      <c r="I327" s="559" t="str">
        <f t="shared" si="32"/>
        <v/>
      </c>
    </row>
    <row r="328" spans="2:9">
      <c r="B328" s="555" t="str">
        <f t="shared" si="27"/>
        <v/>
      </c>
      <c r="C328" s="556" t="str">
        <f t="shared" si="28"/>
        <v/>
      </c>
      <c r="D328" s="557" t="str">
        <f t="shared" si="29"/>
        <v/>
      </c>
      <c r="E328" s="560"/>
      <c r="F328" s="559"/>
      <c r="G328" s="559" t="str">
        <f t="shared" si="30"/>
        <v/>
      </c>
      <c r="H328" s="559" t="str">
        <f t="shared" si="31"/>
        <v/>
      </c>
      <c r="I328" s="559" t="str">
        <f t="shared" si="32"/>
        <v/>
      </c>
    </row>
    <row r="329" spans="2:9">
      <c r="B329" s="555" t="str">
        <f t="shared" si="27"/>
        <v/>
      </c>
      <c r="C329" s="556" t="str">
        <f t="shared" si="28"/>
        <v/>
      </c>
      <c r="D329" s="557" t="str">
        <f t="shared" si="29"/>
        <v/>
      </c>
      <c r="E329" s="560"/>
      <c r="F329" s="559"/>
      <c r="G329" s="559" t="str">
        <f t="shared" si="30"/>
        <v/>
      </c>
      <c r="H329" s="559" t="str">
        <f t="shared" si="31"/>
        <v/>
      </c>
      <c r="I329" s="559" t="str">
        <f t="shared" si="32"/>
        <v/>
      </c>
    </row>
    <row r="330" spans="2:9">
      <c r="B330" s="555" t="str">
        <f t="shared" si="27"/>
        <v/>
      </c>
      <c r="C330" s="556" t="str">
        <f t="shared" si="28"/>
        <v/>
      </c>
      <c r="D330" s="557" t="str">
        <f t="shared" si="29"/>
        <v/>
      </c>
      <c r="E330" s="560"/>
      <c r="F330" s="559"/>
      <c r="G330" s="559" t="str">
        <f t="shared" si="30"/>
        <v/>
      </c>
      <c r="H330" s="559" t="str">
        <f t="shared" si="31"/>
        <v/>
      </c>
      <c r="I330" s="559" t="str">
        <f t="shared" si="32"/>
        <v/>
      </c>
    </row>
    <row r="331" spans="2:9">
      <c r="B331" s="555" t="str">
        <f t="shared" si="27"/>
        <v/>
      </c>
      <c r="C331" s="556" t="str">
        <f t="shared" si="28"/>
        <v/>
      </c>
      <c r="D331" s="557" t="str">
        <f t="shared" si="29"/>
        <v/>
      </c>
      <c r="E331" s="560"/>
      <c r="F331" s="559"/>
      <c r="G331" s="559" t="str">
        <f t="shared" si="30"/>
        <v/>
      </c>
      <c r="H331" s="559" t="str">
        <f t="shared" si="31"/>
        <v/>
      </c>
      <c r="I331" s="559" t="str">
        <f t="shared" si="32"/>
        <v/>
      </c>
    </row>
    <row r="332" spans="2:9">
      <c r="B332" s="555" t="str">
        <f t="shared" si="27"/>
        <v/>
      </c>
      <c r="C332" s="556" t="str">
        <f t="shared" si="28"/>
        <v/>
      </c>
      <c r="D332" s="557" t="str">
        <f t="shared" si="29"/>
        <v/>
      </c>
      <c r="E332" s="560"/>
      <c r="F332" s="559"/>
      <c r="G332" s="559" t="str">
        <f t="shared" si="30"/>
        <v/>
      </c>
      <c r="H332" s="559" t="str">
        <f t="shared" si="31"/>
        <v/>
      </c>
      <c r="I332" s="559" t="str">
        <f t="shared" si="32"/>
        <v/>
      </c>
    </row>
    <row r="333" spans="2:9">
      <c r="B333" s="555" t="str">
        <f t="shared" si="27"/>
        <v/>
      </c>
      <c r="C333" s="556" t="str">
        <f t="shared" si="28"/>
        <v/>
      </c>
      <c r="D333" s="557" t="str">
        <f t="shared" si="29"/>
        <v/>
      </c>
      <c r="E333" s="560"/>
      <c r="F333" s="559"/>
      <c r="G333" s="559" t="str">
        <f t="shared" si="30"/>
        <v/>
      </c>
      <c r="H333" s="559" t="str">
        <f t="shared" si="31"/>
        <v/>
      </c>
      <c r="I333" s="559" t="str">
        <f t="shared" si="32"/>
        <v/>
      </c>
    </row>
    <row r="334" spans="2:9">
      <c r="B334" s="555" t="str">
        <f t="shared" si="27"/>
        <v/>
      </c>
      <c r="C334" s="556" t="str">
        <f t="shared" si="28"/>
        <v/>
      </c>
      <c r="D334" s="557" t="str">
        <f t="shared" si="29"/>
        <v/>
      </c>
      <c r="E334" s="560"/>
      <c r="F334" s="559"/>
      <c r="G334" s="559" t="str">
        <f t="shared" si="30"/>
        <v/>
      </c>
      <c r="H334" s="559" t="str">
        <f t="shared" si="31"/>
        <v/>
      </c>
      <c r="I334" s="559" t="str">
        <f t="shared" si="32"/>
        <v/>
      </c>
    </row>
    <row r="335" spans="2:9">
      <c r="B335" s="555" t="str">
        <f t="shared" si="27"/>
        <v/>
      </c>
      <c r="C335" s="556" t="str">
        <f t="shared" si="28"/>
        <v/>
      </c>
      <c r="D335" s="557" t="str">
        <f t="shared" si="29"/>
        <v/>
      </c>
      <c r="E335" s="560"/>
      <c r="F335" s="559"/>
      <c r="G335" s="559" t="str">
        <f t="shared" si="30"/>
        <v/>
      </c>
      <c r="H335" s="559" t="str">
        <f t="shared" si="31"/>
        <v/>
      </c>
      <c r="I335" s="559" t="str">
        <f t="shared" si="32"/>
        <v/>
      </c>
    </row>
    <row r="336" spans="2:9">
      <c r="B336" s="555" t="str">
        <f t="shared" si="27"/>
        <v/>
      </c>
      <c r="C336" s="556" t="str">
        <f t="shared" si="28"/>
        <v/>
      </c>
      <c r="D336" s="557" t="str">
        <f t="shared" si="29"/>
        <v/>
      </c>
      <c r="E336" s="560"/>
      <c r="F336" s="559"/>
      <c r="G336" s="559" t="str">
        <f t="shared" si="30"/>
        <v/>
      </c>
      <c r="H336" s="559" t="str">
        <f t="shared" si="31"/>
        <v/>
      </c>
      <c r="I336" s="559" t="str">
        <f t="shared" si="32"/>
        <v/>
      </c>
    </row>
    <row r="337" spans="2:9">
      <c r="B337" s="555" t="str">
        <f t="shared" si="27"/>
        <v/>
      </c>
      <c r="C337" s="556" t="str">
        <f t="shared" si="28"/>
        <v/>
      </c>
      <c r="D337" s="557" t="str">
        <f t="shared" si="29"/>
        <v/>
      </c>
      <c r="E337" s="560"/>
      <c r="F337" s="559"/>
      <c r="G337" s="559" t="str">
        <f t="shared" si="30"/>
        <v/>
      </c>
      <c r="H337" s="559" t="str">
        <f t="shared" si="31"/>
        <v/>
      </c>
      <c r="I337" s="559" t="str">
        <f t="shared" si="32"/>
        <v/>
      </c>
    </row>
    <row r="338" spans="2:9">
      <c r="B338" s="555" t="str">
        <f t="shared" si="27"/>
        <v/>
      </c>
      <c r="C338" s="556" t="str">
        <f t="shared" si="28"/>
        <v/>
      </c>
      <c r="D338" s="557" t="str">
        <f t="shared" si="29"/>
        <v/>
      </c>
      <c r="E338" s="560"/>
      <c r="F338" s="559"/>
      <c r="G338" s="559" t="str">
        <f t="shared" si="30"/>
        <v/>
      </c>
      <c r="H338" s="559" t="str">
        <f t="shared" si="31"/>
        <v/>
      </c>
      <c r="I338" s="559" t="str">
        <f t="shared" si="32"/>
        <v/>
      </c>
    </row>
    <row r="339" spans="2:9">
      <c r="B339" s="555" t="str">
        <f t="shared" si="27"/>
        <v/>
      </c>
      <c r="C339" s="556" t="str">
        <f t="shared" si="28"/>
        <v/>
      </c>
      <c r="D339" s="557" t="str">
        <f t="shared" si="29"/>
        <v/>
      </c>
      <c r="E339" s="560"/>
      <c r="F339" s="559"/>
      <c r="G339" s="559" t="str">
        <f t="shared" si="30"/>
        <v/>
      </c>
      <c r="H339" s="559" t="str">
        <f t="shared" si="31"/>
        <v/>
      </c>
      <c r="I339" s="559" t="str">
        <f t="shared" si="32"/>
        <v/>
      </c>
    </row>
    <row r="340" spans="2:9">
      <c r="B340" s="555" t="str">
        <f t="shared" si="27"/>
        <v/>
      </c>
      <c r="C340" s="556" t="str">
        <f t="shared" si="28"/>
        <v/>
      </c>
      <c r="D340" s="557" t="str">
        <f t="shared" si="29"/>
        <v/>
      </c>
      <c r="E340" s="560"/>
      <c r="F340" s="559"/>
      <c r="G340" s="559" t="str">
        <f t="shared" si="30"/>
        <v/>
      </c>
      <c r="H340" s="559" t="str">
        <f t="shared" si="31"/>
        <v/>
      </c>
      <c r="I340" s="559" t="str">
        <f t="shared" si="32"/>
        <v/>
      </c>
    </row>
    <row r="341" spans="2:9">
      <c r="B341" s="555" t="str">
        <f t="shared" si="27"/>
        <v/>
      </c>
      <c r="C341" s="556" t="str">
        <f t="shared" si="28"/>
        <v/>
      </c>
      <c r="D341" s="557" t="str">
        <f t="shared" si="29"/>
        <v/>
      </c>
      <c r="E341" s="560"/>
      <c r="F341" s="559"/>
      <c r="G341" s="559" t="str">
        <f t="shared" si="30"/>
        <v/>
      </c>
      <c r="H341" s="559" t="str">
        <f t="shared" si="31"/>
        <v/>
      </c>
      <c r="I341" s="559" t="str">
        <f t="shared" si="32"/>
        <v/>
      </c>
    </row>
    <row r="342" spans="2:9">
      <c r="B342" s="555" t="str">
        <f t="shared" si="27"/>
        <v/>
      </c>
      <c r="C342" s="556" t="str">
        <f t="shared" si="28"/>
        <v/>
      </c>
      <c r="D342" s="557" t="str">
        <f t="shared" si="29"/>
        <v/>
      </c>
      <c r="E342" s="560"/>
      <c r="F342" s="559"/>
      <c r="G342" s="559" t="str">
        <f t="shared" si="30"/>
        <v/>
      </c>
      <c r="H342" s="559" t="str">
        <f t="shared" si="31"/>
        <v/>
      </c>
      <c r="I342" s="559" t="str">
        <f t="shared" si="32"/>
        <v/>
      </c>
    </row>
    <row r="343" spans="2:9">
      <c r="B343" s="555" t="str">
        <f t="shared" si="27"/>
        <v/>
      </c>
      <c r="C343" s="556" t="str">
        <f t="shared" si="28"/>
        <v/>
      </c>
      <c r="D343" s="557" t="str">
        <f t="shared" si="29"/>
        <v/>
      </c>
      <c r="E343" s="560"/>
      <c r="F343" s="559"/>
      <c r="G343" s="559" t="str">
        <f t="shared" si="30"/>
        <v/>
      </c>
      <c r="H343" s="559" t="str">
        <f t="shared" si="31"/>
        <v/>
      </c>
      <c r="I343" s="559" t="str">
        <f t="shared" si="32"/>
        <v/>
      </c>
    </row>
    <row r="344" spans="2:9">
      <c r="B344" s="555" t="str">
        <f t="shared" si="27"/>
        <v/>
      </c>
      <c r="C344" s="556" t="str">
        <f t="shared" si="28"/>
        <v/>
      </c>
      <c r="D344" s="557" t="str">
        <f t="shared" si="29"/>
        <v/>
      </c>
      <c r="E344" s="560"/>
      <c r="F344" s="559"/>
      <c r="G344" s="559" t="str">
        <f t="shared" si="30"/>
        <v/>
      </c>
      <c r="H344" s="559" t="str">
        <f t="shared" si="31"/>
        <v/>
      </c>
      <c r="I344" s="559" t="str">
        <f t="shared" si="32"/>
        <v/>
      </c>
    </row>
    <row r="345" spans="2:9">
      <c r="B345" s="555" t="str">
        <f t="shared" si="27"/>
        <v/>
      </c>
      <c r="C345" s="556" t="str">
        <f t="shared" si="28"/>
        <v/>
      </c>
      <c r="D345" s="557" t="str">
        <f t="shared" si="29"/>
        <v/>
      </c>
      <c r="E345" s="560"/>
      <c r="F345" s="559"/>
      <c r="G345" s="559" t="str">
        <f t="shared" si="30"/>
        <v/>
      </c>
      <c r="H345" s="559" t="str">
        <f t="shared" si="31"/>
        <v/>
      </c>
      <c r="I345" s="559" t="str">
        <f t="shared" si="32"/>
        <v/>
      </c>
    </row>
    <row r="346" spans="2:9">
      <c r="B346" s="555" t="str">
        <f t="shared" si="27"/>
        <v/>
      </c>
      <c r="C346" s="556" t="str">
        <f t="shared" si="28"/>
        <v/>
      </c>
      <c r="D346" s="557" t="str">
        <f t="shared" si="29"/>
        <v/>
      </c>
      <c r="E346" s="560"/>
      <c r="F346" s="559"/>
      <c r="G346" s="559" t="str">
        <f t="shared" si="30"/>
        <v/>
      </c>
      <c r="H346" s="559" t="str">
        <f t="shared" si="31"/>
        <v/>
      </c>
      <c r="I346" s="559" t="str">
        <f t="shared" si="32"/>
        <v/>
      </c>
    </row>
    <row r="347" spans="2:9">
      <c r="B347" s="555" t="str">
        <f t="shared" si="27"/>
        <v/>
      </c>
      <c r="C347" s="556" t="str">
        <f t="shared" si="28"/>
        <v/>
      </c>
      <c r="D347" s="557" t="str">
        <f t="shared" si="29"/>
        <v/>
      </c>
      <c r="E347" s="560"/>
      <c r="F347" s="559"/>
      <c r="G347" s="559" t="str">
        <f t="shared" si="30"/>
        <v/>
      </c>
      <c r="H347" s="559" t="str">
        <f t="shared" si="31"/>
        <v/>
      </c>
      <c r="I347" s="559" t="str">
        <f t="shared" si="32"/>
        <v/>
      </c>
    </row>
    <row r="348" spans="2:9">
      <c r="B348" s="555" t="str">
        <f t="shared" si="27"/>
        <v/>
      </c>
      <c r="C348" s="556" t="str">
        <f t="shared" si="28"/>
        <v/>
      </c>
      <c r="D348" s="557" t="str">
        <f t="shared" si="29"/>
        <v/>
      </c>
      <c r="E348" s="560"/>
      <c r="F348" s="559"/>
      <c r="G348" s="559" t="str">
        <f t="shared" si="30"/>
        <v/>
      </c>
      <c r="H348" s="559" t="str">
        <f t="shared" si="31"/>
        <v/>
      </c>
      <c r="I348" s="559" t="str">
        <f t="shared" si="32"/>
        <v/>
      </c>
    </row>
    <row r="349" spans="2:9">
      <c r="B349" s="555" t="str">
        <f t="shared" si="27"/>
        <v/>
      </c>
      <c r="C349" s="556" t="str">
        <f t="shared" si="28"/>
        <v/>
      </c>
      <c r="D349" s="557" t="str">
        <f t="shared" si="29"/>
        <v/>
      </c>
      <c r="E349" s="560"/>
      <c r="F349" s="559"/>
      <c r="G349" s="559" t="str">
        <f t="shared" si="30"/>
        <v/>
      </c>
      <c r="H349" s="559" t="str">
        <f t="shared" si="31"/>
        <v/>
      </c>
      <c r="I349" s="559" t="str">
        <f t="shared" si="32"/>
        <v/>
      </c>
    </row>
    <row r="350" spans="2:9">
      <c r="B350" s="555" t="str">
        <f t="shared" si="27"/>
        <v/>
      </c>
      <c r="C350" s="556" t="str">
        <f t="shared" si="28"/>
        <v/>
      </c>
      <c r="D350" s="557" t="str">
        <f t="shared" si="29"/>
        <v/>
      </c>
      <c r="E350" s="560"/>
      <c r="F350" s="559"/>
      <c r="G350" s="559" t="str">
        <f t="shared" si="30"/>
        <v/>
      </c>
      <c r="H350" s="559" t="str">
        <f t="shared" si="31"/>
        <v/>
      </c>
      <c r="I350" s="559" t="str">
        <f t="shared" si="32"/>
        <v/>
      </c>
    </row>
    <row r="351" spans="2:9">
      <c r="B351" s="555" t="str">
        <f t="shared" si="27"/>
        <v/>
      </c>
      <c r="C351" s="556" t="str">
        <f t="shared" si="28"/>
        <v/>
      </c>
      <c r="D351" s="557" t="str">
        <f t="shared" si="29"/>
        <v/>
      </c>
      <c r="E351" s="560"/>
      <c r="F351" s="559"/>
      <c r="G351" s="559" t="str">
        <f t="shared" si="30"/>
        <v/>
      </c>
      <c r="H351" s="559" t="str">
        <f t="shared" si="31"/>
        <v/>
      </c>
      <c r="I351" s="559" t="str">
        <f t="shared" si="32"/>
        <v/>
      </c>
    </row>
    <row r="352" spans="2:9">
      <c r="B352" s="555" t="str">
        <f t="shared" si="27"/>
        <v/>
      </c>
      <c r="C352" s="556" t="str">
        <f t="shared" si="28"/>
        <v/>
      </c>
      <c r="D352" s="557" t="str">
        <f t="shared" si="29"/>
        <v/>
      </c>
      <c r="E352" s="560"/>
      <c r="F352" s="559"/>
      <c r="G352" s="559" t="str">
        <f t="shared" si="30"/>
        <v/>
      </c>
      <c r="H352" s="559" t="str">
        <f t="shared" si="31"/>
        <v/>
      </c>
      <c r="I352" s="559" t="str">
        <f t="shared" si="32"/>
        <v/>
      </c>
    </row>
    <row r="353" spans="2:9">
      <c r="B353" s="555" t="str">
        <f t="shared" si="27"/>
        <v/>
      </c>
      <c r="C353" s="556" t="str">
        <f t="shared" si="28"/>
        <v/>
      </c>
      <c r="D353" s="557" t="str">
        <f t="shared" si="29"/>
        <v/>
      </c>
      <c r="E353" s="560"/>
      <c r="F353" s="559"/>
      <c r="G353" s="559" t="str">
        <f t="shared" si="30"/>
        <v/>
      </c>
      <c r="H353" s="559" t="str">
        <f t="shared" si="31"/>
        <v/>
      </c>
      <c r="I353" s="559" t="str">
        <f t="shared" si="32"/>
        <v/>
      </c>
    </row>
    <row r="354" spans="2:9">
      <c r="B354" s="555" t="str">
        <f t="shared" si="27"/>
        <v/>
      </c>
      <c r="C354" s="556" t="str">
        <f t="shared" si="28"/>
        <v/>
      </c>
      <c r="D354" s="557" t="str">
        <f t="shared" si="29"/>
        <v/>
      </c>
      <c r="E354" s="560"/>
      <c r="F354" s="559"/>
      <c r="G354" s="559" t="str">
        <f t="shared" si="30"/>
        <v/>
      </c>
      <c r="H354" s="559" t="str">
        <f t="shared" si="31"/>
        <v/>
      </c>
      <c r="I354" s="559" t="str">
        <f t="shared" si="32"/>
        <v/>
      </c>
    </row>
    <row r="355" spans="2:9">
      <c r="B355" s="555" t="str">
        <f t="shared" si="27"/>
        <v/>
      </c>
      <c r="C355" s="556" t="str">
        <f t="shared" si="28"/>
        <v/>
      </c>
      <c r="D355" s="557" t="str">
        <f t="shared" si="29"/>
        <v/>
      </c>
      <c r="E355" s="560"/>
      <c r="F355" s="559"/>
      <c r="G355" s="559" t="str">
        <f t="shared" si="30"/>
        <v/>
      </c>
      <c r="H355" s="559" t="str">
        <f t="shared" si="31"/>
        <v/>
      </c>
      <c r="I355" s="559" t="str">
        <f t="shared" si="32"/>
        <v/>
      </c>
    </row>
    <row r="356" spans="2:9">
      <c r="B356" s="555" t="str">
        <f t="shared" si="27"/>
        <v/>
      </c>
      <c r="C356" s="556" t="str">
        <f t="shared" si="28"/>
        <v/>
      </c>
      <c r="D356" s="557" t="str">
        <f t="shared" si="29"/>
        <v/>
      </c>
      <c r="E356" s="560"/>
      <c r="F356" s="559"/>
      <c r="G356" s="559" t="str">
        <f t="shared" si="30"/>
        <v/>
      </c>
      <c r="H356" s="559" t="str">
        <f t="shared" si="31"/>
        <v/>
      </c>
      <c r="I356" s="559" t="str">
        <f t="shared" si="32"/>
        <v/>
      </c>
    </row>
    <row r="357" spans="2:9">
      <c r="B357" s="555" t="str">
        <f t="shared" si="27"/>
        <v/>
      </c>
      <c r="C357" s="556" t="str">
        <f t="shared" si="28"/>
        <v/>
      </c>
      <c r="D357" s="557" t="str">
        <f t="shared" si="29"/>
        <v/>
      </c>
      <c r="E357" s="560"/>
      <c r="F357" s="559"/>
      <c r="G357" s="559" t="str">
        <f t="shared" si="30"/>
        <v/>
      </c>
      <c r="H357" s="559" t="str">
        <f t="shared" si="31"/>
        <v/>
      </c>
      <c r="I357" s="559" t="str">
        <f t="shared" si="32"/>
        <v/>
      </c>
    </row>
    <row r="358" spans="2:9">
      <c r="B358" s="555" t="str">
        <f t="shared" si="27"/>
        <v/>
      </c>
      <c r="C358" s="556" t="str">
        <f t="shared" si="28"/>
        <v/>
      </c>
      <c r="D358" s="557" t="str">
        <f t="shared" si="29"/>
        <v/>
      </c>
      <c r="E358" s="560"/>
      <c r="F358" s="559"/>
      <c r="G358" s="559" t="str">
        <f t="shared" si="30"/>
        <v/>
      </c>
      <c r="H358" s="559" t="str">
        <f t="shared" si="31"/>
        <v/>
      </c>
      <c r="I358" s="559" t="str">
        <f t="shared" si="32"/>
        <v/>
      </c>
    </row>
    <row r="359" spans="2:9">
      <c r="B359" s="555" t="str">
        <f t="shared" si="27"/>
        <v/>
      </c>
      <c r="C359" s="556" t="str">
        <f t="shared" si="28"/>
        <v/>
      </c>
      <c r="D359" s="557" t="str">
        <f t="shared" si="29"/>
        <v/>
      </c>
      <c r="E359" s="560"/>
      <c r="F359" s="559"/>
      <c r="G359" s="559" t="str">
        <f t="shared" si="30"/>
        <v/>
      </c>
      <c r="H359" s="559" t="str">
        <f t="shared" si="31"/>
        <v/>
      </c>
      <c r="I359" s="559" t="str">
        <f t="shared" si="32"/>
        <v/>
      </c>
    </row>
    <row r="360" spans="2:9">
      <c r="B360" s="555" t="str">
        <f t="shared" si="27"/>
        <v/>
      </c>
      <c r="C360" s="556" t="str">
        <f t="shared" si="28"/>
        <v/>
      </c>
      <c r="D360" s="557" t="str">
        <f t="shared" si="29"/>
        <v/>
      </c>
      <c r="E360" s="560"/>
      <c r="F360" s="559"/>
      <c r="G360" s="559" t="str">
        <f t="shared" si="30"/>
        <v/>
      </c>
      <c r="H360" s="559" t="str">
        <f t="shared" si="31"/>
        <v/>
      </c>
      <c r="I360" s="559" t="str">
        <f t="shared" si="32"/>
        <v/>
      </c>
    </row>
    <row r="361" spans="2:9">
      <c r="B361" s="555" t="str">
        <f t="shared" si="27"/>
        <v/>
      </c>
      <c r="C361" s="556" t="str">
        <f t="shared" si="28"/>
        <v/>
      </c>
      <c r="D361" s="557" t="str">
        <f t="shared" si="29"/>
        <v/>
      </c>
      <c r="E361" s="560"/>
      <c r="F361" s="559"/>
      <c r="G361" s="559" t="str">
        <f t="shared" si="30"/>
        <v/>
      </c>
      <c r="H361" s="559" t="str">
        <f t="shared" si="31"/>
        <v/>
      </c>
      <c r="I361" s="559" t="str">
        <f t="shared" si="32"/>
        <v/>
      </c>
    </row>
    <row r="362" spans="2:9">
      <c r="B362" s="555" t="str">
        <f t="shared" si="27"/>
        <v/>
      </c>
      <c r="C362" s="556" t="str">
        <f t="shared" si="28"/>
        <v/>
      </c>
      <c r="D362" s="557" t="str">
        <f t="shared" si="29"/>
        <v/>
      </c>
      <c r="E362" s="560"/>
      <c r="F362" s="559"/>
      <c r="G362" s="559" t="str">
        <f t="shared" si="30"/>
        <v/>
      </c>
      <c r="H362" s="559" t="str">
        <f t="shared" si="31"/>
        <v/>
      </c>
      <c r="I362" s="559" t="str">
        <f t="shared" si="32"/>
        <v/>
      </c>
    </row>
    <row r="363" spans="2:9">
      <c r="B363" s="555" t="str">
        <f t="shared" si="27"/>
        <v/>
      </c>
      <c r="C363" s="556" t="str">
        <f t="shared" si="28"/>
        <v/>
      </c>
      <c r="D363" s="557" t="str">
        <f t="shared" si="29"/>
        <v/>
      </c>
      <c r="E363" s="560"/>
      <c r="F363" s="559"/>
      <c r="G363" s="559" t="str">
        <f t="shared" si="30"/>
        <v/>
      </c>
      <c r="H363" s="559" t="str">
        <f t="shared" si="31"/>
        <v/>
      </c>
      <c r="I363" s="559" t="str">
        <f t="shared" si="32"/>
        <v/>
      </c>
    </row>
    <row r="364" spans="2:9">
      <c r="B364" s="555" t="str">
        <f t="shared" si="27"/>
        <v/>
      </c>
      <c r="C364" s="556" t="str">
        <f t="shared" si="28"/>
        <v/>
      </c>
      <c r="D364" s="557" t="str">
        <f t="shared" si="29"/>
        <v/>
      </c>
      <c r="E364" s="560"/>
      <c r="F364" s="559"/>
      <c r="G364" s="559" t="str">
        <f t="shared" si="30"/>
        <v/>
      </c>
      <c r="H364" s="559" t="str">
        <f t="shared" si="31"/>
        <v/>
      </c>
      <c r="I364" s="559" t="str">
        <f t="shared" si="32"/>
        <v/>
      </c>
    </row>
    <row r="365" spans="2:9">
      <c r="B365" s="555" t="str">
        <f t="shared" si="27"/>
        <v/>
      </c>
      <c r="C365" s="556" t="str">
        <f t="shared" si="28"/>
        <v/>
      </c>
      <c r="D365" s="557" t="str">
        <f t="shared" si="29"/>
        <v/>
      </c>
      <c r="E365" s="560"/>
      <c r="F365" s="559"/>
      <c r="G365" s="559" t="str">
        <f t="shared" si="30"/>
        <v/>
      </c>
      <c r="H365" s="559" t="str">
        <f t="shared" si="31"/>
        <v/>
      </c>
      <c r="I365" s="559" t="str">
        <f t="shared" si="32"/>
        <v/>
      </c>
    </row>
    <row r="366" spans="2:9">
      <c r="B366" s="555" t="str">
        <f t="shared" si="27"/>
        <v/>
      </c>
      <c r="C366" s="556" t="str">
        <f t="shared" si="28"/>
        <v/>
      </c>
      <c r="D366" s="557" t="str">
        <f t="shared" si="29"/>
        <v/>
      </c>
      <c r="E366" s="560"/>
      <c r="F366" s="559"/>
      <c r="G366" s="559" t="str">
        <f t="shared" si="30"/>
        <v/>
      </c>
      <c r="H366" s="559" t="str">
        <f t="shared" si="31"/>
        <v/>
      </c>
      <c r="I366" s="559" t="str">
        <f t="shared" si="32"/>
        <v/>
      </c>
    </row>
    <row r="367" spans="2:9">
      <c r="B367" s="555" t="str">
        <f t="shared" si="27"/>
        <v/>
      </c>
      <c r="C367" s="556" t="str">
        <f t="shared" si="28"/>
        <v/>
      </c>
      <c r="D367" s="557" t="str">
        <f t="shared" si="29"/>
        <v/>
      </c>
      <c r="E367" s="560"/>
      <c r="F367" s="559"/>
      <c r="G367" s="559" t="str">
        <f t="shared" si="30"/>
        <v/>
      </c>
      <c r="H367" s="559" t="str">
        <f t="shared" si="31"/>
        <v/>
      </c>
      <c r="I367" s="559" t="str">
        <f t="shared" si="32"/>
        <v/>
      </c>
    </row>
    <row r="368" spans="2:9">
      <c r="B368" s="555" t="str">
        <f t="shared" si="27"/>
        <v/>
      </c>
      <c r="C368" s="556" t="str">
        <f t="shared" si="28"/>
        <v/>
      </c>
      <c r="D368" s="557" t="str">
        <f t="shared" si="29"/>
        <v/>
      </c>
      <c r="E368" s="560"/>
      <c r="F368" s="559"/>
      <c r="G368" s="559" t="str">
        <f t="shared" si="30"/>
        <v/>
      </c>
      <c r="H368" s="559" t="str">
        <f t="shared" si="31"/>
        <v/>
      </c>
      <c r="I368" s="559" t="str">
        <f t="shared" si="32"/>
        <v/>
      </c>
    </row>
    <row r="369" spans="2:9">
      <c r="B369" s="555" t="str">
        <f t="shared" si="27"/>
        <v/>
      </c>
      <c r="C369" s="556" t="str">
        <f t="shared" si="28"/>
        <v/>
      </c>
      <c r="D369" s="557" t="str">
        <f t="shared" si="29"/>
        <v/>
      </c>
      <c r="E369" s="560"/>
      <c r="F369" s="559"/>
      <c r="G369" s="559" t="str">
        <f t="shared" si="30"/>
        <v/>
      </c>
      <c r="H369" s="559" t="str">
        <f t="shared" si="31"/>
        <v/>
      </c>
      <c r="I369" s="559" t="str">
        <f t="shared" si="32"/>
        <v/>
      </c>
    </row>
    <row r="370" spans="2:9">
      <c r="B370" s="555" t="str">
        <f t="shared" si="27"/>
        <v/>
      </c>
      <c r="C370" s="556" t="str">
        <f t="shared" si="28"/>
        <v/>
      </c>
      <c r="D370" s="557" t="str">
        <f t="shared" si="29"/>
        <v/>
      </c>
      <c r="E370" s="560"/>
      <c r="F370" s="559"/>
      <c r="G370" s="559" t="str">
        <f t="shared" si="30"/>
        <v/>
      </c>
      <c r="H370" s="559" t="str">
        <f t="shared" si="31"/>
        <v/>
      </c>
      <c r="I370" s="559" t="str">
        <f t="shared" si="32"/>
        <v/>
      </c>
    </row>
    <row r="371" spans="2:9">
      <c r="B371" s="555" t="str">
        <f t="shared" si="27"/>
        <v/>
      </c>
      <c r="C371" s="556" t="str">
        <f t="shared" si="28"/>
        <v/>
      </c>
      <c r="D371" s="557" t="str">
        <f t="shared" si="29"/>
        <v/>
      </c>
      <c r="E371" s="560"/>
      <c r="F371" s="559"/>
      <c r="G371" s="559" t="str">
        <f t="shared" si="30"/>
        <v/>
      </c>
      <c r="H371" s="559" t="str">
        <f t="shared" si="31"/>
        <v/>
      </c>
      <c r="I371" s="559" t="str">
        <f t="shared" si="32"/>
        <v/>
      </c>
    </row>
    <row r="372" spans="2:9">
      <c r="B372" s="555" t="str">
        <f t="shared" si="27"/>
        <v/>
      </c>
      <c r="C372" s="556" t="str">
        <f t="shared" si="28"/>
        <v/>
      </c>
      <c r="D372" s="557" t="str">
        <f t="shared" si="29"/>
        <v/>
      </c>
      <c r="E372" s="560"/>
      <c r="F372" s="559"/>
      <c r="G372" s="559" t="str">
        <f t="shared" si="30"/>
        <v/>
      </c>
      <c r="H372" s="559" t="str">
        <f t="shared" si="31"/>
        <v/>
      </c>
      <c r="I372" s="559" t="str">
        <f t="shared" si="32"/>
        <v/>
      </c>
    </row>
    <row r="373" spans="2:9">
      <c r="B373" s="555" t="str">
        <f t="shared" si="27"/>
        <v/>
      </c>
      <c r="C373" s="556" t="str">
        <f t="shared" si="28"/>
        <v/>
      </c>
      <c r="D373" s="557" t="str">
        <f t="shared" si="29"/>
        <v/>
      </c>
      <c r="E373" s="560"/>
      <c r="F373" s="559"/>
      <c r="G373" s="559" t="str">
        <f t="shared" si="30"/>
        <v/>
      </c>
      <c r="H373" s="559" t="str">
        <f t="shared" si="31"/>
        <v/>
      </c>
      <c r="I373" s="559" t="str">
        <f t="shared" si="32"/>
        <v/>
      </c>
    </row>
    <row r="374" spans="2:9">
      <c r="B374" s="555" t="str">
        <f t="shared" si="27"/>
        <v/>
      </c>
      <c r="C374" s="556" t="str">
        <f t="shared" si="28"/>
        <v/>
      </c>
      <c r="D374" s="557" t="str">
        <f t="shared" si="29"/>
        <v/>
      </c>
      <c r="E374" s="560"/>
      <c r="F374" s="559"/>
      <c r="G374" s="559" t="str">
        <f t="shared" si="30"/>
        <v/>
      </c>
      <c r="H374" s="559" t="str">
        <f t="shared" si="31"/>
        <v/>
      </c>
      <c r="I374" s="559" t="str">
        <f t="shared" si="32"/>
        <v/>
      </c>
    </row>
    <row r="375" spans="2:9">
      <c r="B375" s="555" t="str">
        <f t="shared" si="27"/>
        <v/>
      </c>
      <c r="C375" s="556" t="str">
        <f t="shared" si="28"/>
        <v/>
      </c>
      <c r="D375" s="557" t="str">
        <f t="shared" si="29"/>
        <v/>
      </c>
      <c r="E375" s="560"/>
      <c r="F375" s="559"/>
      <c r="G375" s="559" t="str">
        <f t="shared" si="30"/>
        <v/>
      </c>
      <c r="H375" s="559" t="str">
        <f t="shared" si="31"/>
        <v/>
      </c>
      <c r="I375" s="559" t="str">
        <f t="shared" si="32"/>
        <v/>
      </c>
    </row>
    <row r="376" spans="2:9">
      <c r="B376" s="555" t="str">
        <f t="shared" si="27"/>
        <v/>
      </c>
      <c r="C376" s="556" t="str">
        <f t="shared" si="28"/>
        <v/>
      </c>
      <c r="D376" s="557" t="str">
        <f t="shared" si="29"/>
        <v/>
      </c>
      <c r="E376" s="560"/>
      <c r="F376" s="559"/>
      <c r="G376" s="559" t="str">
        <f t="shared" si="30"/>
        <v/>
      </c>
      <c r="H376" s="559" t="str">
        <f t="shared" si="31"/>
        <v/>
      </c>
      <c r="I376" s="559" t="str">
        <f t="shared" si="32"/>
        <v/>
      </c>
    </row>
    <row r="377" spans="2:9">
      <c r="B377" s="555" t="str">
        <f t="shared" si="27"/>
        <v/>
      </c>
      <c r="C377" s="556" t="str">
        <f t="shared" si="28"/>
        <v/>
      </c>
      <c r="D377" s="557" t="str">
        <f t="shared" si="29"/>
        <v/>
      </c>
      <c r="E377" s="560"/>
      <c r="F377" s="559"/>
      <c r="G377" s="559" t="str">
        <f t="shared" si="30"/>
        <v/>
      </c>
      <c r="H377" s="559" t="str">
        <f t="shared" si="31"/>
        <v/>
      </c>
      <c r="I377" s="559" t="str">
        <f t="shared" si="32"/>
        <v/>
      </c>
    </row>
    <row r="378" spans="2:9">
      <c r="B378" s="555" t="str">
        <f t="shared" si="27"/>
        <v/>
      </c>
      <c r="C378" s="556" t="str">
        <f t="shared" si="28"/>
        <v/>
      </c>
      <c r="D378" s="557" t="str">
        <f t="shared" si="29"/>
        <v/>
      </c>
      <c r="E378" s="560"/>
      <c r="F378" s="559"/>
      <c r="G378" s="559" t="str">
        <f t="shared" si="30"/>
        <v/>
      </c>
      <c r="H378" s="559" t="str">
        <f t="shared" si="31"/>
        <v/>
      </c>
      <c r="I378" s="559" t="str">
        <f t="shared" si="32"/>
        <v/>
      </c>
    </row>
    <row r="379" spans="2:9">
      <c r="B379" s="555" t="str">
        <f t="shared" si="27"/>
        <v/>
      </c>
      <c r="C379" s="556" t="str">
        <f t="shared" si="28"/>
        <v/>
      </c>
      <c r="D379" s="557" t="str">
        <f t="shared" si="29"/>
        <v/>
      </c>
      <c r="E379" s="560"/>
      <c r="F379" s="559"/>
      <c r="G379" s="559" t="str">
        <f t="shared" si="30"/>
        <v/>
      </c>
      <c r="H379" s="559" t="str">
        <f t="shared" si="31"/>
        <v/>
      </c>
      <c r="I379" s="559" t="str">
        <f t="shared" si="32"/>
        <v/>
      </c>
    </row>
    <row r="380" spans="2:9">
      <c r="B380" s="555" t="str">
        <f t="shared" si="27"/>
        <v/>
      </c>
      <c r="C380" s="556" t="str">
        <f t="shared" si="28"/>
        <v/>
      </c>
      <c r="D380" s="557" t="str">
        <f t="shared" si="29"/>
        <v/>
      </c>
      <c r="E380" s="560"/>
      <c r="F380" s="559"/>
      <c r="G380" s="559" t="str">
        <f t="shared" si="30"/>
        <v/>
      </c>
      <c r="H380" s="559" t="str">
        <f t="shared" si="31"/>
        <v/>
      </c>
      <c r="I380" s="559" t="str">
        <f t="shared" si="32"/>
        <v/>
      </c>
    </row>
    <row r="381" spans="2:9">
      <c r="B381" s="555" t="str">
        <f t="shared" ref="B381:B444" si="33">IF(I380="","",IF(roundOpt,IF(OR(B380&gt;=nper,ROUND(I380,2)&lt;=0),"",B380+1),IF(OR(B380&gt;=nper,I380&lt;=0),"",B380+1)))</f>
        <v/>
      </c>
      <c r="C381" s="556" t="str">
        <f t="shared" ref="C381:C444" si="34">IF(B381="","",IF(OR(periods_per_year=26,periods_per_year=52),IF(periods_per_year=26,IF(B381=1,fpdate,C380+14),IF(periods_per_year=52,IF(B381=1,fpdate,C380+7),"n/a")),IF(periods_per_year=24,DATE(YEAR(fpdate),MONTH(fpdate)+(B381-1)/2+IF(AND(DAY(fpdate)&gt;=15,MOD(B381,2)=0),1,0),IF(MOD(B381,2)=0,IF(DAY(fpdate)&gt;=15,DAY(fpdate)-14,DAY(fpdate)+14),DAY(fpdate))),IF(DAY(DATE(YEAR(fpdate),MONTH(fpdate)+(B381-1)*months_per_period,DAY(fpdate)))&lt;&gt;DAY(fpdate),DATE(YEAR(fpdate),MONTH(fpdate)+(B381-1)*months_per_period+1,0),DATE(YEAR(fpdate),MONTH(fpdate)+(B381-1)*months_per_period,DAY(fpdate))))))</f>
        <v/>
      </c>
      <c r="D381" s="557" t="str">
        <f t="shared" ref="D381:D444" si="35">IF(B381="","",IF(roundOpt,IF(OR(B381=nper,payment&gt;ROUND((1+rate)*I380,2)),ROUND((1+rate)*I380,2),payment),IF(OR(B381=nper,payment&gt;(1+rate)*I380),(1+rate)*I380,payment)))</f>
        <v/>
      </c>
      <c r="E381" s="560"/>
      <c r="F381" s="559"/>
      <c r="G381" s="559" t="str">
        <f t="shared" ref="G381:G444" si="36">IF(B381="","",IF(AND(B381=1,pmtType=1),0,IF(roundOpt,ROUND(rate*I380,2),rate*I380)))</f>
        <v/>
      </c>
      <c r="H381" s="559" t="str">
        <f t="shared" ref="H381:H444" si="37">IF(B381="","",D381-G381+E381)</f>
        <v/>
      </c>
      <c r="I381" s="559" t="str">
        <f t="shared" ref="I381:I444" si="38">IF(B381="","",I380-H381)</f>
        <v/>
      </c>
    </row>
    <row r="382" spans="2:9">
      <c r="B382" s="555" t="str">
        <f t="shared" si="33"/>
        <v/>
      </c>
      <c r="C382" s="556" t="str">
        <f t="shared" si="34"/>
        <v/>
      </c>
      <c r="D382" s="557" t="str">
        <f t="shared" si="35"/>
        <v/>
      </c>
      <c r="E382" s="560"/>
      <c r="F382" s="559"/>
      <c r="G382" s="559" t="str">
        <f t="shared" si="36"/>
        <v/>
      </c>
      <c r="H382" s="559" t="str">
        <f t="shared" si="37"/>
        <v/>
      </c>
      <c r="I382" s="559" t="str">
        <f t="shared" si="38"/>
        <v/>
      </c>
    </row>
    <row r="383" spans="2:9">
      <c r="B383" s="555" t="str">
        <f t="shared" si="33"/>
        <v/>
      </c>
      <c r="C383" s="556" t="str">
        <f t="shared" si="34"/>
        <v/>
      </c>
      <c r="D383" s="557" t="str">
        <f t="shared" si="35"/>
        <v/>
      </c>
      <c r="E383" s="560"/>
      <c r="F383" s="559"/>
      <c r="G383" s="559" t="str">
        <f t="shared" si="36"/>
        <v/>
      </c>
      <c r="H383" s="559" t="str">
        <f t="shared" si="37"/>
        <v/>
      </c>
      <c r="I383" s="559" t="str">
        <f t="shared" si="38"/>
        <v/>
      </c>
    </row>
    <row r="384" spans="2:9">
      <c r="B384" s="555" t="str">
        <f t="shared" si="33"/>
        <v/>
      </c>
      <c r="C384" s="556" t="str">
        <f t="shared" si="34"/>
        <v/>
      </c>
      <c r="D384" s="557" t="str">
        <f t="shared" si="35"/>
        <v/>
      </c>
      <c r="E384" s="560"/>
      <c r="F384" s="559"/>
      <c r="G384" s="559" t="str">
        <f t="shared" si="36"/>
        <v/>
      </c>
      <c r="H384" s="559" t="str">
        <f t="shared" si="37"/>
        <v/>
      </c>
      <c r="I384" s="559" t="str">
        <f t="shared" si="38"/>
        <v/>
      </c>
    </row>
    <row r="385" spans="2:9">
      <c r="B385" s="555" t="str">
        <f t="shared" si="33"/>
        <v/>
      </c>
      <c r="C385" s="556" t="str">
        <f t="shared" si="34"/>
        <v/>
      </c>
      <c r="D385" s="557" t="str">
        <f t="shared" si="35"/>
        <v/>
      </c>
      <c r="E385" s="560"/>
      <c r="F385" s="559"/>
      <c r="G385" s="559" t="str">
        <f t="shared" si="36"/>
        <v/>
      </c>
      <c r="H385" s="559" t="str">
        <f t="shared" si="37"/>
        <v/>
      </c>
      <c r="I385" s="559" t="str">
        <f t="shared" si="38"/>
        <v/>
      </c>
    </row>
    <row r="386" spans="2:9">
      <c r="B386" s="555" t="str">
        <f t="shared" si="33"/>
        <v/>
      </c>
      <c r="C386" s="556" t="str">
        <f t="shared" si="34"/>
        <v/>
      </c>
      <c r="D386" s="557" t="str">
        <f t="shared" si="35"/>
        <v/>
      </c>
      <c r="E386" s="560"/>
      <c r="F386" s="559"/>
      <c r="G386" s="559" t="str">
        <f t="shared" si="36"/>
        <v/>
      </c>
      <c r="H386" s="559" t="str">
        <f t="shared" si="37"/>
        <v/>
      </c>
      <c r="I386" s="559" t="str">
        <f t="shared" si="38"/>
        <v/>
      </c>
    </row>
    <row r="387" spans="2:9">
      <c r="B387" s="555" t="str">
        <f t="shared" si="33"/>
        <v/>
      </c>
      <c r="C387" s="556" t="str">
        <f t="shared" si="34"/>
        <v/>
      </c>
      <c r="D387" s="557" t="str">
        <f t="shared" si="35"/>
        <v/>
      </c>
      <c r="E387" s="560"/>
      <c r="F387" s="559"/>
      <c r="G387" s="559" t="str">
        <f t="shared" si="36"/>
        <v/>
      </c>
      <c r="H387" s="559" t="str">
        <f t="shared" si="37"/>
        <v/>
      </c>
      <c r="I387" s="559" t="str">
        <f t="shared" si="38"/>
        <v/>
      </c>
    </row>
    <row r="388" spans="2:9">
      <c r="B388" s="555" t="str">
        <f t="shared" si="33"/>
        <v/>
      </c>
      <c r="C388" s="556" t="str">
        <f t="shared" si="34"/>
        <v/>
      </c>
      <c r="D388" s="557" t="str">
        <f t="shared" si="35"/>
        <v/>
      </c>
      <c r="E388" s="560"/>
      <c r="F388" s="559"/>
      <c r="G388" s="559" t="str">
        <f t="shared" si="36"/>
        <v/>
      </c>
      <c r="H388" s="559" t="str">
        <f t="shared" si="37"/>
        <v/>
      </c>
      <c r="I388" s="559" t="str">
        <f t="shared" si="38"/>
        <v/>
      </c>
    </row>
    <row r="389" spans="2:9">
      <c r="B389" s="555" t="str">
        <f t="shared" si="33"/>
        <v/>
      </c>
      <c r="C389" s="556" t="str">
        <f t="shared" si="34"/>
        <v/>
      </c>
      <c r="D389" s="557" t="str">
        <f t="shared" si="35"/>
        <v/>
      </c>
      <c r="E389" s="560"/>
      <c r="F389" s="559"/>
      <c r="G389" s="559" t="str">
        <f t="shared" si="36"/>
        <v/>
      </c>
      <c r="H389" s="559" t="str">
        <f t="shared" si="37"/>
        <v/>
      </c>
      <c r="I389" s="559" t="str">
        <f t="shared" si="38"/>
        <v/>
      </c>
    </row>
    <row r="390" spans="2:9">
      <c r="B390" s="555" t="str">
        <f t="shared" si="33"/>
        <v/>
      </c>
      <c r="C390" s="556" t="str">
        <f t="shared" si="34"/>
        <v/>
      </c>
      <c r="D390" s="557" t="str">
        <f t="shared" si="35"/>
        <v/>
      </c>
      <c r="E390" s="560"/>
      <c r="F390" s="559"/>
      <c r="G390" s="559" t="str">
        <f t="shared" si="36"/>
        <v/>
      </c>
      <c r="H390" s="559" t="str">
        <f t="shared" si="37"/>
        <v/>
      </c>
      <c r="I390" s="559" t="str">
        <f t="shared" si="38"/>
        <v/>
      </c>
    </row>
    <row r="391" spans="2:9">
      <c r="B391" s="555" t="str">
        <f t="shared" si="33"/>
        <v/>
      </c>
      <c r="C391" s="556" t="str">
        <f t="shared" si="34"/>
        <v/>
      </c>
      <c r="D391" s="557" t="str">
        <f t="shared" si="35"/>
        <v/>
      </c>
      <c r="E391" s="560"/>
      <c r="F391" s="559"/>
      <c r="G391" s="559" t="str">
        <f t="shared" si="36"/>
        <v/>
      </c>
      <c r="H391" s="559" t="str">
        <f t="shared" si="37"/>
        <v/>
      </c>
      <c r="I391" s="559" t="str">
        <f t="shared" si="38"/>
        <v/>
      </c>
    </row>
    <row r="392" spans="2:9">
      <c r="B392" s="555" t="str">
        <f t="shared" si="33"/>
        <v/>
      </c>
      <c r="C392" s="556" t="str">
        <f t="shared" si="34"/>
        <v/>
      </c>
      <c r="D392" s="557" t="str">
        <f t="shared" si="35"/>
        <v/>
      </c>
      <c r="E392" s="560"/>
      <c r="F392" s="559"/>
      <c r="G392" s="559" t="str">
        <f t="shared" si="36"/>
        <v/>
      </c>
      <c r="H392" s="559" t="str">
        <f t="shared" si="37"/>
        <v/>
      </c>
      <c r="I392" s="559" t="str">
        <f t="shared" si="38"/>
        <v/>
      </c>
    </row>
    <row r="393" spans="2:9">
      <c r="B393" s="555" t="str">
        <f t="shared" si="33"/>
        <v/>
      </c>
      <c r="C393" s="556" t="str">
        <f t="shared" si="34"/>
        <v/>
      </c>
      <c r="D393" s="557" t="str">
        <f t="shared" si="35"/>
        <v/>
      </c>
      <c r="E393" s="560"/>
      <c r="F393" s="559"/>
      <c r="G393" s="559" t="str">
        <f t="shared" si="36"/>
        <v/>
      </c>
      <c r="H393" s="559" t="str">
        <f t="shared" si="37"/>
        <v/>
      </c>
      <c r="I393" s="559" t="str">
        <f t="shared" si="38"/>
        <v/>
      </c>
    </row>
    <row r="394" spans="2:9">
      <c r="B394" s="555" t="str">
        <f t="shared" si="33"/>
        <v/>
      </c>
      <c r="C394" s="556" t="str">
        <f t="shared" si="34"/>
        <v/>
      </c>
      <c r="D394" s="557" t="str">
        <f t="shared" si="35"/>
        <v/>
      </c>
      <c r="E394" s="560"/>
      <c r="F394" s="559"/>
      <c r="G394" s="559" t="str">
        <f t="shared" si="36"/>
        <v/>
      </c>
      <c r="H394" s="559" t="str">
        <f t="shared" si="37"/>
        <v/>
      </c>
      <c r="I394" s="559" t="str">
        <f t="shared" si="38"/>
        <v/>
      </c>
    </row>
    <row r="395" spans="2:9">
      <c r="B395" s="555" t="str">
        <f t="shared" si="33"/>
        <v/>
      </c>
      <c r="C395" s="556" t="str">
        <f t="shared" si="34"/>
        <v/>
      </c>
      <c r="D395" s="557" t="str">
        <f t="shared" si="35"/>
        <v/>
      </c>
      <c r="E395" s="560"/>
      <c r="F395" s="559"/>
      <c r="G395" s="559" t="str">
        <f t="shared" si="36"/>
        <v/>
      </c>
      <c r="H395" s="559" t="str">
        <f t="shared" si="37"/>
        <v/>
      </c>
      <c r="I395" s="559" t="str">
        <f t="shared" si="38"/>
        <v/>
      </c>
    </row>
    <row r="396" spans="2:9">
      <c r="B396" s="555" t="str">
        <f t="shared" si="33"/>
        <v/>
      </c>
      <c r="C396" s="556" t="str">
        <f t="shared" si="34"/>
        <v/>
      </c>
      <c r="D396" s="557" t="str">
        <f t="shared" si="35"/>
        <v/>
      </c>
      <c r="E396" s="560"/>
      <c r="F396" s="559"/>
      <c r="G396" s="559" t="str">
        <f t="shared" si="36"/>
        <v/>
      </c>
      <c r="H396" s="559" t="str">
        <f t="shared" si="37"/>
        <v/>
      </c>
      <c r="I396" s="559" t="str">
        <f t="shared" si="38"/>
        <v/>
      </c>
    </row>
    <row r="397" spans="2:9">
      <c r="B397" s="555" t="str">
        <f t="shared" si="33"/>
        <v/>
      </c>
      <c r="C397" s="556" t="str">
        <f t="shared" si="34"/>
        <v/>
      </c>
      <c r="D397" s="557" t="str">
        <f t="shared" si="35"/>
        <v/>
      </c>
      <c r="E397" s="560"/>
      <c r="F397" s="559"/>
      <c r="G397" s="559" t="str">
        <f t="shared" si="36"/>
        <v/>
      </c>
      <c r="H397" s="559" t="str">
        <f t="shared" si="37"/>
        <v/>
      </c>
      <c r="I397" s="559" t="str">
        <f t="shared" si="38"/>
        <v/>
      </c>
    </row>
    <row r="398" spans="2:9">
      <c r="B398" s="555" t="str">
        <f t="shared" si="33"/>
        <v/>
      </c>
      <c r="C398" s="556" t="str">
        <f t="shared" si="34"/>
        <v/>
      </c>
      <c r="D398" s="557" t="str">
        <f t="shared" si="35"/>
        <v/>
      </c>
      <c r="E398" s="560"/>
      <c r="F398" s="559"/>
      <c r="G398" s="559" t="str">
        <f t="shared" si="36"/>
        <v/>
      </c>
      <c r="H398" s="559" t="str">
        <f t="shared" si="37"/>
        <v/>
      </c>
      <c r="I398" s="559" t="str">
        <f t="shared" si="38"/>
        <v/>
      </c>
    </row>
    <row r="399" spans="2:9">
      <c r="B399" s="555" t="str">
        <f t="shared" si="33"/>
        <v/>
      </c>
      <c r="C399" s="556" t="str">
        <f t="shared" si="34"/>
        <v/>
      </c>
      <c r="D399" s="557" t="str">
        <f t="shared" si="35"/>
        <v/>
      </c>
      <c r="E399" s="560"/>
      <c r="F399" s="559"/>
      <c r="G399" s="559" t="str">
        <f t="shared" si="36"/>
        <v/>
      </c>
      <c r="H399" s="559" t="str">
        <f t="shared" si="37"/>
        <v/>
      </c>
      <c r="I399" s="559" t="str">
        <f t="shared" si="38"/>
        <v/>
      </c>
    </row>
    <row r="400" spans="2:9">
      <c r="B400" s="555" t="str">
        <f t="shared" si="33"/>
        <v/>
      </c>
      <c r="C400" s="556" t="str">
        <f t="shared" si="34"/>
        <v/>
      </c>
      <c r="D400" s="557" t="str">
        <f t="shared" si="35"/>
        <v/>
      </c>
      <c r="E400" s="560"/>
      <c r="F400" s="559"/>
      <c r="G400" s="559" t="str">
        <f t="shared" si="36"/>
        <v/>
      </c>
      <c r="H400" s="559" t="str">
        <f t="shared" si="37"/>
        <v/>
      </c>
      <c r="I400" s="559" t="str">
        <f t="shared" si="38"/>
        <v/>
      </c>
    </row>
    <row r="401" spans="2:9">
      <c r="B401" s="555" t="str">
        <f t="shared" si="33"/>
        <v/>
      </c>
      <c r="C401" s="556" t="str">
        <f t="shared" si="34"/>
        <v/>
      </c>
      <c r="D401" s="557" t="str">
        <f t="shared" si="35"/>
        <v/>
      </c>
      <c r="E401" s="560"/>
      <c r="F401" s="559"/>
      <c r="G401" s="559" t="str">
        <f t="shared" si="36"/>
        <v/>
      </c>
      <c r="H401" s="559" t="str">
        <f t="shared" si="37"/>
        <v/>
      </c>
      <c r="I401" s="559" t="str">
        <f t="shared" si="38"/>
        <v/>
      </c>
    </row>
    <row r="402" spans="2:9">
      <c r="B402" s="555" t="str">
        <f t="shared" si="33"/>
        <v/>
      </c>
      <c r="C402" s="556" t="str">
        <f t="shared" si="34"/>
        <v/>
      </c>
      <c r="D402" s="557" t="str">
        <f t="shared" si="35"/>
        <v/>
      </c>
      <c r="E402" s="560"/>
      <c r="F402" s="559"/>
      <c r="G402" s="559" t="str">
        <f t="shared" si="36"/>
        <v/>
      </c>
      <c r="H402" s="559" t="str">
        <f t="shared" si="37"/>
        <v/>
      </c>
      <c r="I402" s="559" t="str">
        <f t="shared" si="38"/>
        <v/>
      </c>
    </row>
    <row r="403" spans="2:9">
      <c r="B403" s="555" t="str">
        <f t="shared" si="33"/>
        <v/>
      </c>
      <c r="C403" s="556" t="str">
        <f t="shared" si="34"/>
        <v/>
      </c>
      <c r="D403" s="557" t="str">
        <f t="shared" si="35"/>
        <v/>
      </c>
      <c r="E403" s="560"/>
      <c r="F403" s="559"/>
      <c r="G403" s="559" t="str">
        <f t="shared" si="36"/>
        <v/>
      </c>
      <c r="H403" s="559" t="str">
        <f t="shared" si="37"/>
        <v/>
      </c>
      <c r="I403" s="559" t="str">
        <f t="shared" si="38"/>
        <v/>
      </c>
    </row>
    <row r="404" spans="2:9">
      <c r="B404" s="555" t="str">
        <f t="shared" si="33"/>
        <v/>
      </c>
      <c r="C404" s="556" t="str">
        <f t="shared" si="34"/>
        <v/>
      </c>
      <c r="D404" s="557" t="str">
        <f t="shared" si="35"/>
        <v/>
      </c>
      <c r="E404" s="560"/>
      <c r="F404" s="559"/>
      <c r="G404" s="559" t="str">
        <f t="shared" si="36"/>
        <v/>
      </c>
      <c r="H404" s="559" t="str">
        <f t="shared" si="37"/>
        <v/>
      </c>
      <c r="I404" s="559" t="str">
        <f t="shared" si="38"/>
        <v/>
      </c>
    </row>
    <row r="405" spans="2:9">
      <c r="B405" s="555" t="str">
        <f t="shared" si="33"/>
        <v/>
      </c>
      <c r="C405" s="556" t="str">
        <f t="shared" si="34"/>
        <v/>
      </c>
      <c r="D405" s="557" t="str">
        <f t="shared" si="35"/>
        <v/>
      </c>
      <c r="E405" s="560"/>
      <c r="F405" s="559"/>
      <c r="G405" s="559" t="str">
        <f t="shared" si="36"/>
        <v/>
      </c>
      <c r="H405" s="559" t="str">
        <f t="shared" si="37"/>
        <v/>
      </c>
      <c r="I405" s="559" t="str">
        <f t="shared" si="38"/>
        <v/>
      </c>
    </row>
    <row r="406" spans="2:9">
      <c r="B406" s="555" t="str">
        <f t="shared" si="33"/>
        <v/>
      </c>
      <c r="C406" s="556" t="str">
        <f t="shared" si="34"/>
        <v/>
      </c>
      <c r="D406" s="557" t="str">
        <f t="shared" si="35"/>
        <v/>
      </c>
      <c r="E406" s="560"/>
      <c r="F406" s="559"/>
      <c r="G406" s="559" t="str">
        <f t="shared" si="36"/>
        <v/>
      </c>
      <c r="H406" s="559" t="str">
        <f t="shared" si="37"/>
        <v/>
      </c>
      <c r="I406" s="559" t="str">
        <f t="shared" si="38"/>
        <v/>
      </c>
    </row>
    <row r="407" spans="2:9">
      <c r="B407" s="555" t="str">
        <f t="shared" si="33"/>
        <v/>
      </c>
      <c r="C407" s="556" t="str">
        <f t="shared" si="34"/>
        <v/>
      </c>
      <c r="D407" s="557" t="str">
        <f t="shared" si="35"/>
        <v/>
      </c>
      <c r="E407" s="560"/>
      <c r="F407" s="559"/>
      <c r="G407" s="559" t="str">
        <f t="shared" si="36"/>
        <v/>
      </c>
      <c r="H407" s="559" t="str">
        <f t="shared" si="37"/>
        <v/>
      </c>
      <c r="I407" s="559" t="str">
        <f t="shared" si="38"/>
        <v/>
      </c>
    </row>
    <row r="408" spans="2:9">
      <c r="B408" s="555" t="str">
        <f t="shared" si="33"/>
        <v/>
      </c>
      <c r="C408" s="556" t="str">
        <f t="shared" si="34"/>
        <v/>
      </c>
      <c r="D408" s="557" t="str">
        <f t="shared" si="35"/>
        <v/>
      </c>
      <c r="E408" s="560"/>
      <c r="F408" s="559"/>
      <c r="G408" s="559" t="str">
        <f t="shared" si="36"/>
        <v/>
      </c>
      <c r="H408" s="559" t="str">
        <f t="shared" si="37"/>
        <v/>
      </c>
      <c r="I408" s="559" t="str">
        <f t="shared" si="38"/>
        <v/>
      </c>
    </row>
    <row r="409" spans="2:9">
      <c r="B409" s="555" t="str">
        <f t="shared" si="33"/>
        <v/>
      </c>
      <c r="C409" s="556" t="str">
        <f t="shared" si="34"/>
        <v/>
      </c>
      <c r="D409" s="557" t="str">
        <f t="shared" si="35"/>
        <v/>
      </c>
      <c r="E409" s="560"/>
      <c r="F409" s="559"/>
      <c r="G409" s="559" t="str">
        <f t="shared" si="36"/>
        <v/>
      </c>
      <c r="H409" s="559" t="str">
        <f t="shared" si="37"/>
        <v/>
      </c>
      <c r="I409" s="559" t="str">
        <f t="shared" si="38"/>
        <v/>
      </c>
    </row>
    <row r="410" spans="2:9">
      <c r="B410" s="555" t="str">
        <f t="shared" si="33"/>
        <v/>
      </c>
      <c r="C410" s="556" t="str">
        <f t="shared" si="34"/>
        <v/>
      </c>
      <c r="D410" s="557" t="str">
        <f t="shared" si="35"/>
        <v/>
      </c>
      <c r="E410" s="560"/>
      <c r="F410" s="559"/>
      <c r="G410" s="559" t="str">
        <f t="shared" si="36"/>
        <v/>
      </c>
      <c r="H410" s="559" t="str">
        <f t="shared" si="37"/>
        <v/>
      </c>
      <c r="I410" s="559" t="str">
        <f t="shared" si="38"/>
        <v/>
      </c>
    </row>
    <row r="411" spans="2:9">
      <c r="B411" s="555" t="str">
        <f t="shared" si="33"/>
        <v/>
      </c>
      <c r="C411" s="556" t="str">
        <f t="shared" si="34"/>
        <v/>
      </c>
      <c r="D411" s="557" t="str">
        <f t="shared" si="35"/>
        <v/>
      </c>
      <c r="E411" s="560"/>
      <c r="F411" s="559"/>
      <c r="G411" s="559" t="str">
        <f t="shared" si="36"/>
        <v/>
      </c>
      <c r="H411" s="559" t="str">
        <f t="shared" si="37"/>
        <v/>
      </c>
      <c r="I411" s="559" t="str">
        <f t="shared" si="38"/>
        <v/>
      </c>
    </row>
    <row r="412" spans="2:9">
      <c r="B412" s="555" t="str">
        <f t="shared" si="33"/>
        <v/>
      </c>
      <c r="C412" s="556" t="str">
        <f t="shared" si="34"/>
        <v/>
      </c>
      <c r="D412" s="557" t="str">
        <f t="shared" si="35"/>
        <v/>
      </c>
      <c r="E412" s="560"/>
      <c r="F412" s="559"/>
      <c r="G412" s="559" t="str">
        <f t="shared" si="36"/>
        <v/>
      </c>
      <c r="H412" s="559" t="str">
        <f t="shared" si="37"/>
        <v/>
      </c>
      <c r="I412" s="559" t="str">
        <f t="shared" si="38"/>
        <v/>
      </c>
    </row>
    <row r="413" spans="2:9">
      <c r="B413" s="555" t="str">
        <f t="shared" si="33"/>
        <v/>
      </c>
      <c r="C413" s="556" t="str">
        <f t="shared" si="34"/>
        <v/>
      </c>
      <c r="D413" s="557" t="str">
        <f t="shared" si="35"/>
        <v/>
      </c>
      <c r="E413" s="560"/>
      <c r="F413" s="559"/>
      <c r="G413" s="559" t="str">
        <f t="shared" si="36"/>
        <v/>
      </c>
      <c r="H413" s="559" t="str">
        <f t="shared" si="37"/>
        <v/>
      </c>
      <c r="I413" s="559" t="str">
        <f t="shared" si="38"/>
        <v/>
      </c>
    </row>
    <row r="414" spans="2:9">
      <c r="B414" s="555" t="str">
        <f t="shared" si="33"/>
        <v/>
      </c>
      <c r="C414" s="556" t="str">
        <f t="shared" si="34"/>
        <v/>
      </c>
      <c r="D414" s="557" t="str">
        <f t="shared" si="35"/>
        <v/>
      </c>
      <c r="E414" s="560"/>
      <c r="F414" s="559"/>
      <c r="G414" s="559" t="str">
        <f t="shared" si="36"/>
        <v/>
      </c>
      <c r="H414" s="559" t="str">
        <f t="shared" si="37"/>
        <v/>
      </c>
      <c r="I414" s="559" t="str">
        <f t="shared" si="38"/>
        <v/>
      </c>
    </row>
    <row r="415" spans="2:9">
      <c r="B415" s="555" t="str">
        <f t="shared" si="33"/>
        <v/>
      </c>
      <c r="C415" s="556" t="str">
        <f t="shared" si="34"/>
        <v/>
      </c>
      <c r="D415" s="557" t="str">
        <f t="shared" si="35"/>
        <v/>
      </c>
      <c r="E415" s="560"/>
      <c r="F415" s="559"/>
      <c r="G415" s="559" t="str">
        <f t="shared" si="36"/>
        <v/>
      </c>
      <c r="H415" s="559" t="str">
        <f t="shared" si="37"/>
        <v/>
      </c>
      <c r="I415" s="559" t="str">
        <f t="shared" si="38"/>
        <v/>
      </c>
    </row>
    <row r="416" spans="2:9">
      <c r="B416" s="555" t="str">
        <f t="shared" si="33"/>
        <v/>
      </c>
      <c r="C416" s="556" t="str">
        <f t="shared" si="34"/>
        <v/>
      </c>
      <c r="D416" s="557" t="str">
        <f t="shared" si="35"/>
        <v/>
      </c>
      <c r="E416" s="560"/>
      <c r="F416" s="559"/>
      <c r="G416" s="559" t="str">
        <f t="shared" si="36"/>
        <v/>
      </c>
      <c r="H416" s="559" t="str">
        <f t="shared" si="37"/>
        <v/>
      </c>
      <c r="I416" s="559" t="str">
        <f t="shared" si="38"/>
        <v/>
      </c>
    </row>
    <row r="417" spans="2:9">
      <c r="B417" s="555" t="str">
        <f t="shared" si="33"/>
        <v/>
      </c>
      <c r="C417" s="556" t="str">
        <f t="shared" si="34"/>
        <v/>
      </c>
      <c r="D417" s="557" t="str">
        <f t="shared" si="35"/>
        <v/>
      </c>
      <c r="E417" s="560"/>
      <c r="F417" s="559"/>
      <c r="G417" s="559" t="str">
        <f t="shared" si="36"/>
        <v/>
      </c>
      <c r="H417" s="559" t="str">
        <f t="shared" si="37"/>
        <v/>
      </c>
      <c r="I417" s="559" t="str">
        <f t="shared" si="38"/>
        <v/>
      </c>
    </row>
    <row r="418" spans="2:9">
      <c r="B418" s="555" t="str">
        <f t="shared" si="33"/>
        <v/>
      </c>
      <c r="C418" s="556" t="str">
        <f t="shared" si="34"/>
        <v/>
      </c>
      <c r="D418" s="557" t="str">
        <f t="shared" si="35"/>
        <v/>
      </c>
      <c r="E418" s="560"/>
      <c r="F418" s="559"/>
      <c r="G418" s="559" t="str">
        <f t="shared" si="36"/>
        <v/>
      </c>
      <c r="H418" s="559" t="str">
        <f t="shared" si="37"/>
        <v/>
      </c>
      <c r="I418" s="559" t="str">
        <f t="shared" si="38"/>
        <v/>
      </c>
    </row>
    <row r="419" spans="2:9">
      <c r="B419" s="555" t="str">
        <f t="shared" si="33"/>
        <v/>
      </c>
      <c r="C419" s="556" t="str">
        <f t="shared" si="34"/>
        <v/>
      </c>
      <c r="D419" s="557" t="str">
        <f t="shared" si="35"/>
        <v/>
      </c>
      <c r="E419" s="560"/>
      <c r="F419" s="559"/>
      <c r="G419" s="559" t="str">
        <f t="shared" si="36"/>
        <v/>
      </c>
      <c r="H419" s="559" t="str">
        <f t="shared" si="37"/>
        <v/>
      </c>
      <c r="I419" s="559" t="str">
        <f t="shared" si="38"/>
        <v/>
      </c>
    </row>
    <row r="420" spans="2:9">
      <c r="B420" s="555" t="str">
        <f t="shared" si="33"/>
        <v/>
      </c>
      <c r="C420" s="556" t="str">
        <f t="shared" si="34"/>
        <v/>
      </c>
      <c r="D420" s="557" t="str">
        <f t="shared" si="35"/>
        <v/>
      </c>
      <c r="E420" s="560"/>
      <c r="F420" s="559"/>
      <c r="G420" s="559" t="str">
        <f t="shared" si="36"/>
        <v/>
      </c>
      <c r="H420" s="559" t="str">
        <f t="shared" si="37"/>
        <v/>
      </c>
      <c r="I420" s="559" t="str">
        <f t="shared" si="38"/>
        <v/>
      </c>
    </row>
    <row r="421" spans="2:9">
      <c r="B421" s="555" t="str">
        <f t="shared" si="33"/>
        <v/>
      </c>
      <c r="C421" s="556" t="str">
        <f t="shared" si="34"/>
        <v/>
      </c>
      <c r="D421" s="557" t="str">
        <f t="shared" si="35"/>
        <v/>
      </c>
      <c r="E421" s="560"/>
      <c r="F421" s="559"/>
      <c r="G421" s="559" t="str">
        <f t="shared" si="36"/>
        <v/>
      </c>
      <c r="H421" s="559" t="str">
        <f t="shared" si="37"/>
        <v/>
      </c>
      <c r="I421" s="559" t="str">
        <f t="shared" si="38"/>
        <v/>
      </c>
    </row>
    <row r="422" spans="2:9">
      <c r="B422" s="555" t="str">
        <f t="shared" si="33"/>
        <v/>
      </c>
      <c r="C422" s="556" t="str">
        <f t="shared" si="34"/>
        <v/>
      </c>
      <c r="D422" s="557" t="str">
        <f t="shared" si="35"/>
        <v/>
      </c>
      <c r="E422" s="560"/>
      <c r="F422" s="559"/>
      <c r="G422" s="559" t="str">
        <f t="shared" si="36"/>
        <v/>
      </c>
      <c r="H422" s="559" t="str">
        <f t="shared" si="37"/>
        <v/>
      </c>
      <c r="I422" s="559" t="str">
        <f t="shared" si="38"/>
        <v/>
      </c>
    </row>
    <row r="423" spans="2:9">
      <c r="B423" s="555" t="str">
        <f t="shared" si="33"/>
        <v/>
      </c>
      <c r="C423" s="556" t="str">
        <f t="shared" si="34"/>
        <v/>
      </c>
      <c r="D423" s="557" t="str">
        <f t="shared" si="35"/>
        <v/>
      </c>
      <c r="E423" s="560"/>
      <c r="F423" s="559"/>
      <c r="G423" s="559" t="str">
        <f t="shared" si="36"/>
        <v/>
      </c>
      <c r="H423" s="559" t="str">
        <f t="shared" si="37"/>
        <v/>
      </c>
      <c r="I423" s="559" t="str">
        <f t="shared" si="38"/>
        <v/>
      </c>
    </row>
    <row r="424" spans="2:9">
      <c r="B424" s="555" t="str">
        <f t="shared" si="33"/>
        <v/>
      </c>
      <c r="C424" s="556" t="str">
        <f t="shared" si="34"/>
        <v/>
      </c>
      <c r="D424" s="557" t="str">
        <f t="shared" si="35"/>
        <v/>
      </c>
      <c r="E424" s="560"/>
      <c r="F424" s="559"/>
      <c r="G424" s="559" t="str">
        <f t="shared" si="36"/>
        <v/>
      </c>
      <c r="H424" s="559" t="str">
        <f t="shared" si="37"/>
        <v/>
      </c>
      <c r="I424" s="559" t="str">
        <f t="shared" si="38"/>
        <v/>
      </c>
    </row>
    <row r="425" spans="2:9">
      <c r="B425" s="555" t="str">
        <f t="shared" si="33"/>
        <v/>
      </c>
      <c r="C425" s="556" t="str">
        <f t="shared" si="34"/>
        <v/>
      </c>
      <c r="D425" s="557" t="str">
        <f t="shared" si="35"/>
        <v/>
      </c>
      <c r="E425" s="560"/>
      <c r="F425" s="559"/>
      <c r="G425" s="559" t="str">
        <f t="shared" si="36"/>
        <v/>
      </c>
      <c r="H425" s="559" t="str">
        <f t="shared" si="37"/>
        <v/>
      </c>
      <c r="I425" s="559" t="str">
        <f t="shared" si="38"/>
        <v/>
      </c>
    </row>
    <row r="426" spans="2:9">
      <c r="B426" s="555" t="str">
        <f t="shared" si="33"/>
        <v/>
      </c>
      <c r="C426" s="556" t="str">
        <f t="shared" si="34"/>
        <v/>
      </c>
      <c r="D426" s="557" t="str">
        <f t="shared" si="35"/>
        <v/>
      </c>
      <c r="E426" s="560"/>
      <c r="F426" s="559"/>
      <c r="G426" s="559" t="str">
        <f t="shared" si="36"/>
        <v/>
      </c>
      <c r="H426" s="559" t="str">
        <f t="shared" si="37"/>
        <v/>
      </c>
      <c r="I426" s="559" t="str">
        <f t="shared" si="38"/>
        <v/>
      </c>
    </row>
    <row r="427" spans="2:9">
      <c r="B427" s="555" t="str">
        <f t="shared" si="33"/>
        <v/>
      </c>
      <c r="C427" s="556" t="str">
        <f t="shared" si="34"/>
        <v/>
      </c>
      <c r="D427" s="557" t="str">
        <f t="shared" si="35"/>
        <v/>
      </c>
      <c r="E427" s="560"/>
      <c r="F427" s="559"/>
      <c r="G427" s="559" t="str">
        <f t="shared" si="36"/>
        <v/>
      </c>
      <c r="H427" s="559" t="str">
        <f t="shared" si="37"/>
        <v/>
      </c>
      <c r="I427" s="559" t="str">
        <f t="shared" si="38"/>
        <v/>
      </c>
    </row>
    <row r="428" spans="2:9">
      <c r="B428" s="555" t="str">
        <f t="shared" si="33"/>
        <v/>
      </c>
      <c r="C428" s="556" t="str">
        <f t="shared" si="34"/>
        <v/>
      </c>
      <c r="D428" s="557" t="str">
        <f t="shared" si="35"/>
        <v/>
      </c>
      <c r="E428" s="560"/>
      <c r="F428" s="559"/>
      <c r="G428" s="559" t="str">
        <f t="shared" si="36"/>
        <v/>
      </c>
      <c r="H428" s="559" t="str">
        <f t="shared" si="37"/>
        <v/>
      </c>
      <c r="I428" s="559" t="str">
        <f t="shared" si="38"/>
        <v/>
      </c>
    </row>
    <row r="429" spans="2:9">
      <c r="B429" s="555" t="str">
        <f t="shared" si="33"/>
        <v/>
      </c>
      <c r="C429" s="556" t="str">
        <f t="shared" si="34"/>
        <v/>
      </c>
      <c r="D429" s="557" t="str">
        <f t="shared" si="35"/>
        <v/>
      </c>
      <c r="E429" s="560"/>
      <c r="F429" s="559"/>
      <c r="G429" s="559" t="str">
        <f t="shared" si="36"/>
        <v/>
      </c>
      <c r="H429" s="559" t="str">
        <f t="shared" si="37"/>
        <v/>
      </c>
      <c r="I429" s="559" t="str">
        <f t="shared" si="38"/>
        <v/>
      </c>
    </row>
    <row r="430" spans="2:9">
      <c r="B430" s="555" t="str">
        <f t="shared" si="33"/>
        <v/>
      </c>
      <c r="C430" s="556" t="str">
        <f t="shared" si="34"/>
        <v/>
      </c>
      <c r="D430" s="557" t="str">
        <f t="shared" si="35"/>
        <v/>
      </c>
      <c r="E430" s="560"/>
      <c r="F430" s="559"/>
      <c r="G430" s="559" t="str">
        <f t="shared" si="36"/>
        <v/>
      </c>
      <c r="H430" s="559" t="str">
        <f t="shared" si="37"/>
        <v/>
      </c>
      <c r="I430" s="559" t="str">
        <f t="shared" si="38"/>
        <v/>
      </c>
    </row>
    <row r="431" spans="2:9">
      <c r="B431" s="555" t="str">
        <f t="shared" si="33"/>
        <v/>
      </c>
      <c r="C431" s="556" t="str">
        <f t="shared" si="34"/>
        <v/>
      </c>
      <c r="D431" s="557" t="str">
        <f t="shared" si="35"/>
        <v/>
      </c>
      <c r="E431" s="560"/>
      <c r="F431" s="559"/>
      <c r="G431" s="559" t="str">
        <f t="shared" si="36"/>
        <v/>
      </c>
      <c r="H431" s="559" t="str">
        <f t="shared" si="37"/>
        <v/>
      </c>
      <c r="I431" s="559" t="str">
        <f t="shared" si="38"/>
        <v/>
      </c>
    </row>
    <row r="432" spans="2:9">
      <c r="B432" s="555" t="str">
        <f t="shared" si="33"/>
        <v/>
      </c>
      <c r="C432" s="556" t="str">
        <f t="shared" si="34"/>
        <v/>
      </c>
      <c r="D432" s="557" t="str">
        <f t="shared" si="35"/>
        <v/>
      </c>
      <c r="E432" s="560"/>
      <c r="F432" s="559"/>
      <c r="G432" s="559" t="str">
        <f t="shared" si="36"/>
        <v/>
      </c>
      <c r="H432" s="559" t="str">
        <f t="shared" si="37"/>
        <v/>
      </c>
      <c r="I432" s="559" t="str">
        <f t="shared" si="38"/>
        <v/>
      </c>
    </row>
    <row r="433" spans="2:9">
      <c r="B433" s="555" t="str">
        <f t="shared" si="33"/>
        <v/>
      </c>
      <c r="C433" s="556" t="str">
        <f t="shared" si="34"/>
        <v/>
      </c>
      <c r="D433" s="557" t="str">
        <f t="shared" si="35"/>
        <v/>
      </c>
      <c r="E433" s="560"/>
      <c r="F433" s="559"/>
      <c r="G433" s="559" t="str">
        <f t="shared" si="36"/>
        <v/>
      </c>
      <c r="H433" s="559" t="str">
        <f t="shared" si="37"/>
        <v/>
      </c>
      <c r="I433" s="559" t="str">
        <f t="shared" si="38"/>
        <v/>
      </c>
    </row>
    <row r="434" spans="2:9">
      <c r="B434" s="555" t="str">
        <f t="shared" si="33"/>
        <v/>
      </c>
      <c r="C434" s="556" t="str">
        <f t="shared" si="34"/>
        <v/>
      </c>
      <c r="D434" s="557" t="str">
        <f t="shared" si="35"/>
        <v/>
      </c>
      <c r="E434" s="560"/>
      <c r="F434" s="559"/>
      <c r="G434" s="559" t="str">
        <f t="shared" si="36"/>
        <v/>
      </c>
      <c r="H434" s="559" t="str">
        <f t="shared" si="37"/>
        <v/>
      </c>
      <c r="I434" s="559" t="str">
        <f t="shared" si="38"/>
        <v/>
      </c>
    </row>
    <row r="435" spans="2:9">
      <c r="B435" s="555" t="str">
        <f t="shared" si="33"/>
        <v/>
      </c>
      <c r="C435" s="556" t="str">
        <f t="shared" si="34"/>
        <v/>
      </c>
      <c r="D435" s="557" t="str">
        <f t="shared" si="35"/>
        <v/>
      </c>
      <c r="E435" s="560"/>
      <c r="F435" s="559"/>
      <c r="G435" s="559" t="str">
        <f t="shared" si="36"/>
        <v/>
      </c>
      <c r="H435" s="559" t="str">
        <f t="shared" si="37"/>
        <v/>
      </c>
      <c r="I435" s="559" t="str">
        <f t="shared" si="38"/>
        <v/>
      </c>
    </row>
    <row r="436" spans="2:9">
      <c r="B436" s="555" t="str">
        <f t="shared" si="33"/>
        <v/>
      </c>
      <c r="C436" s="556" t="str">
        <f t="shared" si="34"/>
        <v/>
      </c>
      <c r="D436" s="557" t="str">
        <f t="shared" si="35"/>
        <v/>
      </c>
      <c r="E436" s="560"/>
      <c r="F436" s="559"/>
      <c r="G436" s="559" t="str">
        <f t="shared" si="36"/>
        <v/>
      </c>
      <c r="H436" s="559" t="str">
        <f t="shared" si="37"/>
        <v/>
      </c>
      <c r="I436" s="559" t="str">
        <f t="shared" si="38"/>
        <v/>
      </c>
    </row>
    <row r="437" spans="2:9">
      <c r="B437" s="555" t="str">
        <f t="shared" si="33"/>
        <v/>
      </c>
      <c r="C437" s="556" t="str">
        <f t="shared" si="34"/>
        <v/>
      </c>
      <c r="D437" s="557" t="str">
        <f t="shared" si="35"/>
        <v/>
      </c>
      <c r="E437" s="560"/>
      <c r="F437" s="559"/>
      <c r="G437" s="559" t="str">
        <f t="shared" si="36"/>
        <v/>
      </c>
      <c r="H437" s="559" t="str">
        <f t="shared" si="37"/>
        <v/>
      </c>
      <c r="I437" s="559" t="str">
        <f t="shared" si="38"/>
        <v/>
      </c>
    </row>
    <row r="438" spans="2:9">
      <c r="B438" s="555" t="str">
        <f t="shared" si="33"/>
        <v/>
      </c>
      <c r="C438" s="556" t="str">
        <f t="shared" si="34"/>
        <v/>
      </c>
      <c r="D438" s="557" t="str">
        <f t="shared" si="35"/>
        <v/>
      </c>
      <c r="E438" s="560"/>
      <c r="F438" s="559"/>
      <c r="G438" s="559" t="str">
        <f t="shared" si="36"/>
        <v/>
      </c>
      <c r="H438" s="559" t="str">
        <f t="shared" si="37"/>
        <v/>
      </c>
      <c r="I438" s="559" t="str">
        <f t="shared" si="38"/>
        <v/>
      </c>
    </row>
    <row r="439" spans="2:9">
      <c r="B439" s="555" t="str">
        <f t="shared" si="33"/>
        <v/>
      </c>
      <c r="C439" s="556" t="str">
        <f t="shared" si="34"/>
        <v/>
      </c>
      <c r="D439" s="557" t="str">
        <f t="shared" si="35"/>
        <v/>
      </c>
      <c r="E439" s="560"/>
      <c r="F439" s="559"/>
      <c r="G439" s="559" t="str">
        <f t="shared" si="36"/>
        <v/>
      </c>
      <c r="H439" s="559" t="str">
        <f t="shared" si="37"/>
        <v/>
      </c>
      <c r="I439" s="559" t="str">
        <f t="shared" si="38"/>
        <v/>
      </c>
    </row>
    <row r="440" spans="2:9">
      <c r="B440" s="555" t="str">
        <f t="shared" si="33"/>
        <v/>
      </c>
      <c r="C440" s="556" t="str">
        <f t="shared" si="34"/>
        <v/>
      </c>
      <c r="D440" s="557" t="str">
        <f t="shared" si="35"/>
        <v/>
      </c>
      <c r="E440" s="560"/>
      <c r="F440" s="559"/>
      <c r="G440" s="559" t="str">
        <f t="shared" si="36"/>
        <v/>
      </c>
      <c r="H440" s="559" t="str">
        <f t="shared" si="37"/>
        <v/>
      </c>
      <c r="I440" s="559" t="str">
        <f t="shared" si="38"/>
        <v/>
      </c>
    </row>
    <row r="441" spans="2:9">
      <c r="B441" s="555" t="str">
        <f t="shared" si="33"/>
        <v/>
      </c>
      <c r="C441" s="556" t="str">
        <f t="shared" si="34"/>
        <v/>
      </c>
      <c r="D441" s="557" t="str">
        <f t="shared" si="35"/>
        <v/>
      </c>
      <c r="E441" s="560"/>
      <c r="F441" s="559"/>
      <c r="G441" s="559" t="str">
        <f t="shared" si="36"/>
        <v/>
      </c>
      <c r="H441" s="559" t="str">
        <f t="shared" si="37"/>
        <v/>
      </c>
      <c r="I441" s="559" t="str">
        <f t="shared" si="38"/>
        <v/>
      </c>
    </row>
    <row r="442" spans="2:9">
      <c r="B442" s="555" t="str">
        <f t="shared" si="33"/>
        <v/>
      </c>
      <c r="C442" s="556" t="str">
        <f t="shared" si="34"/>
        <v/>
      </c>
      <c r="D442" s="557" t="str">
        <f t="shared" si="35"/>
        <v/>
      </c>
      <c r="E442" s="560"/>
      <c r="F442" s="559"/>
      <c r="G442" s="559" t="str">
        <f t="shared" si="36"/>
        <v/>
      </c>
      <c r="H442" s="559" t="str">
        <f t="shared" si="37"/>
        <v/>
      </c>
      <c r="I442" s="559" t="str">
        <f t="shared" si="38"/>
        <v/>
      </c>
    </row>
    <row r="443" spans="2:9">
      <c r="B443" s="555" t="str">
        <f t="shared" si="33"/>
        <v/>
      </c>
      <c r="C443" s="556" t="str">
        <f t="shared" si="34"/>
        <v/>
      </c>
      <c r="D443" s="557" t="str">
        <f t="shared" si="35"/>
        <v/>
      </c>
      <c r="E443" s="560"/>
      <c r="F443" s="559"/>
      <c r="G443" s="559" t="str">
        <f t="shared" si="36"/>
        <v/>
      </c>
      <c r="H443" s="559" t="str">
        <f t="shared" si="37"/>
        <v/>
      </c>
      <c r="I443" s="559" t="str">
        <f t="shared" si="38"/>
        <v/>
      </c>
    </row>
    <row r="444" spans="2:9">
      <c r="B444" s="555" t="str">
        <f t="shared" si="33"/>
        <v/>
      </c>
      <c r="C444" s="556" t="str">
        <f t="shared" si="34"/>
        <v/>
      </c>
      <c r="D444" s="557" t="str">
        <f t="shared" si="35"/>
        <v/>
      </c>
      <c r="E444" s="560"/>
      <c r="F444" s="559"/>
      <c r="G444" s="559" t="str">
        <f t="shared" si="36"/>
        <v/>
      </c>
      <c r="H444" s="559" t="str">
        <f t="shared" si="37"/>
        <v/>
      </c>
      <c r="I444" s="559" t="str">
        <f t="shared" si="38"/>
        <v/>
      </c>
    </row>
    <row r="445" spans="2:9">
      <c r="B445" s="555" t="str">
        <f t="shared" ref="B445:B508" si="39">IF(I444="","",IF(roundOpt,IF(OR(B444&gt;=nper,ROUND(I444,2)&lt;=0),"",B444+1),IF(OR(B444&gt;=nper,I444&lt;=0),"",B444+1)))</f>
        <v/>
      </c>
      <c r="C445" s="556" t="str">
        <f t="shared" ref="C445:C508" si="40">IF(B445="","",IF(OR(periods_per_year=26,periods_per_year=52),IF(periods_per_year=26,IF(B445=1,fpdate,C444+14),IF(periods_per_year=52,IF(B445=1,fpdate,C444+7),"n/a")),IF(periods_per_year=24,DATE(YEAR(fpdate),MONTH(fpdate)+(B445-1)/2+IF(AND(DAY(fpdate)&gt;=15,MOD(B445,2)=0),1,0),IF(MOD(B445,2)=0,IF(DAY(fpdate)&gt;=15,DAY(fpdate)-14,DAY(fpdate)+14),DAY(fpdate))),IF(DAY(DATE(YEAR(fpdate),MONTH(fpdate)+(B445-1)*months_per_period,DAY(fpdate)))&lt;&gt;DAY(fpdate),DATE(YEAR(fpdate),MONTH(fpdate)+(B445-1)*months_per_period+1,0),DATE(YEAR(fpdate),MONTH(fpdate)+(B445-1)*months_per_period,DAY(fpdate))))))</f>
        <v/>
      </c>
      <c r="D445" s="557" t="str">
        <f t="shared" ref="D445:D508" si="41">IF(B445="","",IF(roundOpt,IF(OR(B445=nper,payment&gt;ROUND((1+rate)*I444,2)),ROUND((1+rate)*I444,2),payment),IF(OR(B445=nper,payment&gt;(1+rate)*I444),(1+rate)*I444,payment)))</f>
        <v/>
      </c>
      <c r="E445" s="560"/>
      <c r="F445" s="559"/>
      <c r="G445" s="559" t="str">
        <f t="shared" ref="G445:G508" si="42">IF(B445="","",IF(AND(B445=1,pmtType=1),0,IF(roundOpt,ROUND(rate*I444,2),rate*I444)))</f>
        <v/>
      </c>
      <c r="H445" s="559" t="str">
        <f t="shared" ref="H445:H508" si="43">IF(B445="","",D445-G445+E445)</f>
        <v/>
      </c>
      <c r="I445" s="559" t="str">
        <f t="shared" ref="I445:I508" si="44">IF(B445="","",I444-H445)</f>
        <v/>
      </c>
    </row>
    <row r="446" spans="2:9">
      <c r="B446" s="555" t="str">
        <f t="shared" si="39"/>
        <v/>
      </c>
      <c r="C446" s="556" t="str">
        <f t="shared" si="40"/>
        <v/>
      </c>
      <c r="D446" s="557" t="str">
        <f t="shared" si="41"/>
        <v/>
      </c>
      <c r="E446" s="560"/>
      <c r="F446" s="559"/>
      <c r="G446" s="559" t="str">
        <f t="shared" si="42"/>
        <v/>
      </c>
      <c r="H446" s="559" t="str">
        <f t="shared" si="43"/>
        <v/>
      </c>
      <c r="I446" s="559" t="str">
        <f t="shared" si="44"/>
        <v/>
      </c>
    </row>
    <row r="447" spans="2:9">
      <c r="B447" s="555" t="str">
        <f t="shared" si="39"/>
        <v/>
      </c>
      <c r="C447" s="556" t="str">
        <f t="shared" si="40"/>
        <v/>
      </c>
      <c r="D447" s="557" t="str">
        <f t="shared" si="41"/>
        <v/>
      </c>
      <c r="E447" s="560"/>
      <c r="F447" s="559"/>
      <c r="G447" s="559" t="str">
        <f t="shared" si="42"/>
        <v/>
      </c>
      <c r="H447" s="559" t="str">
        <f t="shared" si="43"/>
        <v/>
      </c>
      <c r="I447" s="559" t="str">
        <f t="shared" si="44"/>
        <v/>
      </c>
    </row>
    <row r="448" spans="2:9">
      <c r="B448" s="555" t="str">
        <f t="shared" si="39"/>
        <v/>
      </c>
      <c r="C448" s="556" t="str">
        <f t="shared" si="40"/>
        <v/>
      </c>
      <c r="D448" s="557" t="str">
        <f t="shared" si="41"/>
        <v/>
      </c>
      <c r="E448" s="560"/>
      <c r="F448" s="559"/>
      <c r="G448" s="559" t="str">
        <f t="shared" si="42"/>
        <v/>
      </c>
      <c r="H448" s="559" t="str">
        <f t="shared" si="43"/>
        <v/>
      </c>
      <c r="I448" s="559" t="str">
        <f t="shared" si="44"/>
        <v/>
      </c>
    </row>
    <row r="449" spans="2:9">
      <c r="B449" s="555" t="str">
        <f t="shared" si="39"/>
        <v/>
      </c>
      <c r="C449" s="556" t="str">
        <f t="shared" si="40"/>
        <v/>
      </c>
      <c r="D449" s="557" t="str">
        <f t="shared" si="41"/>
        <v/>
      </c>
      <c r="E449" s="560"/>
      <c r="F449" s="559"/>
      <c r="G449" s="559" t="str">
        <f t="shared" si="42"/>
        <v/>
      </c>
      <c r="H449" s="559" t="str">
        <f t="shared" si="43"/>
        <v/>
      </c>
      <c r="I449" s="559" t="str">
        <f t="shared" si="44"/>
        <v/>
      </c>
    </row>
    <row r="450" spans="2:9">
      <c r="B450" s="555" t="str">
        <f t="shared" si="39"/>
        <v/>
      </c>
      <c r="C450" s="556" t="str">
        <f t="shared" si="40"/>
        <v/>
      </c>
      <c r="D450" s="557" t="str">
        <f t="shared" si="41"/>
        <v/>
      </c>
      <c r="E450" s="560"/>
      <c r="F450" s="559"/>
      <c r="G450" s="559" t="str">
        <f t="shared" si="42"/>
        <v/>
      </c>
      <c r="H450" s="559" t="str">
        <f t="shared" si="43"/>
        <v/>
      </c>
      <c r="I450" s="559" t="str">
        <f t="shared" si="44"/>
        <v/>
      </c>
    </row>
    <row r="451" spans="2:9">
      <c r="B451" s="555" t="str">
        <f t="shared" si="39"/>
        <v/>
      </c>
      <c r="C451" s="556" t="str">
        <f t="shared" si="40"/>
        <v/>
      </c>
      <c r="D451" s="557" t="str">
        <f t="shared" si="41"/>
        <v/>
      </c>
      <c r="E451" s="560"/>
      <c r="F451" s="559"/>
      <c r="G451" s="559" t="str">
        <f t="shared" si="42"/>
        <v/>
      </c>
      <c r="H451" s="559" t="str">
        <f t="shared" si="43"/>
        <v/>
      </c>
      <c r="I451" s="559" t="str">
        <f t="shared" si="44"/>
        <v/>
      </c>
    </row>
    <row r="452" spans="2:9">
      <c r="B452" s="555" t="str">
        <f t="shared" si="39"/>
        <v/>
      </c>
      <c r="C452" s="556" t="str">
        <f t="shared" si="40"/>
        <v/>
      </c>
      <c r="D452" s="557" t="str">
        <f t="shared" si="41"/>
        <v/>
      </c>
      <c r="E452" s="560"/>
      <c r="F452" s="559"/>
      <c r="G452" s="559" t="str">
        <f t="shared" si="42"/>
        <v/>
      </c>
      <c r="H452" s="559" t="str">
        <f t="shared" si="43"/>
        <v/>
      </c>
      <c r="I452" s="559" t="str">
        <f t="shared" si="44"/>
        <v/>
      </c>
    </row>
    <row r="453" spans="2:9">
      <c r="B453" s="555" t="str">
        <f t="shared" si="39"/>
        <v/>
      </c>
      <c r="C453" s="556" t="str">
        <f t="shared" si="40"/>
        <v/>
      </c>
      <c r="D453" s="557" t="str">
        <f t="shared" si="41"/>
        <v/>
      </c>
      <c r="E453" s="560"/>
      <c r="F453" s="559"/>
      <c r="G453" s="559" t="str">
        <f t="shared" si="42"/>
        <v/>
      </c>
      <c r="H453" s="559" t="str">
        <f t="shared" si="43"/>
        <v/>
      </c>
      <c r="I453" s="559" t="str">
        <f t="shared" si="44"/>
        <v/>
      </c>
    </row>
    <row r="454" spans="2:9">
      <c r="B454" s="555" t="str">
        <f t="shared" si="39"/>
        <v/>
      </c>
      <c r="C454" s="556" t="str">
        <f t="shared" si="40"/>
        <v/>
      </c>
      <c r="D454" s="557" t="str">
        <f t="shared" si="41"/>
        <v/>
      </c>
      <c r="E454" s="560"/>
      <c r="F454" s="559"/>
      <c r="G454" s="559" t="str">
        <f t="shared" si="42"/>
        <v/>
      </c>
      <c r="H454" s="559" t="str">
        <f t="shared" si="43"/>
        <v/>
      </c>
      <c r="I454" s="559" t="str">
        <f t="shared" si="44"/>
        <v/>
      </c>
    </row>
    <row r="455" spans="2:9">
      <c r="B455" s="555" t="str">
        <f t="shared" si="39"/>
        <v/>
      </c>
      <c r="C455" s="556" t="str">
        <f t="shared" si="40"/>
        <v/>
      </c>
      <c r="D455" s="557" t="str">
        <f t="shared" si="41"/>
        <v/>
      </c>
      <c r="E455" s="560"/>
      <c r="F455" s="559"/>
      <c r="G455" s="559" t="str">
        <f t="shared" si="42"/>
        <v/>
      </c>
      <c r="H455" s="559" t="str">
        <f t="shared" si="43"/>
        <v/>
      </c>
      <c r="I455" s="559" t="str">
        <f t="shared" si="44"/>
        <v/>
      </c>
    </row>
    <row r="456" spans="2:9">
      <c r="B456" s="555" t="str">
        <f t="shared" si="39"/>
        <v/>
      </c>
      <c r="C456" s="556" t="str">
        <f t="shared" si="40"/>
        <v/>
      </c>
      <c r="D456" s="557" t="str">
        <f t="shared" si="41"/>
        <v/>
      </c>
      <c r="E456" s="560"/>
      <c r="F456" s="559"/>
      <c r="G456" s="559" t="str">
        <f t="shared" si="42"/>
        <v/>
      </c>
      <c r="H456" s="559" t="str">
        <f t="shared" si="43"/>
        <v/>
      </c>
      <c r="I456" s="559" t="str">
        <f t="shared" si="44"/>
        <v/>
      </c>
    </row>
    <row r="457" spans="2:9">
      <c r="B457" s="555" t="str">
        <f t="shared" si="39"/>
        <v/>
      </c>
      <c r="C457" s="556" t="str">
        <f t="shared" si="40"/>
        <v/>
      </c>
      <c r="D457" s="557" t="str">
        <f t="shared" si="41"/>
        <v/>
      </c>
      <c r="E457" s="560"/>
      <c r="F457" s="559"/>
      <c r="G457" s="559" t="str">
        <f t="shared" si="42"/>
        <v/>
      </c>
      <c r="H457" s="559" t="str">
        <f t="shared" si="43"/>
        <v/>
      </c>
      <c r="I457" s="559" t="str">
        <f t="shared" si="44"/>
        <v/>
      </c>
    </row>
    <row r="458" spans="2:9">
      <c r="B458" s="555" t="str">
        <f t="shared" si="39"/>
        <v/>
      </c>
      <c r="C458" s="556" t="str">
        <f t="shared" si="40"/>
        <v/>
      </c>
      <c r="D458" s="557" t="str">
        <f t="shared" si="41"/>
        <v/>
      </c>
      <c r="E458" s="560"/>
      <c r="F458" s="559"/>
      <c r="G458" s="559" t="str">
        <f t="shared" si="42"/>
        <v/>
      </c>
      <c r="H458" s="559" t="str">
        <f t="shared" si="43"/>
        <v/>
      </c>
      <c r="I458" s="559" t="str">
        <f t="shared" si="44"/>
        <v/>
      </c>
    </row>
    <row r="459" spans="2:9">
      <c r="B459" s="555" t="str">
        <f t="shared" si="39"/>
        <v/>
      </c>
      <c r="C459" s="556" t="str">
        <f t="shared" si="40"/>
        <v/>
      </c>
      <c r="D459" s="557" t="str">
        <f t="shared" si="41"/>
        <v/>
      </c>
      <c r="E459" s="560"/>
      <c r="F459" s="559"/>
      <c r="G459" s="559" t="str">
        <f t="shared" si="42"/>
        <v/>
      </c>
      <c r="H459" s="559" t="str">
        <f t="shared" si="43"/>
        <v/>
      </c>
      <c r="I459" s="559" t="str">
        <f t="shared" si="44"/>
        <v/>
      </c>
    </row>
    <row r="460" spans="2:9">
      <c r="B460" s="555" t="str">
        <f t="shared" si="39"/>
        <v/>
      </c>
      <c r="C460" s="556" t="str">
        <f t="shared" si="40"/>
        <v/>
      </c>
      <c r="D460" s="557" t="str">
        <f t="shared" si="41"/>
        <v/>
      </c>
      <c r="E460" s="560"/>
      <c r="F460" s="559"/>
      <c r="G460" s="559" t="str">
        <f t="shared" si="42"/>
        <v/>
      </c>
      <c r="H460" s="559" t="str">
        <f t="shared" si="43"/>
        <v/>
      </c>
      <c r="I460" s="559" t="str">
        <f t="shared" si="44"/>
        <v/>
      </c>
    </row>
    <row r="461" spans="2:9">
      <c r="B461" s="555" t="str">
        <f t="shared" si="39"/>
        <v/>
      </c>
      <c r="C461" s="556" t="str">
        <f t="shared" si="40"/>
        <v/>
      </c>
      <c r="D461" s="557" t="str">
        <f t="shared" si="41"/>
        <v/>
      </c>
      <c r="E461" s="560"/>
      <c r="F461" s="559"/>
      <c r="G461" s="559" t="str">
        <f t="shared" si="42"/>
        <v/>
      </c>
      <c r="H461" s="559" t="str">
        <f t="shared" si="43"/>
        <v/>
      </c>
      <c r="I461" s="559" t="str">
        <f t="shared" si="44"/>
        <v/>
      </c>
    </row>
    <row r="462" spans="2:9">
      <c r="B462" s="555" t="str">
        <f t="shared" si="39"/>
        <v/>
      </c>
      <c r="C462" s="556" t="str">
        <f t="shared" si="40"/>
        <v/>
      </c>
      <c r="D462" s="557" t="str">
        <f t="shared" si="41"/>
        <v/>
      </c>
      <c r="E462" s="560"/>
      <c r="F462" s="559"/>
      <c r="G462" s="559" t="str">
        <f t="shared" si="42"/>
        <v/>
      </c>
      <c r="H462" s="559" t="str">
        <f t="shared" si="43"/>
        <v/>
      </c>
      <c r="I462" s="559" t="str">
        <f t="shared" si="44"/>
        <v/>
      </c>
    </row>
    <row r="463" spans="2:9">
      <c r="B463" s="555" t="str">
        <f t="shared" si="39"/>
        <v/>
      </c>
      <c r="C463" s="556" t="str">
        <f t="shared" si="40"/>
        <v/>
      </c>
      <c r="D463" s="557" t="str">
        <f t="shared" si="41"/>
        <v/>
      </c>
      <c r="E463" s="560"/>
      <c r="F463" s="559"/>
      <c r="G463" s="559" t="str">
        <f t="shared" si="42"/>
        <v/>
      </c>
      <c r="H463" s="559" t="str">
        <f t="shared" si="43"/>
        <v/>
      </c>
      <c r="I463" s="559" t="str">
        <f t="shared" si="44"/>
        <v/>
      </c>
    </row>
    <row r="464" spans="2:9">
      <c r="B464" s="555" t="str">
        <f t="shared" si="39"/>
        <v/>
      </c>
      <c r="C464" s="556" t="str">
        <f t="shared" si="40"/>
        <v/>
      </c>
      <c r="D464" s="557" t="str">
        <f t="shared" si="41"/>
        <v/>
      </c>
      <c r="E464" s="560"/>
      <c r="F464" s="559"/>
      <c r="G464" s="559" t="str">
        <f t="shared" si="42"/>
        <v/>
      </c>
      <c r="H464" s="559" t="str">
        <f t="shared" si="43"/>
        <v/>
      </c>
      <c r="I464" s="559" t="str">
        <f t="shared" si="44"/>
        <v/>
      </c>
    </row>
    <row r="465" spans="2:9">
      <c r="B465" s="555" t="str">
        <f t="shared" si="39"/>
        <v/>
      </c>
      <c r="C465" s="556" t="str">
        <f t="shared" si="40"/>
        <v/>
      </c>
      <c r="D465" s="557" t="str">
        <f t="shared" si="41"/>
        <v/>
      </c>
      <c r="E465" s="560"/>
      <c r="F465" s="559"/>
      <c r="G465" s="559" t="str">
        <f t="shared" si="42"/>
        <v/>
      </c>
      <c r="H465" s="559" t="str">
        <f t="shared" si="43"/>
        <v/>
      </c>
      <c r="I465" s="559" t="str">
        <f t="shared" si="44"/>
        <v/>
      </c>
    </row>
    <row r="466" spans="2:9">
      <c r="B466" s="555" t="str">
        <f t="shared" si="39"/>
        <v/>
      </c>
      <c r="C466" s="556" t="str">
        <f t="shared" si="40"/>
        <v/>
      </c>
      <c r="D466" s="557" t="str">
        <f t="shared" si="41"/>
        <v/>
      </c>
      <c r="E466" s="560"/>
      <c r="F466" s="559"/>
      <c r="G466" s="559" t="str">
        <f t="shared" si="42"/>
        <v/>
      </c>
      <c r="H466" s="559" t="str">
        <f t="shared" si="43"/>
        <v/>
      </c>
      <c r="I466" s="559" t="str">
        <f t="shared" si="44"/>
        <v/>
      </c>
    </row>
    <row r="467" spans="2:9">
      <c r="B467" s="555" t="str">
        <f t="shared" si="39"/>
        <v/>
      </c>
      <c r="C467" s="556" t="str">
        <f t="shared" si="40"/>
        <v/>
      </c>
      <c r="D467" s="557" t="str">
        <f t="shared" si="41"/>
        <v/>
      </c>
      <c r="E467" s="560"/>
      <c r="F467" s="559"/>
      <c r="G467" s="559" t="str">
        <f t="shared" si="42"/>
        <v/>
      </c>
      <c r="H467" s="559" t="str">
        <f t="shared" si="43"/>
        <v/>
      </c>
      <c r="I467" s="559" t="str">
        <f t="shared" si="44"/>
        <v/>
      </c>
    </row>
    <row r="468" spans="2:9">
      <c r="B468" s="555" t="str">
        <f t="shared" si="39"/>
        <v/>
      </c>
      <c r="C468" s="556" t="str">
        <f t="shared" si="40"/>
        <v/>
      </c>
      <c r="D468" s="557" t="str">
        <f t="shared" si="41"/>
        <v/>
      </c>
      <c r="E468" s="560"/>
      <c r="F468" s="559"/>
      <c r="G468" s="559" t="str">
        <f t="shared" si="42"/>
        <v/>
      </c>
      <c r="H468" s="559" t="str">
        <f t="shared" si="43"/>
        <v/>
      </c>
      <c r="I468" s="559" t="str">
        <f t="shared" si="44"/>
        <v/>
      </c>
    </row>
    <row r="469" spans="2:9">
      <c r="B469" s="555" t="str">
        <f t="shared" si="39"/>
        <v/>
      </c>
      <c r="C469" s="556" t="str">
        <f t="shared" si="40"/>
        <v/>
      </c>
      <c r="D469" s="557" t="str">
        <f t="shared" si="41"/>
        <v/>
      </c>
      <c r="E469" s="560"/>
      <c r="F469" s="559"/>
      <c r="G469" s="559" t="str">
        <f t="shared" si="42"/>
        <v/>
      </c>
      <c r="H469" s="559" t="str">
        <f t="shared" si="43"/>
        <v/>
      </c>
      <c r="I469" s="559" t="str">
        <f t="shared" si="44"/>
        <v/>
      </c>
    </row>
    <row r="470" spans="2:9">
      <c r="B470" s="555" t="str">
        <f t="shared" si="39"/>
        <v/>
      </c>
      <c r="C470" s="556" t="str">
        <f t="shared" si="40"/>
        <v/>
      </c>
      <c r="D470" s="557" t="str">
        <f t="shared" si="41"/>
        <v/>
      </c>
      <c r="E470" s="560"/>
      <c r="F470" s="559"/>
      <c r="G470" s="559" t="str">
        <f t="shared" si="42"/>
        <v/>
      </c>
      <c r="H470" s="559" t="str">
        <f t="shared" si="43"/>
        <v/>
      </c>
      <c r="I470" s="559" t="str">
        <f t="shared" si="44"/>
        <v/>
      </c>
    </row>
    <row r="471" spans="2:9">
      <c r="B471" s="555" t="str">
        <f t="shared" si="39"/>
        <v/>
      </c>
      <c r="C471" s="556" t="str">
        <f t="shared" si="40"/>
        <v/>
      </c>
      <c r="D471" s="557" t="str">
        <f t="shared" si="41"/>
        <v/>
      </c>
      <c r="E471" s="560"/>
      <c r="F471" s="559"/>
      <c r="G471" s="559" t="str">
        <f t="shared" si="42"/>
        <v/>
      </c>
      <c r="H471" s="559" t="str">
        <f t="shared" si="43"/>
        <v/>
      </c>
      <c r="I471" s="559" t="str">
        <f t="shared" si="44"/>
        <v/>
      </c>
    </row>
    <row r="472" spans="2:9">
      <c r="B472" s="555" t="str">
        <f t="shared" si="39"/>
        <v/>
      </c>
      <c r="C472" s="556" t="str">
        <f t="shared" si="40"/>
        <v/>
      </c>
      <c r="D472" s="557" t="str">
        <f t="shared" si="41"/>
        <v/>
      </c>
      <c r="E472" s="560"/>
      <c r="F472" s="559"/>
      <c r="G472" s="559" t="str">
        <f t="shared" si="42"/>
        <v/>
      </c>
      <c r="H472" s="559" t="str">
        <f t="shared" si="43"/>
        <v/>
      </c>
      <c r="I472" s="559" t="str">
        <f t="shared" si="44"/>
        <v/>
      </c>
    </row>
    <row r="473" spans="2:9">
      <c r="B473" s="555" t="str">
        <f t="shared" si="39"/>
        <v/>
      </c>
      <c r="C473" s="556" t="str">
        <f t="shared" si="40"/>
        <v/>
      </c>
      <c r="D473" s="557" t="str">
        <f t="shared" si="41"/>
        <v/>
      </c>
      <c r="E473" s="560"/>
      <c r="F473" s="559"/>
      <c r="G473" s="559" t="str">
        <f t="shared" si="42"/>
        <v/>
      </c>
      <c r="H473" s="559" t="str">
        <f t="shared" si="43"/>
        <v/>
      </c>
      <c r="I473" s="559" t="str">
        <f t="shared" si="44"/>
        <v/>
      </c>
    </row>
    <row r="474" spans="2:9">
      <c r="B474" s="555" t="str">
        <f t="shared" si="39"/>
        <v/>
      </c>
      <c r="C474" s="556" t="str">
        <f t="shared" si="40"/>
        <v/>
      </c>
      <c r="D474" s="557" t="str">
        <f t="shared" si="41"/>
        <v/>
      </c>
      <c r="E474" s="560"/>
      <c r="F474" s="559"/>
      <c r="G474" s="559" t="str">
        <f t="shared" si="42"/>
        <v/>
      </c>
      <c r="H474" s="559" t="str">
        <f t="shared" si="43"/>
        <v/>
      </c>
      <c r="I474" s="559" t="str">
        <f t="shared" si="44"/>
        <v/>
      </c>
    </row>
    <row r="475" spans="2:9">
      <c r="B475" s="555" t="str">
        <f t="shared" si="39"/>
        <v/>
      </c>
      <c r="C475" s="556" t="str">
        <f t="shared" si="40"/>
        <v/>
      </c>
      <c r="D475" s="557" t="str">
        <f t="shared" si="41"/>
        <v/>
      </c>
      <c r="E475" s="560"/>
      <c r="F475" s="559"/>
      <c r="G475" s="559" t="str">
        <f t="shared" si="42"/>
        <v/>
      </c>
      <c r="H475" s="559" t="str">
        <f t="shared" si="43"/>
        <v/>
      </c>
      <c r="I475" s="559" t="str">
        <f t="shared" si="44"/>
        <v/>
      </c>
    </row>
    <row r="476" spans="2:9">
      <c r="B476" s="555" t="str">
        <f t="shared" si="39"/>
        <v/>
      </c>
      <c r="C476" s="556" t="str">
        <f t="shared" si="40"/>
        <v/>
      </c>
      <c r="D476" s="557" t="str">
        <f t="shared" si="41"/>
        <v/>
      </c>
      <c r="E476" s="560"/>
      <c r="F476" s="559"/>
      <c r="G476" s="559" t="str">
        <f t="shared" si="42"/>
        <v/>
      </c>
      <c r="H476" s="559" t="str">
        <f t="shared" si="43"/>
        <v/>
      </c>
      <c r="I476" s="559" t="str">
        <f t="shared" si="44"/>
        <v/>
      </c>
    </row>
    <row r="477" spans="2:9">
      <c r="B477" s="555" t="str">
        <f t="shared" si="39"/>
        <v/>
      </c>
      <c r="C477" s="556" t="str">
        <f t="shared" si="40"/>
        <v/>
      </c>
      <c r="D477" s="557" t="str">
        <f t="shared" si="41"/>
        <v/>
      </c>
      <c r="E477" s="560"/>
      <c r="F477" s="559"/>
      <c r="G477" s="559" t="str">
        <f t="shared" si="42"/>
        <v/>
      </c>
      <c r="H477" s="559" t="str">
        <f t="shared" si="43"/>
        <v/>
      </c>
      <c r="I477" s="559" t="str">
        <f t="shared" si="44"/>
        <v/>
      </c>
    </row>
    <row r="478" spans="2:9">
      <c r="B478" s="555" t="str">
        <f t="shared" si="39"/>
        <v/>
      </c>
      <c r="C478" s="556" t="str">
        <f t="shared" si="40"/>
        <v/>
      </c>
      <c r="D478" s="557" t="str">
        <f t="shared" si="41"/>
        <v/>
      </c>
      <c r="E478" s="560"/>
      <c r="F478" s="559"/>
      <c r="G478" s="559" t="str">
        <f t="shared" si="42"/>
        <v/>
      </c>
      <c r="H478" s="559" t="str">
        <f t="shared" si="43"/>
        <v/>
      </c>
      <c r="I478" s="559" t="str">
        <f t="shared" si="44"/>
        <v/>
      </c>
    </row>
    <row r="479" spans="2:9">
      <c r="B479" s="555" t="str">
        <f t="shared" si="39"/>
        <v/>
      </c>
      <c r="C479" s="556" t="str">
        <f t="shared" si="40"/>
        <v/>
      </c>
      <c r="D479" s="557" t="str">
        <f t="shared" si="41"/>
        <v/>
      </c>
      <c r="E479" s="560"/>
      <c r="F479" s="559"/>
      <c r="G479" s="559" t="str">
        <f t="shared" si="42"/>
        <v/>
      </c>
      <c r="H479" s="559" t="str">
        <f t="shared" si="43"/>
        <v/>
      </c>
      <c r="I479" s="559" t="str">
        <f t="shared" si="44"/>
        <v/>
      </c>
    </row>
    <row r="480" spans="2:9">
      <c r="B480" s="555" t="str">
        <f t="shared" si="39"/>
        <v/>
      </c>
      <c r="C480" s="556" t="str">
        <f t="shared" si="40"/>
        <v/>
      </c>
      <c r="D480" s="557" t="str">
        <f t="shared" si="41"/>
        <v/>
      </c>
      <c r="E480" s="560"/>
      <c r="F480" s="559"/>
      <c r="G480" s="559" t="str">
        <f t="shared" si="42"/>
        <v/>
      </c>
      <c r="H480" s="559" t="str">
        <f t="shared" si="43"/>
        <v/>
      </c>
      <c r="I480" s="559" t="str">
        <f t="shared" si="44"/>
        <v/>
      </c>
    </row>
    <row r="481" spans="2:9">
      <c r="B481" s="555" t="str">
        <f t="shared" si="39"/>
        <v/>
      </c>
      <c r="C481" s="556" t="str">
        <f t="shared" si="40"/>
        <v/>
      </c>
      <c r="D481" s="557" t="str">
        <f t="shared" si="41"/>
        <v/>
      </c>
      <c r="E481" s="560"/>
      <c r="F481" s="559"/>
      <c r="G481" s="559" t="str">
        <f t="shared" si="42"/>
        <v/>
      </c>
      <c r="H481" s="559" t="str">
        <f t="shared" si="43"/>
        <v/>
      </c>
      <c r="I481" s="559" t="str">
        <f t="shared" si="44"/>
        <v/>
      </c>
    </row>
    <row r="482" spans="2:9">
      <c r="B482" s="555" t="str">
        <f t="shared" si="39"/>
        <v/>
      </c>
      <c r="C482" s="556" t="str">
        <f t="shared" si="40"/>
        <v/>
      </c>
      <c r="D482" s="557" t="str">
        <f t="shared" si="41"/>
        <v/>
      </c>
      <c r="E482" s="560"/>
      <c r="F482" s="559"/>
      <c r="G482" s="559" t="str">
        <f t="shared" si="42"/>
        <v/>
      </c>
      <c r="H482" s="559" t="str">
        <f t="shared" si="43"/>
        <v/>
      </c>
      <c r="I482" s="559" t="str">
        <f t="shared" si="44"/>
        <v/>
      </c>
    </row>
    <row r="483" spans="2:9">
      <c r="B483" s="555" t="str">
        <f t="shared" si="39"/>
        <v/>
      </c>
      <c r="C483" s="556" t="str">
        <f t="shared" si="40"/>
        <v/>
      </c>
      <c r="D483" s="557" t="str">
        <f t="shared" si="41"/>
        <v/>
      </c>
      <c r="E483" s="560"/>
      <c r="F483" s="559"/>
      <c r="G483" s="559" t="str">
        <f t="shared" si="42"/>
        <v/>
      </c>
      <c r="H483" s="559" t="str">
        <f t="shared" si="43"/>
        <v/>
      </c>
      <c r="I483" s="559" t="str">
        <f t="shared" si="44"/>
        <v/>
      </c>
    </row>
    <row r="484" spans="2:9">
      <c r="B484" s="555" t="str">
        <f t="shared" si="39"/>
        <v/>
      </c>
      <c r="C484" s="556" t="str">
        <f t="shared" si="40"/>
        <v/>
      </c>
      <c r="D484" s="557" t="str">
        <f t="shared" si="41"/>
        <v/>
      </c>
      <c r="E484" s="560"/>
      <c r="F484" s="559"/>
      <c r="G484" s="559" t="str">
        <f t="shared" si="42"/>
        <v/>
      </c>
      <c r="H484" s="559" t="str">
        <f t="shared" si="43"/>
        <v/>
      </c>
      <c r="I484" s="559" t="str">
        <f t="shared" si="44"/>
        <v/>
      </c>
    </row>
    <row r="485" spans="2:9">
      <c r="B485" s="555" t="str">
        <f t="shared" si="39"/>
        <v/>
      </c>
      <c r="C485" s="556" t="str">
        <f t="shared" si="40"/>
        <v/>
      </c>
      <c r="D485" s="557" t="str">
        <f t="shared" si="41"/>
        <v/>
      </c>
      <c r="E485" s="560"/>
      <c r="F485" s="559"/>
      <c r="G485" s="559" t="str">
        <f t="shared" si="42"/>
        <v/>
      </c>
      <c r="H485" s="559" t="str">
        <f t="shared" si="43"/>
        <v/>
      </c>
      <c r="I485" s="559" t="str">
        <f t="shared" si="44"/>
        <v/>
      </c>
    </row>
    <row r="486" spans="2:9">
      <c r="B486" s="555" t="str">
        <f t="shared" si="39"/>
        <v/>
      </c>
      <c r="C486" s="556" t="str">
        <f t="shared" si="40"/>
        <v/>
      </c>
      <c r="D486" s="557" t="str">
        <f t="shared" si="41"/>
        <v/>
      </c>
      <c r="E486" s="560"/>
      <c r="F486" s="559"/>
      <c r="G486" s="559" t="str">
        <f t="shared" si="42"/>
        <v/>
      </c>
      <c r="H486" s="559" t="str">
        <f t="shared" si="43"/>
        <v/>
      </c>
      <c r="I486" s="559" t="str">
        <f t="shared" si="44"/>
        <v/>
      </c>
    </row>
    <row r="487" spans="2:9">
      <c r="B487" s="555" t="str">
        <f t="shared" si="39"/>
        <v/>
      </c>
      <c r="C487" s="556" t="str">
        <f t="shared" si="40"/>
        <v/>
      </c>
      <c r="D487" s="557" t="str">
        <f t="shared" si="41"/>
        <v/>
      </c>
      <c r="E487" s="560"/>
      <c r="F487" s="559"/>
      <c r="G487" s="559" t="str">
        <f t="shared" si="42"/>
        <v/>
      </c>
      <c r="H487" s="559" t="str">
        <f t="shared" si="43"/>
        <v/>
      </c>
      <c r="I487" s="559" t="str">
        <f t="shared" si="44"/>
        <v/>
      </c>
    </row>
    <row r="488" spans="2:9">
      <c r="B488" s="555" t="str">
        <f t="shared" si="39"/>
        <v/>
      </c>
      <c r="C488" s="556" t="str">
        <f t="shared" si="40"/>
        <v/>
      </c>
      <c r="D488" s="557" t="str">
        <f t="shared" si="41"/>
        <v/>
      </c>
      <c r="E488" s="560"/>
      <c r="F488" s="559"/>
      <c r="G488" s="559" t="str">
        <f t="shared" si="42"/>
        <v/>
      </c>
      <c r="H488" s="559" t="str">
        <f t="shared" si="43"/>
        <v/>
      </c>
      <c r="I488" s="559" t="str">
        <f t="shared" si="44"/>
        <v/>
      </c>
    </row>
    <row r="489" spans="2:9">
      <c r="B489" s="555" t="str">
        <f t="shared" si="39"/>
        <v/>
      </c>
      <c r="C489" s="556" t="str">
        <f t="shared" si="40"/>
        <v/>
      </c>
      <c r="D489" s="557" t="str">
        <f t="shared" si="41"/>
        <v/>
      </c>
      <c r="E489" s="560"/>
      <c r="F489" s="559"/>
      <c r="G489" s="559" t="str">
        <f t="shared" si="42"/>
        <v/>
      </c>
      <c r="H489" s="559" t="str">
        <f t="shared" si="43"/>
        <v/>
      </c>
      <c r="I489" s="559" t="str">
        <f t="shared" si="44"/>
        <v/>
      </c>
    </row>
    <row r="490" spans="2:9">
      <c r="B490" s="555" t="str">
        <f t="shared" si="39"/>
        <v/>
      </c>
      <c r="C490" s="556" t="str">
        <f t="shared" si="40"/>
        <v/>
      </c>
      <c r="D490" s="557" t="str">
        <f t="shared" si="41"/>
        <v/>
      </c>
      <c r="E490" s="560"/>
      <c r="F490" s="559"/>
      <c r="G490" s="559" t="str">
        <f t="shared" si="42"/>
        <v/>
      </c>
      <c r="H490" s="559" t="str">
        <f t="shared" si="43"/>
        <v/>
      </c>
      <c r="I490" s="559" t="str">
        <f t="shared" si="44"/>
        <v/>
      </c>
    </row>
    <row r="491" spans="2:9">
      <c r="B491" s="555" t="str">
        <f t="shared" si="39"/>
        <v/>
      </c>
      <c r="C491" s="556" t="str">
        <f t="shared" si="40"/>
        <v/>
      </c>
      <c r="D491" s="557" t="str">
        <f t="shared" si="41"/>
        <v/>
      </c>
      <c r="E491" s="560"/>
      <c r="F491" s="559"/>
      <c r="G491" s="559" t="str">
        <f t="shared" si="42"/>
        <v/>
      </c>
      <c r="H491" s="559" t="str">
        <f t="shared" si="43"/>
        <v/>
      </c>
      <c r="I491" s="559" t="str">
        <f t="shared" si="44"/>
        <v/>
      </c>
    </row>
    <row r="492" spans="2:9">
      <c r="B492" s="555" t="str">
        <f t="shared" si="39"/>
        <v/>
      </c>
      <c r="C492" s="556" t="str">
        <f t="shared" si="40"/>
        <v/>
      </c>
      <c r="D492" s="557" t="str">
        <f t="shared" si="41"/>
        <v/>
      </c>
      <c r="E492" s="560"/>
      <c r="F492" s="559"/>
      <c r="G492" s="559" t="str">
        <f t="shared" si="42"/>
        <v/>
      </c>
      <c r="H492" s="559" t="str">
        <f t="shared" si="43"/>
        <v/>
      </c>
      <c r="I492" s="559" t="str">
        <f t="shared" si="44"/>
        <v/>
      </c>
    </row>
    <row r="493" spans="2:9">
      <c r="B493" s="555" t="str">
        <f t="shared" si="39"/>
        <v/>
      </c>
      <c r="C493" s="556" t="str">
        <f t="shared" si="40"/>
        <v/>
      </c>
      <c r="D493" s="557" t="str">
        <f t="shared" si="41"/>
        <v/>
      </c>
      <c r="E493" s="560"/>
      <c r="F493" s="559"/>
      <c r="G493" s="559" t="str">
        <f t="shared" si="42"/>
        <v/>
      </c>
      <c r="H493" s="559" t="str">
        <f t="shared" si="43"/>
        <v/>
      </c>
      <c r="I493" s="559" t="str">
        <f t="shared" si="44"/>
        <v/>
      </c>
    </row>
    <row r="494" spans="2:9">
      <c r="B494" s="555" t="str">
        <f t="shared" si="39"/>
        <v/>
      </c>
      <c r="C494" s="556" t="str">
        <f t="shared" si="40"/>
        <v/>
      </c>
      <c r="D494" s="557" t="str">
        <f t="shared" si="41"/>
        <v/>
      </c>
      <c r="E494" s="560"/>
      <c r="F494" s="559"/>
      <c r="G494" s="559" t="str">
        <f t="shared" si="42"/>
        <v/>
      </c>
      <c r="H494" s="559" t="str">
        <f t="shared" si="43"/>
        <v/>
      </c>
      <c r="I494" s="559" t="str">
        <f t="shared" si="44"/>
        <v/>
      </c>
    </row>
    <row r="495" spans="2:9">
      <c r="B495" s="555" t="str">
        <f t="shared" si="39"/>
        <v/>
      </c>
      <c r="C495" s="556" t="str">
        <f t="shared" si="40"/>
        <v/>
      </c>
      <c r="D495" s="557" t="str">
        <f t="shared" si="41"/>
        <v/>
      </c>
      <c r="E495" s="560"/>
      <c r="F495" s="559"/>
      <c r="G495" s="559" t="str">
        <f t="shared" si="42"/>
        <v/>
      </c>
      <c r="H495" s="559" t="str">
        <f t="shared" si="43"/>
        <v/>
      </c>
      <c r="I495" s="559" t="str">
        <f t="shared" si="44"/>
        <v/>
      </c>
    </row>
    <row r="496" spans="2:9">
      <c r="B496" s="555" t="str">
        <f t="shared" si="39"/>
        <v/>
      </c>
      <c r="C496" s="556" t="str">
        <f t="shared" si="40"/>
        <v/>
      </c>
      <c r="D496" s="557" t="str">
        <f t="shared" si="41"/>
        <v/>
      </c>
      <c r="E496" s="560"/>
      <c r="F496" s="559"/>
      <c r="G496" s="559" t="str">
        <f t="shared" si="42"/>
        <v/>
      </c>
      <c r="H496" s="559" t="str">
        <f t="shared" si="43"/>
        <v/>
      </c>
      <c r="I496" s="559" t="str">
        <f t="shared" si="44"/>
        <v/>
      </c>
    </row>
    <row r="497" spans="2:9">
      <c r="B497" s="555" t="str">
        <f t="shared" si="39"/>
        <v/>
      </c>
      <c r="C497" s="556" t="str">
        <f t="shared" si="40"/>
        <v/>
      </c>
      <c r="D497" s="557" t="str">
        <f t="shared" si="41"/>
        <v/>
      </c>
      <c r="E497" s="560"/>
      <c r="F497" s="559"/>
      <c r="G497" s="559" t="str">
        <f t="shared" si="42"/>
        <v/>
      </c>
      <c r="H497" s="559" t="str">
        <f t="shared" si="43"/>
        <v/>
      </c>
      <c r="I497" s="559" t="str">
        <f t="shared" si="44"/>
        <v/>
      </c>
    </row>
    <row r="498" spans="2:9">
      <c r="B498" s="555" t="str">
        <f t="shared" si="39"/>
        <v/>
      </c>
      <c r="C498" s="556" t="str">
        <f t="shared" si="40"/>
        <v/>
      </c>
      <c r="D498" s="557" t="str">
        <f t="shared" si="41"/>
        <v/>
      </c>
      <c r="E498" s="560"/>
      <c r="F498" s="559"/>
      <c r="G498" s="559" t="str">
        <f t="shared" si="42"/>
        <v/>
      </c>
      <c r="H498" s="559" t="str">
        <f t="shared" si="43"/>
        <v/>
      </c>
      <c r="I498" s="559" t="str">
        <f t="shared" si="44"/>
        <v/>
      </c>
    </row>
    <row r="499" spans="2:9">
      <c r="B499" s="555" t="str">
        <f t="shared" si="39"/>
        <v/>
      </c>
      <c r="C499" s="556" t="str">
        <f t="shared" si="40"/>
        <v/>
      </c>
      <c r="D499" s="557" t="str">
        <f t="shared" si="41"/>
        <v/>
      </c>
      <c r="E499" s="560"/>
      <c r="F499" s="559"/>
      <c r="G499" s="559" t="str">
        <f t="shared" si="42"/>
        <v/>
      </c>
      <c r="H499" s="559" t="str">
        <f t="shared" si="43"/>
        <v/>
      </c>
      <c r="I499" s="559" t="str">
        <f t="shared" si="44"/>
        <v/>
      </c>
    </row>
    <row r="500" spans="2:9">
      <c r="B500" s="555" t="str">
        <f t="shared" si="39"/>
        <v/>
      </c>
      <c r="C500" s="556" t="str">
        <f t="shared" si="40"/>
        <v/>
      </c>
      <c r="D500" s="557" t="str">
        <f t="shared" si="41"/>
        <v/>
      </c>
      <c r="E500" s="560"/>
      <c r="F500" s="559"/>
      <c r="G500" s="559" t="str">
        <f t="shared" si="42"/>
        <v/>
      </c>
      <c r="H500" s="559" t="str">
        <f t="shared" si="43"/>
        <v/>
      </c>
      <c r="I500" s="559" t="str">
        <f t="shared" si="44"/>
        <v/>
      </c>
    </row>
    <row r="501" spans="2:9">
      <c r="B501" s="555" t="str">
        <f t="shared" si="39"/>
        <v/>
      </c>
      <c r="C501" s="556" t="str">
        <f t="shared" si="40"/>
        <v/>
      </c>
      <c r="D501" s="557" t="str">
        <f t="shared" si="41"/>
        <v/>
      </c>
      <c r="E501" s="560"/>
      <c r="F501" s="559"/>
      <c r="G501" s="559" t="str">
        <f t="shared" si="42"/>
        <v/>
      </c>
      <c r="H501" s="559" t="str">
        <f t="shared" si="43"/>
        <v/>
      </c>
      <c r="I501" s="559" t="str">
        <f t="shared" si="44"/>
        <v/>
      </c>
    </row>
    <row r="502" spans="2:9">
      <c r="B502" s="555" t="str">
        <f t="shared" si="39"/>
        <v/>
      </c>
      <c r="C502" s="556" t="str">
        <f t="shared" si="40"/>
        <v/>
      </c>
      <c r="D502" s="557" t="str">
        <f t="shared" si="41"/>
        <v/>
      </c>
      <c r="E502" s="560"/>
      <c r="F502" s="559"/>
      <c r="G502" s="559" t="str">
        <f t="shared" si="42"/>
        <v/>
      </c>
      <c r="H502" s="559" t="str">
        <f t="shared" si="43"/>
        <v/>
      </c>
      <c r="I502" s="559" t="str">
        <f t="shared" si="44"/>
        <v/>
      </c>
    </row>
    <row r="503" spans="2:9">
      <c r="B503" s="555" t="str">
        <f t="shared" si="39"/>
        <v/>
      </c>
      <c r="C503" s="556" t="str">
        <f t="shared" si="40"/>
        <v/>
      </c>
      <c r="D503" s="557" t="str">
        <f t="shared" si="41"/>
        <v/>
      </c>
      <c r="E503" s="560"/>
      <c r="F503" s="559"/>
      <c r="G503" s="559" t="str">
        <f t="shared" si="42"/>
        <v/>
      </c>
      <c r="H503" s="559" t="str">
        <f t="shared" si="43"/>
        <v/>
      </c>
      <c r="I503" s="559" t="str">
        <f t="shared" si="44"/>
        <v/>
      </c>
    </row>
    <row r="504" spans="2:9">
      <c r="B504" s="555" t="str">
        <f t="shared" si="39"/>
        <v/>
      </c>
      <c r="C504" s="556" t="str">
        <f t="shared" si="40"/>
        <v/>
      </c>
      <c r="D504" s="557" t="str">
        <f t="shared" si="41"/>
        <v/>
      </c>
      <c r="E504" s="560"/>
      <c r="F504" s="559"/>
      <c r="G504" s="559" t="str">
        <f t="shared" si="42"/>
        <v/>
      </c>
      <c r="H504" s="559" t="str">
        <f t="shared" si="43"/>
        <v/>
      </c>
      <c r="I504" s="559" t="str">
        <f t="shared" si="44"/>
        <v/>
      </c>
    </row>
    <row r="505" spans="2:9">
      <c r="B505" s="555" t="str">
        <f t="shared" si="39"/>
        <v/>
      </c>
      <c r="C505" s="556" t="str">
        <f t="shared" si="40"/>
        <v/>
      </c>
      <c r="D505" s="557" t="str">
        <f t="shared" si="41"/>
        <v/>
      </c>
      <c r="E505" s="560"/>
      <c r="F505" s="559"/>
      <c r="G505" s="559" t="str">
        <f t="shared" si="42"/>
        <v/>
      </c>
      <c r="H505" s="559" t="str">
        <f t="shared" si="43"/>
        <v/>
      </c>
      <c r="I505" s="559" t="str">
        <f t="shared" si="44"/>
        <v/>
      </c>
    </row>
    <row r="506" spans="2:9">
      <c r="B506" s="555" t="str">
        <f t="shared" si="39"/>
        <v/>
      </c>
      <c r="C506" s="556" t="str">
        <f t="shared" si="40"/>
        <v/>
      </c>
      <c r="D506" s="557" t="str">
        <f t="shared" si="41"/>
        <v/>
      </c>
      <c r="E506" s="560"/>
      <c r="F506" s="559"/>
      <c r="G506" s="559" t="str">
        <f t="shared" si="42"/>
        <v/>
      </c>
      <c r="H506" s="559" t="str">
        <f t="shared" si="43"/>
        <v/>
      </c>
      <c r="I506" s="559" t="str">
        <f t="shared" si="44"/>
        <v/>
      </c>
    </row>
    <row r="507" spans="2:9">
      <c r="B507" s="555" t="str">
        <f t="shared" si="39"/>
        <v/>
      </c>
      <c r="C507" s="556" t="str">
        <f t="shared" si="40"/>
        <v/>
      </c>
      <c r="D507" s="557" t="str">
        <f t="shared" si="41"/>
        <v/>
      </c>
      <c r="E507" s="560"/>
      <c r="F507" s="559"/>
      <c r="G507" s="559" t="str">
        <f t="shared" si="42"/>
        <v/>
      </c>
      <c r="H507" s="559" t="str">
        <f t="shared" si="43"/>
        <v/>
      </c>
      <c r="I507" s="559" t="str">
        <f t="shared" si="44"/>
        <v/>
      </c>
    </row>
    <row r="508" spans="2:9">
      <c r="B508" s="555" t="str">
        <f t="shared" si="39"/>
        <v/>
      </c>
      <c r="C508" s="556" t="str">
        <f t="shared" si="40"/>
        <v/>
      </c>
      <c r="D508" s="557" t="str">
        <f t="shared" si="41"/>
        <v/>
      </c>
      <c r="E508" s="560"/>
      <c r="F508" s="559"/>
      <c r="G508" s="559" t="str">
        <f t="shared" si="42"/>
        <v/>
      </c>
      <c r="H508" s="559" t="str">
        <f t="shared" si="43"/>
        <v/>
      </c>
      <c r="I508" s="559" t="str">
        <f t="shared" si="44"/>
        <v/>
      </c>
    </row>
    <row r="509" spans="2:9">
      <c r="B509" s="555" t="str">
        <f t="shared" ref="B509:B572" si="45">IF(I508="","",IF(roundOpt,IF(OR(B508&gt;=nper,ROUND(I508,2)&lt;=0),"",B508+1),IF(OR(B508&gt;=nper,I508&lt;=0),"",B508+1)))</f>
        <v/>
      </c>
      <c r="C509" s="556" t="str">
        <f t="shared" ref="C509:C572" si="46">IF(B509="","",IF(OR(periods_per_year=26,periods_per_year=52),IF(periods_per_year=26,IF(B509=1,fpdate,C508+14),IF(periods_per_year=52,IF(B509=1,fpdate,C508+7),"n/a")),IF(periods_per_year=24,DATE(YEAR(fpdate),MONTH(fpdate)+(B509-1)/2+IF(AND(DAY(fpdate)&gt;=15,MOD(B509,2)=0),1,0),IF(MOD(B509,2)=0,IF(DAY(fpdate)&gt;=15,DAY(fpdate)-14,DAY(fpdate)+14),DAY(fpdate))),IF(DAY(DATE(YEAR(fpdate),MONTH(fpdate)+(B509-1)*months_per_period,DAY(fpdate)))&lt;&gt;DAY(fpdate),DATE(YEAR(fpdate),MONTH(fpdate)+(B509-1)*months_per_period+1,0),DATE(YEAR(fpdate),MONTH(fpdate)+(B509-1)*months_per_period,DAY(fpdate))))))</f>
        <v/>
      </c>
      <c r="D509" s="557" t="str">
        <f t="shared" ref="D509:D572" si="47">IF(B509="","",IF(roundOpt,IF(OR(B509=nper,payment&gt;ROUND((1+rate)*I508,2)),ROUND((1+rate)*I508,2),payment),IF(OR(B509=nper,payment&gt;(1+rate)*I508),(1+rate)*I508,payment)))</f>
        <v/>
      </c>
      <c r="E509" s="560"/>
      <c r="F509" s="559"/>
      <c r="G509" s="559" t="str">
        <f t="shared" ref="G509:G572" si="48">IF(B509="","",IF(AND(B509=1,pmtType=1),0,IF(roundOpt,ROUND(rate*I508,2),rate*I508)))</f>
        <v/>
      </c>
      <c r="H509" s="559" t="str">
        <f t="shared" ref="H509:H572" si="49">IF(B509="","",D509-G509+E509)</f>
        <v/>
      </c>
      <c r="I509" s="559" t="str">
        <f t="shared" ref="I509:I572" si="50">IF(B509="","",I508-H509)</f>
        <v/>
      </c>
    </row>
    <row r="510" spans="2:9">
      <c r="B510" s="555" t="str">
        <f t="shared" si="45"/>
        <v/>
      </c>
      <c r="C510" s="556" t="str">
        <f t="shared" si="46"/>
        <v/>
      </c>
      <c r="D510" s="557" t="str">
        <f t="shared" si="47"/>
        <v/>
      </c>
      <c r="E510" s="560"/>
      <c r="F510" s="559"/>
      <c r="G510" s="559" t="str">
        <f t="shared" si="48"/>
        <v/>
      </c>
      <c r="H510" s="559" t="str">
        <f t="shared" si="49"/>
        <v/>
      </c>
      <c r="I510" s="559" t="str">
        <f t="shared" si="50"/>
        <v/>
      </c>
    </row>
    <row r="511" spans="2:9">
      <c r="B511" s="555" t="str">
        <f t="shared" si="45"/>
        <v/>
      </c>
      <c r="C511" s="556" t="str">
        <f t="shared" si="46"/>
        <v/>
      </c>
      <c r="D511" s="557" t="str">
        <f t="shared" si="47"/>
        <v/>
      </c>
      <c r="E511" s="560"/>
      <c r="F511" s="559"/>
      <c r="G511" s="559" t="str">
        <f t="shared" si="48"/>
        <v/>
      </c>
      <c r="H511" s="559" t="str">
        <f t="shared" si="49"/>
        <v/>
      </c>
      <c r="I511" s="559" t="str">
        <f t="shared" si="50"/>
        <v/>
      </c>
    </row>
    <row r="512" spans="2:9">
      <c r="B512" s="555" t="str">
        <f t="shared" si="45"/>
        <v/>
      </c>
      <c r="C512" s="556" t="str">
        <f t="shared" si="46"/>
        <v/>
      </c>
      <c r="D512" s="557" t="str">
        <f t="shared" si="47"/>
        <v/>
      </c>
      <c r="E512" s="560"/>
      <c r="F512" s="559"/>
      <c r="G512" s="559" t="str">
        <f t="shared" si="48"/>
        <v/>
      </c>
      <c r="H512" s="559" t="str">
        <f t="shared" si="49"/>
        <v/>
      </c>
      <c r="I512" s="559" t="str">
        <f t="shared" si="50"/>
        <v/>
      </c>
    </row>
    <row r="513" spans="2:9">
      <c r="B513" s="555" t="str">
        <f t="shared" si="45"/>
        <v/>
      </c>
      <c r="C513" s="556" t="str">
        <f t="shared" si="46"/>
        <v/>
      </c>
      <c r="D513" s="557" t="str">
        <f t="shared" si="47"/>
        <v/>
      </c>
      <c r="E513" s="560"/>
      <c r="F513" s="559"/>
      <c r="G513" s="559" t="str">
        <f t="shared" si="48"/>
        <v/>
      </c>
      <c r="H513" s="559" t="str">
        <f t="shared" si="49"/>
        <v/>
      </c>
      <c r="I513" s="559" t="str">
        <f t="shared" si="50"/>
        <v/>
      </c>
    </row>
    <row r="514" spans="2:9">
      <c r="B514" s="555" t="str">
        <f t="shared" si="45"/>
        <v/>
      </c>
      <c r="C514" s="556" t="str">
        <f t="shared" si="46"/>
        <v/>
      </c>
      <c r="D514" s="557" t="str">
        <f t="shared" si="47"/>
        <v/>
      </c>
      <c r="E514" s="560"/>
      <c r="F514" s="559"/>
      <c r="G514" s="559" t="str">
        <f t="shared" si="48"/>
        <v/>
      </c>
      <c r="H514" s="559" t="str">
        <f t="shared" si="49"/>
        <v/>
      </c>
      <c r="I514" s="559" t="str">
        <f t="shared" si="50"/>
        <v/>
      </c>
    </row>
    <row r="515" spans="2:9">
      <c r="B515" s="555" t="str">
        <f t="shared" si="45"/>
        <v/>
      </c>
      <c r="C515" s="556" t="str">
        <f t="shared" si="46"/>
        <v/>
      </c>
      <c r="D515" s="557" t="str">
        <f t="shared" si="47"/>
        <v/>
      </c>
      <c r="E515" s="560"/>
      <c r="F515" s="559"/>
      <c r="G515" s="559" t="str">
        <f t="shared" si="48"/>
        <v/>
      </c>
      <c r="H515" s="559" t="str">
        <f t="shared" si="49"/>
        <v/>
      </c>
      <c r="I515" s="559" t="str">
        <f t="shared" si="50"/>
        <v/>
      </c>
    </row>
    <row r="516" spans="2:9">
      <c r="B516" s="555" t="str">
        <f t="shared" si="45"/>
        <v/>
      </c>
      <c r="C516" s="556" t="str">
        <f t="shared" si="46"/>
        <v/>
      </c>
      <c r="D516" s="557" t="str">
        <f t="shared" si="47"/>
        <v/>
      </c>
      <c r="E516" s="560"/>
      <c r="F516" s="559"/>
      <c r="G516" s="559" t="str">
        <f t="shared" si="48"/>
        <v/>
      </c>
      <c r="H516" s="559" t="str">
        <f t="shared" si="49"/>
        <v/>
      </c>
      <c r="I516" s="559" t="str">
        <f t="shared" si="50"/>
        <v/>
      </c>
    </row>
    <row r="517" spans="2:9">
      <c r="B517" s="555" t="str">
        <f t="shared" si="45"/>
        <v/>
      </c>
      <c r="C517" s="556" t="str">
        <f t="shared" si="46"/>
        <v/>
      </c>
      <c r="D517" s="557" t="str">
        <f t="shared" si="47"/>
        <v/>
      </c>
      <c r="E517" s="560"/>
      <c r="F517" s="559"/>
      <c r="G517" s="559" t="str">
        <f t="shared" si="48"/>
        <v/>
      </c>
      <c r="H517" s="559" t="str">
        <f t="shared" si="49"/>
        <v/>
      </c>
      <c r="I517" s="559" t="str">
        <f t="shared" si="50"/>
        <v/>
      </c>
    </row>
    <row r="518" spans="2:9">
      <c r="B518" s="555" t="str">
        <f t="shared" si="45"/>
        <v/>
      </c>
      <c r="C518" s="556" t="str">
        <f t="shared" si="46"/>
        <v/>
      </c>
      <c r="D518" s="557" t="str">
        <f t="shared" si="47"/>
        <v/>
      </c>
      <c r="E518" s="560"/>
      <c r="F518" s="559"/>
      <c r="G518" s="559" t="str">
        <f t="shared" si="48"/>
        <v/>
      </c>
      <c r="H518" s="559" t="str">
        <f t="shared" si="49"/>
        <v/>
      </c>
      <c r="I518" s="559" t="str">
        <f t="shared" si="50"/>
        <v/>
      </c>
    </row>
    <row r="519" spans="2:9">
      <c r="B519" s="555" t="str">
        <f t="shared" si="45"/>
        <v/>
      </c>
      <c r="C519" s="556" t="str">
        <f t="shared" si="46"/>
        <v/>
      </c>
      <c r="D519" s="557" t="str">
        <f t="shared" si="47"/>
        <v/>
      </c>
      <c r="E519" s="560"/>
      <c r="F519" s="559"/>
      <c r="G519" s="559" t="str">
        <f t="shared" si="48"/>
        <v/>
      </c>
      <c r="H519" s="559" t="str">
        <f t="shared" si="49"/>
        <v/>
      </c>
      <c r="I519" s="559" t="str">
        <f t="shared" si="50"/>
        <v/>
      </c>
    </row>
    <row r="520" spans="2:9">
      <c r="B520" s="555" t="str">
        <f t="shared" si="45"/>
        <v/>
      </c>
      <c r="C520" s="556" t="str">
        <f t="shared" si="46"/>
        <v/>
      </c>
      <c r="D520" s="557" t="str">
        <f t="shared" si="47"/>
        <v/>
      </c>
      <c r="E520" s="560"/>
      <c r="F520" s="559"/>
      <c r="G520" s="559" t="str">
        <f t="shared" si="48"/>
        <v/>
      </c>
      <c r="H520" s="559" t="str">
        <f t="shared" si="49"/>
        <v/>
      </c>
      <c r="I520" s="559" t="str">
        <f t="shared" si="50"/>
        <v/>
      </c>
    </row>
    <row r="521" spans="2:9">
      <c r="B521" s="555" t="str">
        <f t="shared" si="45"/>
        <v/>
      </c>
      <c r="C521" s="556" t="str">
        <f t="shared" si="46"/>
        <v/>
      </c>
      <c r="D521" s="557" t="str">
        <f t="shared" si="47"/>
        <v/>
      </c>
      <c r="E521" s="560"/>
      <c r="F521" s="559"/>
      <c r="G521" s="559" t="str">
        <f t="shared" si="48"/>
        <v/>
      </c>
      <c r="H521" s="559" t="str">
        <f t="shared" si="49"/>
        <v/>
      </c>
      <c r="I521" s="559" t="str">
        <f t="shared" si="50"/>
        <v/>
      </c>
    </row>
    <row r="522" spans="2:9">
      <c r="B522" s="555" t="str">
        <f t="shared" si="45"/>
        <v/>
      </c>
      <c r="C522" s="556" t="str">
        <f t="shared" si="46"/>
        <v/>
      </c>
      <c r="D522" s="557" t="str">
        <f t="shared" si="47"/>
        <v/>
      </c>
      <c r="E522" s="560"/>
      <c r="F522" s="559"/>
      <c r="G522" s="559" t="str">
        <f t="shared" si="48"/>
        <v/>
      </c>
      <c r="H522" s="559" t="str">
        <f t="shared" si="49"/>
        <v/>
      </c>
      <c r="I522" s="559" t="str">
        <f t="shared" si="50"/>
        <v/>
      </c>
    </row>
    <row r="523" spans="2:9">
      <c r="B523" s="555" t="str">
        <f t="shared" si="45"/>
        <v/>
      </c>
      <c r="C523" s="556" t="str">
        <f t="shared" si="46"/>
        <v/>
      </c>
      <c r="D523" s="557" t="str">
        <f t="shared" si="47"/>
        <v/>
      </c>
      <c r="E523" s="560"/>
      <c r="F523" s="559"/>
      <c r="G523" s="559" t="str">
        <f t="shared" si="48"/>
        <v/>
      </c>
      <c r="H523" s="559" t="str">
        <f t="shared" si="49"/>
        <v/>
      </c>
      <c r="I523" s="559" t="str">
        <f t="shared" si="50"/>
        <v/>
      </c>
    </row>
    <row r="524" spans="2:9">
      <c r="B524" s="555" t="str">
        <f t="shared" si="45"/>
        <v/>
      </c>
      <c r="C524" s="556" t="str">
        <f t="shared" si="46"/>
        <v/>
      </c>
      <c r="D524" s="557" t="str">
        <f t="shared" si="47"/>
        <v/>
      </c>
      <c r="E524" s="560"/>
      <c r="F524" s="559"/>
      <c r="G524" s="559" t="str">
        <f t="shared" si="48"/>
        <v/>
      </c>
      <c r="H524" s="559" t="str">
        <f t="shared" si="49"/>
        <v/>
      </c>
      <c r="I524" s="559" t="str">
        <f t="shared" si="50"/>
        <v/>
      </c>
    </row>
    <row r="525" spans="2:9">
      <c r="B525" s="555" t="str">
        <f t="shared" si="45"/>
        <v/>
      </c>
      <c r="C525" s="556" t="str">
        <f t="shared" si="46"/>
        <v/>
      </c>
      <c r="D525" s="557" t="str">
        <f t="shared" si="47"/>
        <v/>
      </c>
      <c r="E525" s="560"/>
      <c r="F525" s="559"/>
      <c r="G525" s="559" t="str">
        <f t="shared" si="48"/>
        <v/>
      </c>
      <c r="H525" s="559" t="str">
        <f t="shared" si="49"/>
        <v/>
      </c>
      <c r="I525" s="559" t="str">
        <f t="shared" si="50"/>
        <v/>
      </c>
    </row>
    <row r="526" spans="2:9">
      <c r="B526" s="555" t="str">
        <f t="shared" si="45"/>
        <v/>
      </c>
      <c r="C526" s="556" t="str">
        <f t="shared" si="46"/>
        <v/>
      </c>
      <c r="D526" s="557" t="str">
        <f t="shared" si="47"/>
        <v/>
      </c>
      <c r="E526" s="560"/>
      <c r="F526" s="559"/>
      <c r="G526" s="559" t="str">
        <f t="shared" si="48"/>
        <v/>
      </c>
      <c r="H526" s="559" t="str">
        <f t="shared" si="49"/>
        <v/>
      </c>
      <c r="I526" s="559" t="str">
        <f t="shared" si="50"/>
        <v/>
      </c>
    </row>
    <row r="527" spans="2:9">
      <c r="B527" s="555" t="str">
        <f t="shared" si="45"/>
        <v/>
      </c>
      <c r="C527" s="556" t="str">
        <f t="shared" si="46"/>
        <v/>
      </c>
      <c r="D527" s="557" t="str">
        <f t="shared" si="47"/>
        <v/>
      </c>
      <c r="E527" s="560"/>
      <c r="F527" s="559"/>
      <c r="G527" s="559" t="str">
        <f t="shared" si="48"/>
        <v/>
      </c>
      <c r="H527" s="559" t="str">
        <f t="shared" si="49"/>
        <v/>
      </c>
      <c r="I527" s="559" t="str">
        <f t="shared" si="50"/>
        <v/>
      </c>
    </row>
    <row r="528" spans="2:9">
      <c r="B528" s="555" t="str">
        <f t="shared" si="45"/>
        <v/>
      </c>
      <c r="C528" s="556" t="str">
        <f t="shared" si="46"/>
        <v/>
      </c>
      <c r="D528" s="557" t="str">
        <f t="shared" si="47"/>
        <v/>
      </c>
      <c r="E528" s="560"/>
      <c r="F528" s="559"/>
      <c r="G528" s="559" t="str">
        <f t="shared" si="48"/>
        <v/>
      </c>
      <c r="H528" s="559" t="str">
        <f t="shared" si="49"/>
        <v/>
      </c>
      <c r="I528" s="559" t="str">
        <f t="shared" si="50"/>
        <v/>
      </c>
    </row>
    <row r="529" spans="2:9">
      <c r="B529" s="555" t="str">
        <f t="shared" si="45"/>
        <v/>
      </c>
      <c r="C529" s="556" t="str">
        <f t="shared" si="46"/>
        <v/>
      </c>
      <c r="D529" s="557" t="str">
        <f t="shared" si="47"/>
        <v/>
      </c>
      <c r="E529" s="560"/>
      <c r="F529" s="559"/>
      <c r="G529" s="559" t="str">
        <f t="shared" si="48"/>
        <v/>
      </c>
      <c r="H529" s="559" t="str">
        <f t="shared" si="49"/>
        <v/>
      </c>
      <c r="I529" s="559" t="str">
        <f t="shared" si="50"/>
        <v/>
      </c>
    </row>
    <row r="530" spans="2:9">
      <c r="B530" s="555" t="str">
        <f t="shared" si="45"/>
        <v/>
      </c>
      <c r="C530" s="556" t="str">
        <f t="shared" si="46"/>
        <v/>
      </c>
      <c r="D530" s="557" t="str">
        <f t="shared" si="47"/>
        <v/>
      </c>
      <c r="E530" s="560"/>
      <c r="F530" s="559"/>
      <c r="G530" s="559" t="str">
        <f t="shared" si="48"/>
        <v/>
      </c>
      <c r="H530" s="559" t="str">
        <f t="shared" si="49"/>
        <v/>
      </c>
      <c r="I530" s="559" t="str">
        <f t="shared" si="50"/>
        <v/>
      </c>
    </row>
    <row r="531" spans="2:9">
      <c r="B531" s="555" t="str">
        <f t="shared" si="45"/>
        <v/>
      </c>
      <c r="C531" s="556" t="str">
        <f t="shared" si="46"/>
        <v/>
      </c>
      <c r="D531" s="557" t="str">
        <f t="shared" si="47"/>
        <v/>
      </c>
      <c r="E531" s="560"/>
      <c r="F531" s="559"/>
      <c r="G531" s="559" t="str">
        <f t="shared" si="48"/>
        <v/>
      </c>
      <c r="H531" s="559" t="str">
        <f t="shared" si="49"/>
        <v/>
      </c>
      <c r="I531" s="559" t="str">
        <f t="shared" si="50"/>
        <v/>
      </c>
    </row>
    <row r="532" spans="2:9">
      <c r="B532" s="555" t="str">
        <f t="shared" si="45"/>
        <v/>
      </c>
      <c r="C532" s="556" t="str">
        <f t="shared" si="46"/>
        <v/>
      </c>
      <c r="D532" s="557" t="str">
        <f t="shared" si="47"/>
        <v/>
      </c>
      <c r="E532" s="560"/>
      <c r="F532" s="559"/>
      <c r="G532" s="559" t="str">
        <f t="shared" si="48"/>
        <v/>
      </c>
      <c r="H532" s="559" t="str">
        <f t="shared" si="49"/>
        <v/>
      </c>
      <c r="I532" s="559" t="str">
        <f t="shared" si="50"/>
        <v/>
      </c>
    </row>
    <row r="533" spans="2:9">
      <c r="B533" s="555" t="str">
        <f t="shared" si="45"/>
        <v/>
      </c>
      <c r="C533" s="556" t="str">
        <f t="shared" si="46"/>
        <v/>
      </c>
      <c r="D533" s="557" t="str">
        <f t="shared" si="47"/>
        <v/>
      </c>
      <c r="E533" s="560"/>
      <c r="F533" s="559"/>
      <c r="G533" s="559" t="str">
        <f t="shared" si="48"/>
        <v/>
      </c>
      <c r="H533" s="559" t="str">
        <f t="shared" si="49"/>
        <v/>
      </c>
      <c r="I533" s="559" t="str">
        <f t="shared" si="50"/>
        <v/>
      </c>
    </row>
    <row r="534" spans="2:9">
      <c r="B534" s="555" t="str">
        <f t="shared" si="45"/>
        <v/>
      </c>
      <c r="C534" s="556" t="str">
        <f t="shared" si="46"/>
        <v/>
      </c>
      <c r="D534" s="557" t="str">
        <f t="shared" si="47"/>
        <v/>
      </c>
      <c r="E534" s="560"/>
      <c r="F534" s="559"/>
      <c r="G534" s="559" t="str">
        <f t="shared" si="48"/>
        <v/>
      </c>
      <c r="H534" s="559" t="str">
        <f t="shared" si="49"/>
        <v/>
      </c>
      <c r="I534" s="559" t="str">
        <f t="shared" si="50"/>
        <v/>
      </c>
    </row>
    <row r="535" spans="2:9">
      <c r="B535" s="555" t="str">
        <f t="shared" si="45"/>
        <v/>
      </c>
      <c r="C535" s="556" t="str">
        <f t="shared" si="46"/>
        <v/>
      </c>
      <c r="D535" s="557" t="str">
        <f t="shared" si="47"/>
        <v/>
      </c>
      <c r="E535" s="560"/>
      <c r="F535" s="559"/>
      <c r="G535" s="559" t="str">
        <f t="shared" si="48"/>
        <v/>
      </c>
      <c r="H535" s="559" t="str">
        <f t="shared" si="49"/>
        <v/>
      </c>
      <c r="I535" s="559" t="str">
        <f t="shared" si="50"/>
        <v/>
      </c>
    </row>
    <row r="536" spans="2:9">
      <c r="B536" s="555" t="str">
        <f t="shared" si="45"/>
        <v/>
      </c>
      <c r="C536" s="556" t="str">
        <f t="shared" si="46"/>
        <v/>
      </c>
      <c r="D536" s="557" t="str">
        <f t="shared" si="47"/>
        <v/>
      </c>
      <c r="E536" s="560"/>
      <c r="F536" s="559"/>
      <c r="G536" s="559" t="str">
        <f t="shared" si="48"/>
        <v/>
      </c>
      <c r="H536" s="559" t="str">
        <f t="shared" si="49"/>
        <v/>
      </c>
      <c r="I536" s="559" t="str">
        <f t="shared" si="50"/>
        <v/>
      </c>
    </row>
    <row r="537" spans="2:9">
      <c r="B537" s="555" t="str">
        <f t="shared" si="45"/>
        <v/>
      </c>
      <c r="C537" s="556" t="str">
        <f t="shared" si="46"/>
        <v/>
      </c>
      <c r="D537" s="557" t="str">
        <f t="shared" si="47"/>
        <v/>
      </c>
      <c r="E537" s="560"/>
      <c r="F537" s="559"/>
      <c r="G537" s="559" t="str">
        <f t="shared" si="48"/>
        <v/>
      </c>
      <c r="H537" s="559" t="str">
        <f t="shared" si="49"/>
        <v/>
      </c>
      <c r="I537" s="559" t="str">
        <f t="shared" si="50"/>
        <v/>
      </c>
    </row>
    <row r="538" spans="2:9">
      <c r="B538" s="555" t="str">
        <f t="shared" si="45"/>
        <v/>
      </c>
      <c r="C538" s="556" t="str">
        <f t="shared" si="46"/>
        <v/>
      </c>
      <c r="D538" s="557" t="str">
        <f t="shared" si="47"/>
        <v/>
      </c>
      <c r="E538" s="560"/>
      <c r="F538" s="559"/>
      <c r="G538" s="559" t="str">
        <f t="shared" si="48"/>
        <v/>
      </c>
      <c r="H538" s="559" t="str">
        <f t="shared" si="49"/>
        <v/>
      </c>
      <c r="I538" s="559" t="str">
        <f t="shared" si="50"/>
        <v/>
      </c>
    </row>
    <row r="539" spans="2:9">
      <c r="B539" s="555" t="str">
        <f t="shared" si="45"/>
        <v/>
      </c>
      <c r="C539" s="556" t="str">
        <f t="shared" si="46"/>
        <v/>
      </c>
      <c r="D539" s="557" t="str">
        <f t="shared" si="47"/>
        <v/>
      </c>
      <c r="E539" s="560"/>
      <c r="F539" s="559"/>
      <c r="G539" s="559" t="str">
        <f t="shared" si="48"/>
        <v/>
      </c>
      <c r="H539" s="559" t="str">
        <f t="shared" si="49"/>
        <v/>
      </c>
      <c r="I539" s="559" t="str">
        <f t="shared" si="50"/>
        <v/>
      </c>
    </row>
    <row r="540" spans="2:9">
      <c r="B540" s="555" t="str">
        <f t="shared" si="45"/>
        <v/>
      </c>
      <c r="C540" s="556" t="str">
        <f t="shared" si="46"/>
        <v/>
      </c>
      <c r="D540" s="557" t="str">
        <f t="shared" si="47"/>
        <v/>
      </c>
      <c r="E540" s="560"/>
      <c r="F540" s="559"/>
      <c r="G540" s="559" t="str">
        <f t="shared" si="48"/>
        <v/>
      </c>
      <c r="H540" s="559" t="str">
        <f t="shared" si="49"/>
        <v/>
      </c>
      <c r="I540" s="559" t="str">
        <f t="shared" si="50"/>
        <v/>
      </c>
    </row>
    <row r="541" spans="2:9">
      <c r="B541" s="555" t="str">
        <f t="shared" si="45"/>
        <v/>
      </c>
      <c r="C541" s="556" t="str">
        <f t="shared" si="46"/>
        <v/>
      </c>
      <c r="D541" s="557" t="str">
        <f t="shared" si="47"/>
        <v/>
      </c>
      <c r="E541" s="560"/>
      <c r="F541" s="559"/>
      <c r="G541" s="559" t="str">
        <f t="shared" si="48"/>
        <v/>
      </c>
      <c r="H541" s="559" t="str">
        <f t="shared" si="49"/>
        <v/>
      </c>
      <c r="I541" s="559" t="str">
        <f t="shared" si="50"/>
        <v/>
      </c>
    </row>
    <row r="542" spans="2:9">
      <c r="B542" s="555" t="str">
        <f t="shared" si="45"/>
        <v/>
      </c>
      <c r="C542" s="556" t="str">
        <f t="shared" si="46"/>
        <v/>
      </c>
      <c r="D542" s="557" t="str">
        <f t="shared" si="47"/>
        <v/>
      </c>
      <c r="E542" s="560"/>
      <c r="F542" s="559"/>
      <c r="G542" s="559" t="str">
        <f t="shared" si="48"/>
        <v/>
      </c>
      <c r="H542" s="559" t="str">
        <f t="shared" si="49"/>
        <v/>
      </c>
      <c r="I542" s="559" t="str">
        <f t="shared" si="50"/>
        <v/>
      </c>
    </row>
    <row r="543" spans="2:9">
      <c r="B543" s="555" t="str">
        <f t="shared" si="45"/>
        <v/>
      </c>
      <c r="C543" s="556" t="str">
        <f t="shared" si="46"/>
        <v/>
      </c>
      <c r="D543" s="557" t="str">
        <f t="shared" si="47"/>
        <v/>
      </c>
      <c r="E543" s="560"/>
      <c r="F543" s="559"/>
      <c r="G543" s="559" t="str">
        <f t="shared" si="48"/>
        <v/>
      </c>
      <c r="H543" s="559" t="str">
        <f t="shared" si="49"/>
        <v/>
      </c>
      <c r="I543" s="559" t="str">
        <f t="shared" si="50"/>
        <v/>
      </c>
    </row>
    <row r="544" spans="2:9">
      <c r="B544" s="555" t="str">
        <f t="shared" si="45"/>
        <v/>
      </c>
      <c r="C544" s="556" t="str">
        <f t="shared" si="46"/>
        <v/>
      </c>
      <c r="D544" s="557" t="str">
        <f t="shared" si="47"/>
        <v/>
      </c>
      <c r="E544" s="560"/>
      <c r="F544" s="559"/>
      <c r="G544" s="559" t="str">
        <f t="shared" si="48"/>
        <v/>
      </c>
      <c r="H544" s="559" t="str">
        <f t="shared" si="49"/>
        <v/>
      </c>
      <c r="I544" s="559" t="str">
        <f t="shared" si="50"/>
        <v/>
      </c>
    </row>
    <row r="545" spans="2:9">
      <c r="B545" s="555" t="str">
        <f t="shared" si="45"/>
        <v/>
      </c>
      <c r="C545" s="556" t="str">
        <f t="shared" si="46"/>
        <v/>
      </c>
      <c r="D545" s="557" t="str">
        <f t="shared" si="47"/>
        <v/>
      </c>
      <c r="E545" s="560"/>
      <c r="F545" s="559"/>
      <c r="G545" s="559" t="str">
        <f t="shared" si="48"/>
        <v/>
      </c>
      <c r="H545" s="559" t="str">
        <f t="shared" si="49"/>
        <v/>
      </c>
      <c r="I545" s="559" t="str">
        <f t="shared" si="50"/>
        <v/>
      </c>
    </row>
    <row r="546" spans="2:9">
      <c r="B546" s="555" t="str">
        <f t="shared" si="45"/>
        <v/>
      </c>
      <c r="C546" s="556" t="str">
        <f t="shared" si="46"/>
        <v/>
      </c>
      <c r="D546" s="557" t="str">
        <f t="shared" si="47"/>
        <v/>
      </c>
      <c r="E546" s="560"/>
      <c r="F546" s="559"/>
      <c r="G546" s="559" t="str">
        <f t="shared" si="48"/>
        <v/>
      </c>
      <c r="H546" s="559" t="str">
        <f t="shared" si="49"/>
        <v/>
      </c>
      <c r="I546" s="559" t="str">
        <f t="shared" si="50"/>
        <v/>
      </c>
    </row>
    <row r="547" spans="2:9">
      <c r="B547" s="555" t="str">
        <f t="shared" si="45"/>
        <v/>
      </c>
      <c r="C547" s="556" t="str">
        <f t="shared" si="46"/>
        <v/>
      </c>
      <c r="D547" s="557" t="str">
        <f t="shared" si="47"/>
        <v/>
      </c>
      <c r="E547" s="560"/>
      <c r="F547" s="559"/>
      <c r="G547" s="559" t="str">
        <f t="shared" si="48"/>
        <v/>
      </c>
      <c r="H547" s="559" t="str">
        <f t="shared" si="49"/>
        <v/>
      </c>
      <c r="I547" s="559" t="str">
        <f t="shared" si="50"/>
        <v/>
      </c>
    </row>
    <row r="548" spans="2:9">
      <c r="B548" s="555" t="str">
        <f t="shared" si="45"/>
        <v/>
      </c>
      <c r="C548" s="556" t="str">
        <f t="shared" si="46"/>
        <v/>
      </c>
      <c r="D548" s="557" t="str">
        <f t="shared" si="47"/>
        <v/>
      </c>
      <c r="E548" s="560"/>
      <c r="F548" s="559"/>
      <c r="G548" s="559" t="str">
        <f t="shared" si="48"/>
        <v/>
      </c>
      <c r="H548" s="559" t="str">
        <f t="shared" si="49"/>
        <v/>
      </c>
      <c r="I548" s="559" t="str">
        <f t="shared" si="50"/>
        <v/>
      </c>
    </row>
    <row r="549" spans="2:9">
      <c r="B549" s="555" t="str">
        <f t="shared" si="45"/>
        <v/>
      </c>
      <c r="C549" s="556" t="str">
        <f t="shared" si="46"/>
        <v/>
      </c>
      <c r="D549" s="557" t="str">
        <f t="shared" si="47"/>
        <v/>
      </c>
      <c r="E549" s="560"/>
      <c r="F549" s="559"/>
      <c r="G549" s="559" t="str">
        <f t="shared" si="48"/>
        <v/>
      </c>
      <c r="H549" s="559" t="str">
        <f t="shared" si="49"/>
        <v/>
      </c>
      <c r="I549" s="559" t="str">
        <f t="shared" si="50"/>
        <v/>
      </c>
    </row>
    <row r="550" spans="2:9">
      <c r="B550" s="555" t="str">
        <f t="shared" si="45"/>
        <v/>
      </c>
      <c r="C550" s="556" t="str">
        <f t="shared" si="46"/>
        <v/>
      </c>
      <c r="D550" s="557" t="str">
        <f t="shared" si="47"/>
        <v/>
      </c>
      <c r="E550" s="560"/>
      <c r="F550" s="559"/>
      <c r="G550" s="559" t="str">
        <f t="shared" si="48"/>
        <v/>
      </c>
      <c r="H550" s="559" t="str">
        <f t="shared" si="49"/>
        <v/>
      </c>
      <c r="I550" s="559" t="str">
        <f t="shared" si="50"/>
        <v/>
      </c>
    </row>
    <row r="551" spans="2:9">
      <c r="B551" s="555" t="str">
        <f t="shared" si="45"/>
        <v/>
      </c>
      <c r="C551" s="556" t="str">
        <f t="shared" si="46"/>
        <v/>
      </c>
      <c r="D551" s="557" t="str">
        <f t="shared" si="47"/>
        <v/>
      </c>
      <c r="E551" s="560"/>
      <c r="F551" s="559"/>
      <c r="G551" s="559" t="str">
        <f t="shared" si="48"/>
        <v/>
      </c>
      <c r="H551" s="559" t="str">
        <f t="shared" si="49"/>
        <v/>
      </c>
      <c r="I551" s="559" t="str">
        <f t="shared" si="50"/>
        <v/>
      </c>
    </row>
    <row r="552" spans="2:9">
      <c r="B552" s="555" t="str">
        <f t="shared" si="45"/>
        <v/>
      </c>
      <c r="C552" s="556" t="str">
        <f t="shared" si="46"/>
        <v/>
      </c>
      <c r="D552" s="557" t="str">
        <f t="shared" si="47"/>
        <v/>
      </c>
      <c r="E552" s="560"/>
      <c r="F552" s="559"/>
      <c r="G552" s="559" t="str">
        <f t="shared" si="48"/>
        <v/>
      </c>
      <c r="H552" s="559" t="str">
        <f t="shared" si="49"/>
        <v/>
      </c>
      <c r="I552" s="559" t="str">
        <f t="shared" si="50"/>
        <v/>
      </c>
    </row>
    <row r="553" spans="2:9">
      <c r="B553" s="555" t="str">
        <f t="shared" si="45"/>
        <v/>
      </c>
      <c r="C553" s="556" t="str">
        <f t="shared" si="46"/>
        <v/>
      </c>
      <c r="D553" s="557" t="str">
        <f t="shared" si="47"/>
        <v/>
      </c>
      <c r="E553" s="560"/>
      <c r="F553" s="559"/>
      <c r="G553" s="559" t="str">
        <f t="shared" si="48"/>
        <v/>
      </c>
      <c r="H553" s="559" t="str">
        <f t="shared" si="49"/>
        <v/>
      </c>
      <c r="I553" s="559" t="str">
        <f t="shared" si="50"/>
        <v/>
      </c>
    </row>
    <row r="554" spans="2:9">
      <c r="B554" s="555" t="str">
        <f t="shared" si="45"/>
        <v/>
      </c>
      <c r="C554" s="556" t="str">
        <f t="shared" si="46"/>
        <v/>
      </c>
      <c r="D554" s="557" t="str">
        <f t="shared" si="47"/>
        <v/>
      </c>
      <c r="E554" s="560"/>
      <c r="F554" s="559"/>
      <c r="G554" s="559" t="str">
        <f t="shared" si="48"/>
        <v/>
      </c>
      <c r="H554" s="559" t="str">
        <f t="shared" si="49"/>
        <v/>
      </c>
      <c r="I554" s="559" t="str">
        <f t="shared" si="50"/>
        <v/>
      </c>
    </row>
    <row r="555" spans="2:9">
      <c r="B555" s="555" t="str">
        <f t="shared" si="45"/>
        <v/>
      </c>
      <c r="C555" s="556" t="str">
        <f t="shared" si="46"/>
        <v/>
      </c>
      <c r="D555" s="557" t="str">
        <f t="shared" si="47"/>
        <v/>
      </c>
      <c r="E555" s="560"/>
      <c r="F555" s="559"/>
      <c r="G555" s="559" t="str">
        <f t="shared" si="48"/>
        <v/>
      </c>
      <c r="H555" s="559" t="str">
        <f t="shared" si="49"/>
        <v/>
      </c>
      <c r="I555" s="559" t="str">
        <f t="shared" si="50"/>
        <v/>
      </c>
    </row>
    <row r="556" spans="2:9">
      <c r="B556" s="555" t="str">
        <f t="shared" si="45"/>
        <v/>
      </c>
      <c r="C556" s="556" t="str">
        <f t="shared" si="46"/>
        <v/>
      </c>
      <c r="D556" s="557" t="str">
        <f t="shared" si="47"/>
        <v/>
      </c>
      <c r="E556" s="560"/>
      <c r="F556" s="559"/>
      <c r="G556" s="559" t="str">
        <f t="shared" si="48"/>
        <v/>
      </c>
      <c r="H556" s="559" t="str">
        <f t="shared" si="49"/>
        <v/>
      </c>
      <c r="I556" s="559" t="str">
        <f t="shared" si="50"/>
        <v/>
      </c>
    </row>
    <row r="557" spans="2:9">
      <c r="B557" s="555" t="str">
        <f t="shared" si="45"/>
        <v/>
      </c>
      <c r="C557" s="556" t="str">
        <f t="shared" si="46"/>
        <v/>
      </c>
      <c r="D557" s="557" t="str">
        <f t="shared" si="47"/>
        <v/>
      </c>
      <c r="E557" s="560"/>
      <c r="F557" s="559"/>
      <c r="G557" s="559" t="str">
        <f t="shared" si="48"/>
        <v/>
      </c>
      <c r="H557" s="559" t="str">
        <f t="shared" si="49"/>
        <v/>
      </c>
      <c r="I557" s="559" t="str">
        <f t="shared" si="50"/>
        <v/>
      </c>
    </row>
    <row r="558" spans="2:9">
      <c r="B558" s="555" t="str">
        <f t="shared" si="45"/>
        <v/>
      </c>
      <c r="C558" s="556" t="str">
        <f t="shared" si="46"/>
        <v/>
      </c>
      <c r="D558" s="557" t="str">
        <f t="shared" si="47"/>
        <v/>
      </c>
      <c r="E558" s="560"/>
      <c r="F558" s="559"/>
      <c r="G558" s="559" t="str">
        <f t="shared" si="48"/>
        <v/>
      </c>
      <c r="H558" s="559" t="str">
        <f t="shared" si="49"/>
        <v/>
      </c>
      <c r="I558" s="559" t="str">
        <f t="shared" si="50"/>
        <v/>
      </c>
    </row>
    <row r="559" spans="2:9">
      <c r="B559" s="555" t="str">
        <f t="shared" si="45"/>
        <v/>
      </c>
      <c r="C559" s="556" t="str">
        <f t="shared" si="46"/>
        <v/>
      </c>
      <c r="D559" s="557" t="str">
        <f t="shared" si="47"/>
        <v/>
      </c>
      <c r="E559" s="560"/>
      <c r="F559" s="559"/>
      <c r="G559" s="559" t="str">
        <f t="shared" si="48"/>
        <v/>
      </c>
      <c r="H559" s="559" t="str">
        <f t="shared" si="49"/>
        <v/>
      </c>
      <c r="I559" s="559" t="str">
        <f t="shared" si="50"/>
        <v/>
      </c>
    </row>
    <row r="560" spans="2:9">
      <c r="B560" s="555" t="str">
        <f t="shared" si="45"/>
        <v/>
      </c>
      <c r="C560" s="556" t="str">
        <f t="shared" si="46"/>
        <v/>
      </c>
      <c r="D560" s="557" t="str">
        <f t="shared" si="47"/>
        <v/>
      </c>
      <c r="E560" s="560"/>
      <c r="F560" s="559"/>
      <c r="G560" s="559" t="str">
        <f t="shared" si="48"/>
        <v/>
      </c>
      <c r="H560" s="559" t="str">
        <f t="shared" si="49"/>
        <v/>
      </c>
      <c r="I560" s="559" t="str">
        <f t="shared" si="50"/>
        <v/>
      </c>
    </row>
    <row r="561" spans="2:9">
      <c r="B561" s="555" t="str">
        <f t="shared" si="45"/>
        <v/>
      </c>
      <c r="C561" s="556" t="str">
        <f t="shared" si="46"/>
        <v/>
      </c>
      <c r="D561" s="557" t="str">
        <f t="shared" si="47"/>
        <v/>
      </c>
      <c r="E561" s="560"/>
      <c r="F561" s="559"/>
      <c r="G561" s="559" t="str">
        <f t="shared" si="48"/>
        <v/>
      </c>
      <c r="H561" s="559" t="str">
        <f t="shared" si="49"/>
        <v/>
      </c>
      <c r="I561" s="559" t="str">
        <f t="shared" si="50"/>
        <v/>
      </c>
    </row>
    <row r="562" spans="2:9">
      <c r="B562" s="555" t="str">
        <f t="shared" si="45"/>
        <v/>
      </c>
      <c r="C562" s="556" t="str">
        <f t="shared" si="46"/>
        <v/>
      </c>
      <c r="D562" s="557" t="str">
        <f t="shared" si="47"/>
        <v/>
      </c>
      <c r="E562" s="560"/>
      <c r="F562" s="559"/>
      <c r="G562" s="559" t="str">
        <f t="shared" si="48"/>
        <v/>
      </c>
      <c r="H562" s="559" t="str">
        <f t="shared" si="49"/>
        <v/>
      </c>
      <c r="I562" s="559" t="str">
        <f t="shared" si="50"/>
        <v/>
      </c>
    </row>
    <row r="563" spans="2:9">
      <c r="B563" s="555" t="str">
        <f t="shared" si="45"/>
        <v/>
      </c>
      <c r="C563" s="556" t="str">
        <f t="shared" si="46"/>
        <v/>
      </c>
      <c r="D563" s="557" t="str">
        <f t="shared" si="47"/>
        <v/>
      </c>
      <c r="E563" s="560"/>
      <c r="F563" s="559"/>
      <c r="G563" s="559" t="str">
        <f t="shared" si="48"/>
        <v/>
      </c>
      <c r="H563" s="559" t="str">
        <f t="shared" si="49"/>
        <v/>
      </c>
      <c r="I563" s="559" t="str">
        <f t="shared" si="50"/>
        <v/>
      </c>
    </row>
    <row r="564" spans="2:9">
      <c r="B564" s="555" t="str">
        <f t="shared" si="45"/>
        <v/>
      </c>
      <c r="C564" s="556" t="str">
        <f t="shared" si="46"/>
        <v/>
      </c>
      <c r="D564" s="557" t="str">
        <f t="shared" si="47"/>
        <v/>
      </c>
      <c r="E564" s="560"/>
      <c r="F564" s="559"/>
      <c r="G564" s="559" t="str">
        <f t="shared" si="48"/>
        <v/>
      </c>
      <c r="H564" s="559" t="str">
        <f t="shared" si="49"/>
        <v/>
      </c>
      <c r="I564" s="559" t="str">
        <f t="shared" si="50"/>
        <v/>
      </c>
    </row>
    <row r="565" spans="2:9">
      <c r="B565" s="555" t="str">
        <f t="shared" si="45"/>
        <v/>
      </c>
      <c r="C565" s="556" t="str">
        <f t="shared" si="46"/>
        <v/>
      </c>
      <c r="D565" s="557" t="str">
        <f t="shared" si="47"/>
        <v/>
      </c>
      <c r="E565" s="560"/>
      <c r="F565" s="559"/>
      <c r="G565" s="559" t="str">
        <f t="shared" si="48"/>
        <v/>
      </c>
      <c r="H565" s="559" t="str">
        <f t="shared" si="49"/>
        <v/>
      </c>
      <c r="I565" s="559" t="str">
        <f t="shared" si="50"/>
        <v/>
      </c>
    </row>
    <row r="566" spans="2:9">
      <c r="B566" s="555" t="str">
        <f t="shared" si="45"/>
        <v/>
      </c>
      <c r="C566" s="556" t="str">
        <f t="shared" si="46"/>
        <v/>
      </c>
      <c r="D566" s="557" t="str">
        <f t="shared" si="47"/>
        <v/>
      </c>
      <c r="E566" s="560"/>
      <c r="F566" s="559"/>
      <c r="G566" s="559" t="str">
        <f t="shared" si="48"/>
        <v/>
      </c>
      <c r="H566" s="559" t="str">
        <f t="shared" si="49"/>
        <v/>
      </c>
      <c r="I566" s="559" t="str">
        <f t="shared" si="50"/>
        <v/>
      </c>
    </row>
    <row r="567" spans="2:9">
      <c r="B567" s="555" t="str">
        <f t="shared" si="45"/>
        <v/>
      </c>
      <c r="C567" s="556" t="str">
        <f t="shared" si="46"/>
        <v/>
      </c>
      <c r="D567" s="557" t="str">
        <f t="shared" si="47"/>
        <v/>
      </c>
      <c r="E567" s="560"/>
      <c r="F567" s="559"/>
      <c r="G567" s="559" t="str">
        <f t="shared" si="48"/>
        <v/>
      </c>
      <c r="H567" s="559" t="str">
        <f t="shared" si="49"/>
        <v/>
      </c>
      <c r="I567" s="559" t="str">
        <f t="shared" si="50"/>
        <v/>
      </c>
    </row>
    <row r="568" spans="2:9">
      <c r="B568" s="555" t="str">
        <f t="shared" si="45"/>
        <v/>
      </c>
      <c r="C568" s="556" t="str">
        <f t="shared" si="46"/>
        <v/>
      </c>
      <c r="D568" s="557" t="str">
        <f t="shared" si="47"/>
        <v/>
      </c>
      <c r="E568" s="560"/>
      <c r="F568" s="559"/>
      <c r="G568" s="559" t="str">
        <f t="shared" si="48"/>
        <v/>
      </c>
      <c r="H568" s="559" t="str">
        <f t="shared" si="49"/>
        <v/>
      </c>
      <c r="I568" s="559" t="str">
        <f t="shared" si="50"/>
        <v/>
      </c>
    </row>
    <row r="569" spans="2:9">
      <c r="B569" s="555" t="str">
        <f t="shared" si="45"/>
        <v/>
      </c>
      <c r="C569" s="556" t="str">
        <f t="shared" si="46"/>
        <v/>
      </c>
      <c r="D569" s="557" t="str">
        <f t="shared" si="47"/>
        <v/>
      </c>
      <c r="E569" s="560"/>
      <c r="F569" s="559"/>
      <c r="G569" s="559" t="str">
        <f t="shared" si="48"/>
        <v/>
      </c>
      <c r="H569" s="559" t="str">
        <f t="shared" si="49"/>
        <v/>
      </c>
      <c r="I569" s="559" t="str">
        <f t="shared" si="50"/>
        <v/>
      </c>
    </row>
    <row r="570" spans="2:9">
      <c r="B570" s="555" t="str">
        <f t="shared" si="45"/>
        <v/>
      </c>
      <c r="C570" s="556" t="str">
        <f t="shared" si="46"/>
        <v/>
      </c>
      <c r="D570" s="557" t="str">
        <f t="shared" si="47"/>
        <v/>
      </c>
      <c r="E570" s="560"/>
      <c r="F570" s="559"/>
      <c r="G570" s="559" t="str">
        <f t="shared" si="48"/>
        <v/>
      </c>
      <c r="H570" s="559" t="str">
        <f t="shared" si="49"/>
        <v/>
      </c>
      <c r="I570" s="559" t="str">
        <f t="shared" si="50"/>
        <v/>
      </c>
    </row>
    <row r="571" spans="2:9">
      <c r="B571" s="555" t="str">
        <f t="shared" si="45"/>
        <v/>
      </c>
      <c r="C571" s="556" t="str">
        <f t="shared" si="46"/>
        <v/>
      </c>
      <c r="D571" s="557" t="str">
        <f t="shared" si="47"/>
        <v/>
      </c>
      <c r="E571" s="560"/>
      <c r="F571" s="559"/>
      <c r="G571" s="559" t="str">
        <f t="shared" si="48"/>
        <v/>
      </c>
      <c r="H571" s="559" t="str">
        <f t="shared" si="49"/>
        <v/>
      </c>
      <c r="I571" s="559" t="str">
        <f t="shared" si="50"/>
        <v/>
      </c>
    </row>
    <row r="572" spans="2:9">
      <c r="B572" s="555" t="str">
        <f t="shared" si="45"/>
        <v/>
      </c>
      <c r="C572" s="556" t="str">
        <f t="shared" si="46"/>
        <v/>
      </c>
      <c r="D572" s="557" t="str">
        <f t="shared" si="47"/>
        <v/>
      </c>
      <c r="E572" s="560"/>
      <c r="F572" s="559"/>
      <c r="G572" s="559" t="str">
        <f t="shared" si="48"/>
        <v/>
      </c>
      <c r="H572" s="559" t="str">
        <f t="shared" si="49"/>
        <v/>
      </c>
      <c r="I572" s="559" t="str">
        <f t="shared" si="50"/>
        <v/>
      </c>
    </row>
    <row r="573" spans="2:9">
      <c r="B573" s="555" t="str">
        <f t="shared" ref="B573:B636" si="51">IF(I572="","",IF(roundOpt,IF(OR(B572&gt;=nper,ROUND(I572,2)&lt;=0),"",B572+1),IF(OR(B572&gt;=nper,I572&lt;=0),"",B572+1)))</f>
        <v/>
      </c>
      <c r="C573" s="556" t="str">
        <f t="shared" ref="C573:C636" si="52">IF(B573="","",IF(OR(periods_per_year=26,periods_per_year=52),IF(periods_per_year=26,IF(B573=1,fpdate,C572+14),IF(periods_per_year=52,IF(B573=1,fpdate,C572+7),"n/a")),IF(periods_per_year=24,DATE(YEAR(fpdate),MONTH(fpdate)+(B573-1)/2+IF(AND(DAY(fpdate)&gt;=15,MOD(B573,2)=0),1,0),IF(MOD(B573,2)=0,IF(DAY(fpdate)&gt;=15,DAY(fpdate)-14,DAY(fpdate)+14),DAY(fpdate))),IF(DAY(DATE(YEAR(fpdate),MONTH(fpdate)+(B573-1)*months_per_period,DAY(fpdate)))&lt;&gt;DAY(fpdate),DATE(YEAR(fpdate),MONTH(fpdate)+(B573-1)*months_per_period+1,0),DATE(YEAR(fpdate),MONTH(fpdate)+(B573-1)*months_per_period,DAY(fpdate))))))</f>
        <v/>
      </c>
      <c r="D573" s="557" t="str">
        <f t="shared" ref="D573:D636" si="53">IF(B573="","",IF(roundOpt,IF(OR(B573=nper,payment&gt;ROUND((1+rate)*I572,2)),ROUND((1+rate)*I572,2),payment),IF(OR(B573=nper,payment&gt;(1+rate)*I572),(1+rate)*I572,payment)))</f>
        <v/>
      </c>
      <c r="E573" s="560"/>
      <c r="F573" s="559"/>
      <c r="G573" s="559" t="str">
        <f t="shared" ref="G573:G636" si="54">IF(B573="","",IF(AND(B573=1,pmtType=1),0,IF(roundOpt,ROUND(rate*I572,2),rate*I572)))</f>
        <v/>
      </c>
      <c r="H573" s="559" t="str">
        <f t="shared" ref="H573:H636" si="55">IF(B573="","",D573-G573+E573)</f>
        <v/>
      </c>
      <c r="I573" s="559" t="str">
        <f t="shared" ref="I573:I636" si="56">IF(B573="","",I572-H573)</f>
        <v/>
      </c>
    </row>
    <row r="574" spans="2:9">
      <c r="B574" s="555" t="str">
        <f t="shared" si="51"/>
        <v/>
      </c>
      <c r="C574" s="556" t="str">
        <f t="shared" si="52"/>
        <v/>
      </c>
      <c r="D574" s="557" t="str">
        <f t="shared" si="53"/>
        <v/>
      </c>
      <c r="E574" s="560"/>
      <c r="F574" s="559"/>
      <c r="G574" s="559" t="str">
        <f t="shared" si="54"/>
        <v/>
      </c>
      <c r="H574" s="559" t="str">
        <f t="shared" si="55"/>
        <v/>
      </c>
      <c r="I574" s="559" t="str">
        <f t="shared" si="56"/>
        <v/>
      </c>
    </row>
    <row r="575" spans="2:9">
      <c r="B575" s="555" t="str">
        <f t="shared" si="51"/>
        <v/>
      </c>
      <c r="C575" s="556" t="str">
        <f t="shared" si="52"/>
        <v/>
      </c>
      <c r="D575" s="557" t="str">
        <f t="shared" si="53"/>
        <v/>
      </c>
      <c r="E575" s="560"/>
      <c r="F575" s="559"/>
      <c r="G575" s="559" t="str">
        <f t="shared" si="54"/>
        <v/>
      </c>
      <c r="H575" s="559" t="str">
        <f t="shared" si="55"/>
        <v/>
      </c>
      <c r="I575" s="559" t="str">
        <f t="shared" si="56"/>
        <v/>
      </c>
    </row>
    <row r="576" spans="2:9">
      <c r="B576" s="555" t="str">
        <f t="shared" si="51"/>
        <v/>
      </c>
      <c r="C576" s="556" t="str">
        <f t="shared" si="52"/>
        <v/>
      </c>
      <c r="D576" s="557" t="str">
        <f t="shared" si="53"/>
        <v/>
      </c>
      <c r="E576" s="560"/>
      <c r="F576" s="559"/>
      <c r="G576" s="559" t="str">
        <f t="shared" si="54"/>
        <v/>
      </c>
      <c r="H576" s="559" t="str">
        <f t="shared" si="55"/>
        <v/>
      </c>
      <c r="I576" s="559" t="str">
        <f t="shared" si="56"/>
        <v/>
      </c>
    </row>
    <row r="577" spans="2:9">
      <c r="B577" s="555" t="str">
        <f t="shared" si="51"/>
        <v/>
      </c>
      <c r="C577" s="556" t="str">
        <f t="shared" si="52"/>
        <v/>
      </c>
      <c r="D577" s="557" t="str">
        <f t="shared" si="53"/>
        <v/>
      </c>
      <c r="E577" s="560"/>
      <c r="F577" s="559"/>
      <c r="G577" s="559" t="str">
        <f t="shared" si="54"/>
        <v/>
      </c>
      <c r="H577" s="559" t="str">
        <f t="shared" si="55"/>
        <v/>
      </c>
      <c r="I577" s="559" t="str">
        <f t="shared" si="56"/>
        <v/>
      </c>
    </row>
    <row r="578" spans="2:9">
      <c r="B578" s="555" t="str">
        <f t="shared" si="51"/>
        <v/>
      </c>
      <c r="C578" s="556" t="str">
        <f t="shared" si="52"/>
        <v/>
      </c>
      <c r="D578" s="557" t="str">
        <f t="shared" si="53"/>
        <v/>
      </c>
      <c r="E578" s="560"/>
      <c r="F578" s="559"/>
      <c r="G578" s="559" t="str">
        <f t="shared" si="54"/>
        <v/>
      </c>
      <c r="H578" s="559" t="str">
        <f t="shared" si="55"/>
        <v/>
      </c>
      <c r="I578" s="559" t="str">
        <f t="shared" si="56"/>
        <v/>
      </c>
    </row>
    <row r="579" spans="2:9">
      <c r="B579" s="555" t="str">
        <f t="shared" si="51"/>
        <v/>
      </c>
      <c r="C579" s="556" t="str">
        <f t="shared" si="52"/>
        <v/>
      </c>
      <c r="D579" s="557" t="str">
        <f t="shared" si="53"/>
        <v/>
      </c>
      <c r="E579" s="560"/>
      <c r="F579" s="559"/>
      <c r="G579" s="559" t="str">
        <f t="shared" si="54"/>
        <v/>
      </c>
      <c r="H579" s="559" t="str">
        <f t="shared" si="55"/>
        <v/>
      </c>
      <c r="I579" s="559" t="str">
        <f t="shared" si="56"/>
        <v/>
      </c>
    </row>
    <row r="580" spans="2:9">
      <c r="B580" s="555" t="str">
        <f t="shared" si="51"/>
        <v/>
      </c>
      <c r="C580" s="556" t="str">
        <f t="shared" si="52"/>
        <v/>
      </c>
      <c r="D580" s="557" t="str">
        <f t="shared" si="53"/>
        <v/>
      </c>
      <c r="E580" s="560"/>
      <c r="F580" s="559"/>
      <c r="G580" s="559" t="str">
        <f t="shared" si="54"/>
        <v/>
      </c>
      <c r="H580" s="559" t="str">
        <f t="shared" si="55"/>
        <v/>
      </c>
      <c r="I580" s="559" t="str">
        <f t="shared" si="56"/>
        <v/>
      </c>
    </row>
    <row r="581" spans="2:9">
      <c r="B581" s="555" t="str">
        <f t="shared" si="51"/>
        <v/>
      </c>
      <c r="C581" s="556" t="str">
        <f t="shared" si="52"/>
        <v/>
      </c>
      <c r="D581" s="557" t="str">
        <f t="shared" si="53"/>
        <v/>
      </c>
      <c r="E581" s="560"/>
      <c r="F581" s="559"/>
      <c r="G581" s="559" t="str">
        <f t="shared" si="54"/>
        <v/>
      </c>
      <c r="H581" s="559" t="str">
        <f t="shared" si="55"/>
        <v/>
      </c>
      <c r="I581" s="559" t="str">
        <f t="shared" si="56"/>
        <v/>
      </c>
    </row>
    <row r="582" spans="2:9">
      <c r="B582" s="555" t="str">
        <f t="shared" si="51"/>
        <v/>
      </c>
      <c r="C582" s="556" t="str">
        <f t="shared" si="52"/>
        <v/>
      </c>
      <c r="D582" s="557" t="str">
        <f t="shared" si="53"/>
        <v/>
      </c>
      <c r="E582" s="560"/>
      <c r="F582" s="559"/>
      <c r="G582" s="559" t="str">
        <f t="shared" si="54"/>
        <v/>
      </c>
      <c r="H582" s="559" t="str">
        <f t="shared" si="55"/>
        <v/>
      </c>
      <c r="I582" s="559" t="str">
        <f t="shared" si="56"/>
        <v/>
      </c>
    </row>
    <row r="583" spans="2:9">
      <c r="B583" s="555" t="str">
        <f t="shared" si="51"/>
        <v/>
      </c>
      <c r="C583" s="556" t="str">
        <f t="shared" si="52"/>
        <v/>
      </c>
      <c r="D583" s="557" t="str">
        <f t="shared" si="53"/>
        <v/>
      </c>
      <c r="E583" s="560"/>
      <c r="F583" s="559"/>
      <c r="G583" s="559" t="str">
        <f t="shared" si="54"/>
        <v/>
      </c>
      <c r="H583" s="559" t="str">
        <f t="shared" si="55"/>
        <v/>
      </c>
      <c r="I583" s="559" t="str">
        <f t="shared" si="56"/>
        <v/>
      </c>
    </row>
    <row r="584" spans="2:9">
      <c r="B584" s="555" t="str">
        <f t="shared" si="51"/>
        <v/>
      </c>
      <c r="C584" s="556" t="str">
        <f t="shared" si="52"/>
        <v/>
      </c>
      <c r="D584" s="557" t="str">
        <f t="shared" si="53"/>
        <v/>
      </c>
      <c r="E584" s="560"/>
      <c r="F584" s="559"/>
      <c r="G584" s="559" t="str">
        <f t="shared" si="54"/>
        <v/>
      </c>
      <c r="H584" s="559" t="str">
        <f t="shared" si="55"/>
        <v/>
      </c>
      <c r="I584" s="559" t="str">
        <f t="shared" si="56"/>
        <v/>
      </c>
    </row>
    <row r="585" spans="2:9">
      <c r="B585" s="555" t="str">
        <f t="shared" si="51"/>
        <v/>
      </c>
      <c r="C585" s="556" t="str">
        <f t="shared" si="52"/>
        <v/>
      </c>
      <c r="D585" s="557" t="str">
        <f t="shared" si="53"/>
        <v/>
      </c>
      <c r="E585" s="560"/>
      <c r="F585" s="559"/>
      <c r="G585" s="559" t="str">
        <f t="shared" si="54"/>
        <v/>
      </c>
      <c r="H585" s="559" t="str">
        <f t="shared" si="55"/>
        <v/>
      </c>
      <c r="I585" s="559" t="str">
        <f t="shared" si="56"/>
        <v/>
      </c>
    </row>
    <row r="586" spans="2:9">
      <c r="B586" s="555" t="str">
        <f t="shared" si="51"/>
        <v/>
      </c>
      <c r="C586" s="556" t="str">
        <f t="shared" si="52"/>
        <v/>
      </c>
      <c r="D586" s="557" t="str">
        <f t="shared" si="53"/>
        <v/>
      </c>
      <c r="E586" s="560"/>
      <c r="F586" s="559"/>
      <c r="G586" s="559" t="str">
        <f t="shared" si="54"/>
        <v/>
      </c>
      <c r="H586" s="559" t="str">
        <f t="shared" si="55"/>
        <v/>
      </c>
      <c r="I586" s="559" t="str">
        <f t="shared" si="56"/>
        <v/>
      </c>
    </row>
    <row r="587" spans="2:9">
      <c r="B587" s="555" t="str">
        <f t="shared" si="51"/>
        <v/>
      </c>
      <c r="C587" s="556" t="str">
        <f t="shared" si="52"/>
        <v/>
      </c>
      <c r="D587" s="557" t="str">
        <f t="shared" si="53"/>
        <v/>
      </c>
      <c r="E587" s="560"/>
      <c r="F587" s="559"/>
      <c r="G587" s="559" t="str">
        <f t="shared" si="54"/>
        <v/>
      </c>
      <c r="H587" s="559" t="str">
        <f t="shared" si="55"/>
        <v/>
      </c>
      <c r="I587" s="559" t="str">
        <f t="shared" si="56"/>
        <v/>
      </c>
    </row>
    <row r="588" spans="2:9">
      <c r="B588" s="555" t="str">
        <f t="shared" si="51"/>
        <v/>
      </c>
      <c r="C588" s="556" t="str">
        <f t="shared" si="52"/>
        <v/>
      </c>
      <c r="D588" s="557" t="str">
        <f t="shared" si="53"/>
        <v/>
      </c>
      <c r="E588" s="560"/>
      <c r="F588" s="559"/>
      <c r="G588" s="559" t="str">
        <f t="shared" si="54"/>
        <v/>
      </c>
      <c r="H588" s="559" t="str">
        <f t="shared" si="55"/>
        <v/>
      </c>
      <c r="I588" s="559" t="str">
        <f t="shared" si="56"/>
        <v/>
      </c>
    </row>
    <row r="589" spans="2:9">
      <c r="B589" s="555" t="str">
        <f t="shared" si="51"/>
        <v/>
      </c>
      <c r="C589" s="556" t="str">
        <f t="shared" si="52"/>
        <v/>
      </c>
      <c r="D589" s="557" t="str">
        <f t="shared" si="53"/>
        <v/>
      </c>
      <c r="E589" s="560"/>
      <c r="F589" s="559"/>
      <c r="G589" s="559" t="str">
        <f t="shared" si="54"/>
        <v/>
      </c>
      <c r="H589" s="559" t="str">
        <f t="shared" si="55"/>
        <v/>
      </c>
      <c r="I589" s="559" t="str">
        <f t="shared" si="56"/>
        <v/>
      </c>
    </row>
    <row r="590" spans="2:9">
      <c r="B590" s="555" t="str">
        <f t="shared" si="51"/>
        <v/>
      </c>
      <c r="C590" s="556" t="str">
        <f t="shared" si="52"/>
        <v/>
      </c>
      <c r="D590" s="557" t="str">
        <f t="shared" si="53"/>
        <v/>
      </c>
      <c r="E590" s="560"/>
      <c r="F590" s="559"/>
      <c r="G590" s="559" t="str">
        <f t="shared" si="54"/>
        <v/>
      </c>
      <c r="H590" s="559" t="str">
        <f t="shared" si="55"/>
        <v/>
      </c>
      <c r="I590" s="559" t="str">
        <f t="shared" si="56"/>
        <v/>
      </c>
    </row>
    <row r="591" spans="2:9">
      <c r="B591" s="555" t="str">
        <f t="shared" si="51"/>
        <v/>
      </c>
      <c r="C591" s="556" t="str">
        <f t="shared" si="52"/>
        <v/>
      </c>
      <c r="D591" s="557" t="str">
        <f t="shared" si="53"/>
        <v/>
      </c>
      <c r="E591" s="560"/>
      <c r="F591" s="559"/>
      <c r="G591" s="559" t="str">
        <f t="shared" si="54"/>
        <v/>
      </c>
      <c r="H591" s="559" t="str">
        <f t="shared" si="55"/>
        <v/>
      </c>
      <c r="I591" s="559" t="str">
        <f t="shared" si="56"/>
        <v/>
      </c>
    </row>
    <row r="592" spans="2:9">
      <c r="B592" s="555" t="str">
        <f t="shared" si="51"/>
        <v/>
      </c>
      <c r="C592" s="556" t="str">
        <f t="shared" si="52"/>
        <v/>
      </c>
      <c r="D592" s="557" t="str">
        <f t="shared" si="53"/>
        <v/>
      </c>
      <c r="E592" s="560"/>
      <c r="F592" s="559"/>
      <c r="G592" s="559" t="str">
        <f t="shared" si="54"/>
        <v/>
      </c>
      <c r="H592" s="559" t="str">
        <f t="shared" si="55"/>
        <v/>
      </c>
      <c r="I592" s="559" t="str">
        <f t="shared" si="56"/>
        <v/>
      </c>
    </row>
    <row r="593" spans="2:9">
      <c r="B593" s="555" t="str">
        <f t="shared" si="51"/>
        <v/>
      </c>
      <c r="C593" s="556" t="str">
        <f t="shared" si="52"/>
        <v/>
      </c>
      <c r="D593" s="557" t="str">
        <f t="shared" si="53"/>
        <v/>
      </c>
      <c r="E593" s="560"/>
      <c r="F593" s="559"/>
      <c r="G593" s="559" t="str">
        <f t="shared" si="54"/>
        <v/>
      </c>
      <c r="H593" s="559" t="str">
        <f t="shared" si="55"/>
        <v/>
      </c>
      <c r="I593" s="559" t="str">
        <f t="shared" si="56"/>
        <v/>
      </c>
    </row>
    <row r="594" spans="2:9">
      <c r="B594" s="555" t="str">
        <f t="shared" si="51"/>
        <v/>
      </c>
      <c r="C594" s="556" t="str">
        <f t="shared" si="52"/>
        <v/>
      </c>
      <c r="D594" s="557" t="str">
        <f t="shared" si="53"/>
        <v/>
      </c>
      <c r="E594" s="560"/>
      <c r="F594" s="559"/>
      <c r="G594" s="559" t="str">
        <f t="shared" si="54"/>
        <v/>
      </c>
      <c r="H594" s="559" t="str">
        <f t="shared" si="55"/>
        <v/>
      </c>
      <c r="I594" s="559" t="str">
        <f t="shared" si="56"/>
        <v/>
      </c>
    </row>
    <row r="595" spans="2:9">
      <c r="B595" s="555" t="str">
        <f t="shared" si="51"/>
        <v/>
      </c>
      <c r="C595" s="556" t="str">
        <f t="shared" si="52"/>
        <v/>
      </c>
      <c r="D595" s="557" t="str">
        <f t="shared" si="53"/>
        <v/>
      </c>
      <c r="E595" s="560"/>
      <c r="F595" s="559"/>
      <c r="G595" s="559" t="str">
        <f t="shared" si="54"/>
        <v/>
      </c>
      <c r="H595" s="559" t="str">
        <f t="shared" si="55"/>
        <v/>
      </c>
      <c r="I595" s="559" t="str">
        <f t="shared" si="56"/>
        <v/>
      </c>
    </row>
    <row r="596" spans="2:9">
      <c r="B596" s="555" t="str">
        <f t="shared" si="51"/>
        <v/>
      </c>
      <c r="C596" s="556" t="str">
        <f t="shared" si="52"/>
        <v/>
      </c>
      <c r="D596" s="557" t="str">
        <f t="shared" si="53"/>
        <v/>
      </c>
      <c r="E596" s="560"/>
      <c r="F596" s="559"/>
      <c r="G596" s="559" t="str">
        <f t="shared" si="54"/>
        <v/>
      </c>
      <c r="H596" s="559" t="str">
        <f t="shared" si="55"/>
        <v/>
      </c>
      <c r="I596" s="559" t="str">
        <f t="shared" si="56"/>
        <v/>
      </c>
    </row>
    <row r="597" spans="2:9">
      <c r="B597" s="555" t="str">
        <f t="shared" si="51"/>
        <v/>
      </c>
      <c r="C597" s="556" t="str">
        <f t="shared" si="52"/>
        <v/>
      </c>
      <c r="D597" s="557" t="str">
        <f t="shared" si="53"/>
        <v/>
      </c>
      <c r="E597" s="560"/>
      <c r="F597" s="559"/>
      <c r="G597" s="559" t="str">
        <f t="shared" si="54"/>
        <v/>
      </c>
      <c r="H597" s="559" t="str">
        <f t="shared" si="55"/>
        <v/>
      </c>
      <c r="I597" s="559" t="str">
        <f t="shared" si="56"/>
        <v/>
      </c>
    </row>
    <row r="598" spans="2:9">
      <c r="B598" s="555" t="str">
        <f t="shared" si="51"/>
        <v/>
      </c>
      <c r="C598" s="556" t="str">
        <f t="shared" si="52"/>
        <v/>
      </c>
      <c r="D598" s="557" t="str">
        <f t="shared" si="53"/>
        <v/>
      </c>
      <c r="E598" s="560"/>
      <c r="F598" s="559"/>
      <c r="G598" s="559" t="str">
        <f t="shared" si="54"/>
        <v/>
      </c>
      <c r="H598" s="559" t="str">
        <f t="shared" si="55"/>
        <v/>
      </c>
      <c r="I598" s="559" t="str">
        <f t="shared" si="56"/>
        <v/>
      </c>
    </row>
    <row r="599" spans="2:9">
      <c r="B599" s="555" t="str">
        <f t="shared" si="51"/>
        <v/>
      </c>
      <c r="C599" s="556" t="str">
        <f t="shared" si="52"/>
        <v/>
      </c>
      <c r="D599" s="557" t="str">
        <f t="shared" si="53"/>
        <v/>
      </c>
      <c r="E599" s="560"/>
      <c r="F599" s="559"/>
      <c r="G599" s="559" t="str">
        <f t="shared" si="54"/>
        <v/>
      </c>
      <c r="H599" s="559" t="str">
        <f t="shared" si="55"/>
        <v/>
      </c>
      <c r="I599" s="559" t="str">
        <f t="shared" si="56"/>
        <v/>
      </c>
    </row>
    <row r="600" spans="2:9">
      <c r="B600" s="555" t="str">
        <f t="shared" si="51"/>
        <v/>
      </c>
      <c r="C600" s="556" t="str">
        <f t="shared" si="52"/>
        <v/>
      </c>
      <c r="D600" s="557" t="str">
        <f t="shared" si="53"/>
        <v/>
      </c>
      <c r="E600" s="560"/>
      <c r="F600" s="559"/>
      <c r="G600" s="559" t="str">
        <f t="shared" si="54"/>
        <v/>
      </c>
      <c r="H600" s="559" t="str">
        <f t="shared" si="55"/>
        <v/>
      </c>
      <c r="I600" s="559" t="str">
        <f t="shared" si="56"/>
        <v/>
      </c>
    </row>
    <row r="601" spans="2:9">
      <c r="B601" s="555" t="str">
        <f t="shared" si="51"/>
        <v/>
      </c>
      <c r="C601" s="556" t="str">
        <f t="shared" si="52"/>
        <v/>
      </c>
      <c r="D601" s="557" t="str">
        <f t="shared" si="53"/>
        <v/>
      </c>
      <c r="E601" s="560"/>
      <c r="F601" s="559"/>
      <c r="G601" s="559" t="str">
        <f t="shared" si="54"/>
        <v/>
      </c>
      <c r="H601" s="559" t="str">
        <f t="shared" si="55"/>
        <v/>
      </c>
      <c r="I601" s="559" t="str">
        <f t="shared" si="56"/>
        <v/>
      </c>
    </row>
    <row r="602" spans="2:9">
      <c r="B602" s="555" t="str">
        <f t="shared" si="51"/>
        <v/>
      </c>
      <c r="C602" s="556" t="str">
        <f t="shared" si="52"/>
        <v/>
      </c>
      <c r="D602" s="557" t="str">
        <f t="shared" si="53"/>
        <v/>
      </c>
      <c r="E602" s="560"/>
      <c r="F602" s="559"/>
      <c r="G602" s="559" t="str">
        <f t="shared" si="54"/>
        <v/>
      </c>
      <c r="H602" s="559" t="str">
        <f t="shared" si="55"/>
        <v/>
      </c>
      <c r="I602" s="559" t="str">
        <f t="shared" si="56"/>
        <v/>
      </c>
    </row>
    <row r="603" spans="2:9">
      <c r="B603" s="555" t="str">
        <f t="shared" si="51"/>
        <v/>
      </c>
      <c r="C603" s="556" t="str">
        <f t="shared" si="52"/>
        <v/>
      </c>
      <c r="D603" s="557" t="str">
        <f t="shared" si="53"/>
        <v/>
      </c>
      <c r="E603" s="560"/>
      <c r="F603" s="559"/>
      <c r="G603" s="559" t="str">
        <f t="shared" si="54"/>
        <v/>
      </c>
      <c r="H603" s="559" t="str">
        <f t="shared" si="55"/>
        <v/>
      </c>
      <c r="I603" s="559" t="str">
        <f t="shared" si="56"/>
        <v/>
      </c>
    </row>
    <row r="604" spans="2:9">
      <c r="B604" s="555" t="str">
        <f t="shared" si="51"/>
        <v/>
      </c>
      <c r="C604" s="556" t="str">
        <f t="shared" si="52"/>
        <v/>
      </c>
      <c r="D604" s="557" t="str">
        <f t="shared" si="53"/>
        <v/>
      </c>
      <c r="E604" s="560"/>
      <c r="F604" s="559"/>
      <c r="G604" s="559" t="str">
        <f t="shared" si="54"/>
        <v/>
      </c>
      <c r="H604" s="559" t="str">
        <f t="shared" si="55"/>
        <v/>
      </c>
      <c r="I604" s="559" t="str">
        <f t="shared" si="56"/>
        <v/>
      </c>
    </row>
    <row r="605" spans="2:9">
      <c r="B605" s="555" t="str">
        <f t="shared" si="51"/>
        <v/>
      </c>
      <c r="C605" s="556" t="str">
        <f t="shared" si="52"/>
        <v/>
      </c>
      <c r="D605" s="557" t="str">
        <f t="shared" si="53"/>
        <v/>
      </c>
      <c r="E605" s="560"/>
      <c r="F605" s="559"/>
      <c r="G605" s="559" t="str">
        <f t="shared" si="54"/>
        <v/>
      </c>
      <c r="H605" s="559" t="str">
        <f t="shared" si="55"/>
        <v/>
      </c>
      <c r="I605" s="559" t="str">
        <f t="shared" si="56"/>
        <v/>
      </c>
    </row>
    <row r="606" spans="2:9">
      <c r="B606" s="555" t="str">
        <f t="shared" si="51"/>
        <v/>
      </c>
      <c r="C606" s="556" t="str">
        <f t="shared" si="52"/>
        <v/>
      </c>
      <c r="D606" s="557" t="str">
        <f t="shared" si="53"/>
        <v/>
      </c>
      <c r="E606" s="560"/>
      <c r="F606" s="559"/>
      <c r="G606" s="559" t="str">
        <f t="shared" si="54"/>
        <v/>
      </c>
      <c r="H606" s="559" t="str">
        <f t="shared" si="55"/>
        <v/>
      </c>
      <c r="I606" s="559" t="str">
        <f t="shared" si="56"/>
        <v/>
      </c>
    </row>
    <row r="607" spans="2:9">
      <c r="B607" s="555" t="str">
        <f t="shared" si="51"/>
        <v/>
      </c>
      <c r="C607" s="556" t="str">
        <f t="shared" si="52"/>
        <v/>
      </c>
      <c r="D607" s="557" t="str">
        <f t="shared" si="53"/>
        <v/>
      </c>
      <c r="E607" s="560"/>
      <c r="F607" s="559"/>
      <c r="G607" s="559" t="str">
        <f t="shared" si="54"/>
        <v/>
      </c>
      <c r="H607" s="559" t="str">
        <f t="shared" si="55"/>
        <v/>
      </c>
      <c r="I607" s="559" t="str">
        <f t="shared" si="56"/>
        <v/>
      </c>
    </row>
    <row r="608" spans="2:9">
      <c r="B608" s="555" t="str">
        <f t="shared" si="51"/>
        <v/>
      </c>
      <c r="C608" s="556" t="str">
        <f t="shared" si="52"/>
        <v/>
      </c>
      <c r="D608" s="557" t="str">
        <f t="shared" si="53"/>
        <v/>
      </c>
      <c r="E608" s="560"/>
      <c r="F608" s="559"/>
      <c r="G608" s="559" t="str">
        <f t="shared" si="54"/>
        <v/>
      </c>
      <c r="H608" s="559" t="str">
        <f t="shared" si="55"/>
        <v/>
      </c>
      <c r="I608" s="559" t="str">
        <f t="shared" si="56"/>
        <v/>
      </c>
    </row>
    <row r="609" spans="2:9">
      <c r="B609" s="555" t="str">
        <f t="shared" si="51"/>
        <v/>
      </c>
      <c r="C609" s="556" t="str">
        <f t="shared" si="52"/>
        <v/>
      </c>
      <c r="D609" s="557" t="str">
        <f t="shared" si="53"/>
        <v/>
      </c>
      <c r="E609" s="560"/>
      <c r="F609" s="559"/>
      <c r="G609" s="559" t="str">
        <f t="shared" si="54"/>
        <v/>
      </c>
      <c r="H609" s="559" t="str">
        <f t="shared" si="55"/>
        <v/>
      </c>
      <c r="I609" s="559" t="str">
        <f t="shared" si="56"/>
        <v/>
      </c>
    </row>
    <row r="610" spans="2:9">
      <c r="B610" s="555" t="str">
        <f t="shared" si="51"/>
        <v/>
      </c>
      <c r="C610" s="556" t="str">
        <f t="shared" si="52"/>
        <v/>
      </c>
      <c r="D610" s="557" t="str">
        <f t="shared" si="53"/>
        <v/>
      </c>
      <c r="E610" s="560"/>
      <c r="F610" s="559"/>
      <c r="G610" s="559" t="str">
        <f t="shared" si="54"/>
        <v/>
      </c>
      <c r="H610" s="559" t="str">
        <f t="shared" si="55"/>
        <v/>
      </c>
      <c r="I610" s="559" t="str">
        <f t="shared" si="56"/>
        <v/>
      </c>
    </row>
    <row r="611" spans="2:9">
      <c r="B611" s="555" t="str">
        <f t="shared" si="51"/>
        <v/>
      </c>
      <c r="C611" s="556" t="str">
        <f t="shared" si="52"/>
        <v/>
      </c>
      <c r="D611" s="557" t="str">
        <f t="shared" si="53"/>
        <v/>
      </c>
      <c r="E611" s="560"/>
      <c r="F611" s="559"/>
      <c r="G611" s="559" t="str">
        <f t="shared" si="54"/>
        <v/>
      </c>
      <c r="H611" s="559" t="str">
        <f t="shared" si="55"/>
        <v/>
      </c>
      <c r="I611" s="559" t="str">
        <f t="shared" si="56"/>
        <v/>
      </c>
    </row>
    <row r="612" spans="2:9">
      <c r="B612" s="555" t="str">
        <f t="shared" si="51"/>
        <v/>
      </c>
      <c r="C612" s="556" t="str">
        <f t="shared" si="52"/>
        <v/>
      </c>
      <c r="D612" s="557" t="str">
        <f t="shared" si="53"/>
        <v/>
      </c>
      <c r="E612" s="560"/>
      <c r="F612" s="559"/>
      <c r="G612" s="559" t="str">
        <f t="shared" si="54"/>
        <v/>
      </c>
      <c r="H612" s="559" t="str">
        <f t="shared" si="55"/>
        <v/>
      </c>
      <c r="I612" s="559" t="str">
        <f t="shared" si="56"/>
        <v/>
      </c>
    </row>
    <row r="613" spans="2:9">
      <c r="B613" s="555" t="str">
        <f t="shared" si="51"/>
        <v/>
      </c>
      <c r="C613" s="556" t="str">
        <f t="shared" si="52"/>
        <v/>
      </c>
      <c r="D613" s="557" t="str">
        <f t="shared" si="53"/>
        <v/>
      </c>
      <c r="E613" s="560"/>
      <c r="F613" s="559"/>
      <c r="G613" s="559" t="str">
        <f t="shared" si="54"/>
        <v/>
      </c>
      <c r="H613" s="559" t="str">
        <f t="shared" si="55"/>
        <v/>
      </c>
      <c r="I613" s="559" t="str">
        <f t="shared" si="56"/>
        <v/>
      </c>
    </row>
    <row r="614" spans="2:9">
      <c r="B614" s="555" t="str">
        <f t="shared" si="51"/>
        <v/>
      </c>
      <c r="C614" s="556" t="str">
        <f t="shared" si="52"/>
        <v/>
      </c>
      <c r="D614" s="557" t="str">
        <f t="shared" si="53"/>
        <v/>
      </c>
      <c r="E614" s="560"/>
      <c r="F614" s="559"/>
      <c r="G614" s="559" t="str">
        <f t="shared" si="54"/>
        <v/>
      </c>
      <c r="H614" s="559" t="str">
        <f t="shared" si="55"/>
        <v/>
      </c>
      <c r="I614" s="559" t="str">
        <f t="shared" si="56"/>
        <v/>
      </c>
    </row>
    <row r="615" spans="2:9">
      <c r="B615" s="555" t="str">
        <f t="shared" si="51"/>
        <v/>
      </c>
      <c r="C615" s="556" t="str">
        <f t="shared" si="52"/>
        <v/>
      </c>
      <c r="D615" s="557" t="str">
        <f t="shared" si="53"/>
        <v/>
      </c>
      <c r="E615" s="560"/>
      <c r="F615" s="559"/>
      <c r="G615" s="559" t="str">
        <f t="shared" si="54"/>
        <v/>
      </c>
      <c r="H615" s="559" t="str">
        <f t="shared" si="55"/>
        <v/>
      </c>
      <c r="I615" s="559" t="str">
        <f t="shared" si="56"/>
        <v/>
      </c>
    </row>
    <row r="616" spans="2:9">
      <c r="B616" s="555" t="str">
        <f t="shared" si="51"/>
        <v/>
      </c>
      <c r="C616" s="556" t="str">
        <f t="shared" si="52"/>
        <v/>
      </c>
      <c r="D616" s="557" t="str">
        <f t="shared" si="53"/>
        <v/>
      </c>
      <c r="E616" s="560"/>
      <c r="F616" s="559"/>
      <c r="G616" s="559" t="str">
        <f t="shared" si="54"/>
        <v/>
      </c>
      <c r="H616" s="559" t="str">
        <f t="shared" si="55"/>
        <v/>
      </c>
      <c r="I616" s="559" t="str">
        <f t="shared" si="56"/>
        <v/>
      </c>
    </row>
    <row r="617" spans="2:9">
      <c r="B617" s="555" t="str">
        <f t="shared" si="51"/>
        <v/>
      </c>
      <c r="C617" s="556" t="str">
        <f t="shared" si="52"/>
        <v/>
      </c>
      <c r="D617" s="557" t="str">
        <f t="shared" si="53"/>
        <v/>
      </c>
      <c r="E617" s="560"/>
      <c r="F617" s="559"/>
      <c r="G617" s="559" t="str">
        <f t="shared" si="54"/>
        <v/>
      </c>
      <c r="H617" s="559" t="str">
        <f t="shared" si="55"/>
        <v/>
      </c>
      <c r="I617" s="559" t="str">
        <f t="shared" si="56"/>
        <v/>
      </c>
    </row>
    <row r="618" spans="2:9">
      <c r="B618" s="555" t="str">
        <f t="shared" si="51"/>
        <v/>
      </c>
      <c r="C618" s="556" t="str">
        <f t="shared" si="52"/>
        <v/>
      </c>
      <c r="D618" s="557" t="str">
        <f t="shared" si="53"/>
        <v/>
      </c>
      <c r="E618" s="560"/>
      <c r="F618" s="559"/>
      <c r="G618" s="559" t="str">
        <f t="shared" si="54"/>
        <v/>
      </c>
      <c r="H618" s="559" t="str">
        <f t="shared" si="55"/>
        <v/>
      </c>
      <c r="I618" s="559" t="str">
        <f t="shared" si="56"/>
        <v/>
      </c>
    </row>
    <row r="619" spans="2:9">
      <c r="B619" s="555" t="str">
        <f t="shared" si="51"/>
        <v/>
      </c>
      <c r="C619" s="556" t="str">
        <f t="shared" si="52"/>
        <v/>
      </c>
      <c r="D619" s="557" t="str">
        <f t="shared" si="53"/>
        <v/>
      </c>
      <c r="E619" s="560"/>
      <c r="F619" s="559"/>
      <c r="G619" s="559" t="str">
        <f t="shared" si="54"/>
        <v/>
      </c>
      <c r="H619" s="559" t="str">
        <f t="shared" si="55"/>
        <v/>
      </c>
      <c r="I619" s="559" t="str">
        <f t="shared" si="56"/>
        <v/>
      </c>
    </row>
    <row r="620" spans="2:9">
      <c r="B620" s="555" t="str">
        <f t="shared" si="51"/>
        <v/>
      </c>
      <c r="C620" s="556" t="str">
        <f t="shared" si="52"/>
        <v/>
      </c>
      <c r="D620" s="557" t="str">
        <f t="shared" si="53"/>
        <v/>
      </c>
      <c r="E620" s="560"/>
      <c r="F620" s="559"/>
      <c r="G620" s="559" t="str">
        <f t="shared" si="54"/>
        <v/>
      </c>
      <c r="H620" s="559" t="str">
        <f t="shared" si="55"/>
        <v/>
      </c>
      <c r="I620" s="559" t="str">
        <f t="shared" si="56"/>
        <v/>
      </c>
    </row>
    <row r="621" spans="2:9">
      <c r="B621" s="555" t="str">
        <f t="shared" si="51"/>
        <v/>
      </c>
      <c r="C621" s="556" t="str">
        <f t="shared" si="52"/>
        <v/>
      </c>
      <c r="D621" s="557" t="str">
        <f t="shared" si="53"/>
        <v/>
      </c>
      <c r="E621" s="560"/>
      <c r="F621" s="559"/>
      <c r="G621" s="559" t="str">
        <f t="shared" si="54"/>
        <v/>
      </c>
      <c r="H621" s="559" t="str">
        <f t="shared" si="55"/>
        <v/>
      </c>
      <c r="I621" s="559" t="str">
        <f t="shared" si="56"/>
        <v/>
      </c>
    </row>
    <row r="622" spans="2:9">
      <c r="B622" s="555" t="str">
        <f t="shared" si="51"/>
        <v/>
      </c>
      <c r="C622" s="556" t="str">
        <f t="shared" si="52"/>
        <v/>
      </c>
      <c r="D622" s="557" t="str">
        <f t="shared" si="53"/>
        <v/>
      </c>
      <c r="E622" s="560"/>
      <c r="F622" s="559"/>
      <c r="G622" s="559" t="str">
        <f t="shared" si="54"/>
        <v/>
      </c>
      <c r="H622" s="559" t="str">
        <f t="shared" si="55"/>
        <v/>
      </c>
      <c r="I622" s="559" t="str">
        <f t="shared" si="56"/>
        <v/>
      </c>
    </row>
    <row r="623" spans="2:9">
      <c r="B623" s="555" t="str">
        <f t="shared" si="51"/>
        <v/>
      </c>
      <c r="C623" s="556" t="str">
        <f t="shared" si="52"/>
        <v/>
      </c>
      <c r="D623" s="557" t="str">
        <f t="shared" si="53"/>
        <v/>
      </c>
      <c r="E623" s="560"/>
      <c r="F623" s="559"/>
      <c r="G623" s="559" t="str">
        <f t="shared" si="54"/>
        <v/>
      </c>
      <c r="H623" s="559" t="str">
        <f t="shared" si="55"/>
        <v/>
      </c>
      <c r="I623" s="559" t="str">
        <f t="shared" si="56"/>
        <v/>
      </c>
    </row>
    <row r="624" spans="2:9">
      <c r="B624" s="555" t="str">
        <f t="shared" si="51"/>
        <v/>
      </c>
      <c r="C624" s="556" t="str">
        <f t="shared" si="52"/>
        <v/>
      </c>
      <c r="D624" s="557" t="str">
        <f t="shared" si="53"/>
        <v/>
      </c>
      <c r="E624" s="560"/>
      <c r="F624" s="559"/>
      <c r="G624" s="559" t="str">
        <f t="shared" si="54"/>
        <v/>
      </c>
      <c r="H624" s="559" t="str">
        <f t="shared" si="55"/>
        <v/>
      </c>
      <c r="I624" s="559" t="str">
        <f t="shared" si="56"/>
        <v/>
      </c>
    </row>
    <row r="625" spans="2:9">
      <c r="B625" s="555" t="str">
        <f t="shared" si="51"/>
        <v/>
      </c>
      <c r="C625" s="556" t="str">
        <f t="shared" si="52"/>
        <v/>
      </c>
      <c r="D625" s="557" t="str">
        <f t="shared" si="53"/>
        <v/>
      </c>
      <c r="E625" s="560"/>
      <c r="F625" s="559"/>
      <c r="G625" s="559" t="str">
        <f t="shared" si="54"/>
        <v/>
      </c>
      <c r="H625" s="559" t="str">
        <f t="shared" si="55"/>
        <v/>
      </c>
      <c r="I625" s="559" t="str">
        <f t="shared" si="56"/>
        <v/>
      </c>
    </row>
    <row r="626" spans="2:9">
      <c r="B626" s="555" t="str">
        <f t="shared" si="51"/>
        <v/>
      </c>
      <c r="C626" s="556" t="str">
        <f t="shared" si="52"/>
        <v/>
      </c>
      <c r="D626" s="557" t="str">
        <f t="shared" si="53"/>
        <v/>
      </c>
      <c r="E626" s="560"/>
      <c r="F626" s="559"/>
      <c r="G626" s="559" t="str">
        <f t="shared" si="54"/>
        <v/>
      </c>
      <c r="H626" s="559" t="str">
        <f t="shared" si="55"/>
        <v/>
      </c>
      <c r="I626" s="559" t="str">
        <f t="shared" si="56"/>
        <v/>
      </c>
    </row>
    <row r="627" spans="2:9">
      <c r="B627" s="555" t="str">
        <f t="shared" si="51"/>
        <v/>
      </c>
      <c r="C627" s="556" t="str">
        <f t="shared" si="52"/>
        <v/>
      </c>
      <c r="D627" s="557" t="str">
        <f t="shared" si="53"/>
        <v/>
      </c>
      <c r="E627" s="560"/>
      <c r="F627" s="559"/>
      <c r="G627" s="559" t="str">
        <f t="shared" si="54"/>
        <v/>
      </c>
      <c r="H627" s="559" t="str">
        <f t="shared" si="55"/>
        <v/>
      </c>
      <c r="I627" s="559" t="str">
        <f t="shared" si="56"/>
        <v/>
      </c>
    </row>
    <row r="628" spans="2:9">
      <c r="B628" s="555" t="str">
        <f t="shared" si="51"/>
        <v/>
      </c>
      <c r="C628" s="556" t="str">
        <f t="shared" si="52"/>
        <v/>
      </c>
      <c r="D628" s="557" t="str">
        <f t="shared" si="53"/>
        <v/>
      </c>
      <c r="E628" s="560"/>
      <c r="F628" s="559"/>
      <c r="G628" s="559" t="str">
        <f t="shared" si="54"/>
        <v/>
      </c>
      <c r="H628" s="559" t="str">
        <f t="shared" si="55"/>
        <v/>
      </c>
      <c r="I628" s="559" t="str">
        <f t="shared" si="56"/>
        <v/>
      </c>
    </row>
    <row r="629" spans="2:9">
      <c r="B629" s="555" t="str">
        <f t="shared" si="51"/>
        <v/>
      </c>
      <c r="C629" s="556" t="str">
        <f t="shared" si="52"/>
        <v/>
      </c>
      <c r="D629" s="557" t="str">
        <f t="shared" si="53"/>
        <v/>
      </c>
      <c r="E629" s="560"/>
      <c r="F629" s="559"/>
      <c r="G629" s="559" t="str">
        <f t="shared" si="54"/>
        <v/>
      </c>
      <c r="H629" s="559" t="str">
        <f t="shared" si="55"/>
        <v/>
      </c>
      <c r="I629" s="559" t="str">
        <f t="shared" si="56"/>
        <v/>
      </c>
    </row>
    <row r="630" spans="2:9">
      <c r="B630" s="555" t="str">
        <f t="shared" si="51"/>
        <v/>
      </c>
      <c r="C630" s="556" t="str">
        <f t="shared" si="52"/>
        <v/>
      </c>
      <c r="D630" s="557" t="str">
        <f t="shared" si="53"/>
        <v/>
      </c>
      <c r="E630" s="560"/>
      <c r="F630" s="559"/>
      <c r="G630" s="559" t="str">
        <f t="shared" si="54"/>
        <v/>
      </c>
      <c r="H630" s="559" t="str">
        <f t="shared" si="55"/>
        <v/>
      </c>
      <c r="I630" s="559" t="str">
        <f t="shared" si="56"/>
        <v/>
      </c>
    </row>
    <row r="631" spans="2:9">
      <c r="B631" s="555" t="str">
        <f t="shared" si="51"/>
        <v/>
      </c>
      <c r="C631" s="556" t="str">
        <f t="shared" si="52"/>
        <v/>
      </c>
      <c r="D631" s="557" t="str">
        <f t="shared" si="53"/>
        <v/>
      </c>
      <c r="E631" s="560"/>
      <c r="F631" s="559"/>
      <c r="G631" s="559" t="str">
        <f t="shared" si="54"/>
        <v/>
      </c>
      <c r="H631" s="559" t="str">
        <f t="shared" si="55"/>
        <v/>
      </c>
      <c r="I631" s="559" t="str">
        <f t="shared" si="56"/>
        <v/>
      </c>
    </row>
    <row r="632" spans="2:9">
      <c r="B632" s="555" t="str">
        <f t="shared" si="51"/>
        <v/>
      </c>
      <c r="C632" s="556" t="str">
        <f t="shared" si="52"/>
        <v/>
      </c>
      <c r="D632" s="557" t="str">
        <f t="shared" si="53"/>
        <v/>
      </c>
      <c r="E632" s="560"/>
      <c r="F632" s="559"/>
      <c r="G632" s="559" t="str">
        <f t="shared" si="54"/>
        <v/>
      </c>
      <c r="H632" s="559" t="str">
        <f t="shared" si="55"/>
        <v/>
      </c>
      <c r="I632" s="559" t="str">
        <f t="shared" si="56"/>
        <v/>
      </c>
    </row>
    <row r="633" spans="2:9">
      <c r="B633" s="555" t="str">
        <f t="shared" si="51"/>
        <v/>
      </c>
      <c r="C633" s="556" t="str">
        <f t="shared" si="52"/>
        <v/>
      </c>
      <c r="D633" s="557" t="str">
        <f t="shared" si="53"/>
        <v/>
      </c>
      <c r="E633" s="560"/>
      <c r="F633" s="559"/>
      <c r="G633" s="559" t="str">
        <f t="shared" si="54"/>
        <v/>
      </c>
      <c r="H633" s="559" t="str">
        <f t="shared" si="55"/>
        <v/>
      </c>
      <c r="I633" s="559" t="str">
        <f t="shared" si="56"/>
        <v/>
      </c>
    </row>
    <row r="634" spans="2:9">
      <c r="B634" s="555" t="str">
        <f t="shared" si="51"/>
        <v/>
      </c>
      <c r="C634" s="556" t="str">
        <f t="shared" si="52"/>
        <v/>
      </c>
      <c r="D634" s="557" t="str">
        <f t="shared" si="53"/>
        <v/>
      </c>
      <c r="E634" s="560"/>
      <c r="F634" s="559"/>
      <c r="G634" s="559" t="str">
        <f t="shared" si="54"/>
        <v/>
      </c>
      <c r="H634" s="559" t="str">
        <f t="shared" si="55"/>
        <v/>
      </c>
      <c r="I634" s="559" t="str">
        <f t="shared" si="56"/>
        <v/>
      </c>
    </row>
    <row r="635" spans="2:9">
      <c r="B635" s="555" t="str">
        <f t="shared" si="51"/>
        <v/>
      </c>
      <c r="C635" s="556" t="str">
        <f t="shared" si="52"/>
        <v/>
      </c>
      <c r="D635" s="557" t="str">
        <f t="shared" si="53"/>
        <v/>
      </c>
      <c r="E635" s="560"/>
      <c r="F635" s="559"/>
      <c r="G635" s="559" t="str">
        <f t="shared" si="54"/>
        <v/>
      </c>
      <c r="H635" s="559" t="str">
        <f t="shared" si="55"/>
        <v/>
      </c>
      <c r="I635" s="559" t="str">
        <f t="shared" si="56"/>
        <v/>
      </c>
    </row>
    <row r="636" spans="2:9">
      <c r="B636" s="555" t="str">
        <f t="shared" si="51"/>
        <v/>
      </c>
      <c r="C636" s="556" t="str">
        <f t="shared" si="52"/>
        <v/>
      </c>
      <c r="D636" s="557" t="str">
        <f t="shared" si="53"/>
        <v/>
      </c>
      <c r="E636" s="560"/>
      <c r="F636" s="559"/>
      <c r="G636" s="559" t="str">
        <f t="shared" si="54"/>
        <v/>
      </c>
      <c r="H636" s="559" t="str">
        <f t="shared" si="55"/>
        <v/>
      </c>
      <c r="I636" s="559" t="str">
        <f t="shared" si="56"/>
        <v/>
      </c>
    </row>
    <row r="637" spans="2:9">
      <c r="B637" s="555" t="str">
        <f t="shared" ref="B637:B700" si="57">IF(I636="","",IF(roundOpt,IF(OR(B636&gt;=nper,ROUND(I636,2)&lt;=0),"",B636+1),IF(OR(B636&gt;=nper,I636&lt;=0),"",B636+1)))</f>
        <v/>
      </c>
      <c r="C637" s="556" t="str">
        <f t="shared" ref="C637:C700" si="58">IF(B637="","",IF(OR(periods_per_year=26,periods_per_year=52),IF(periods_per_year=26,IF(B637=1,fpdate,C636+14),IF(periods_per_year=52,IF(B637=1,fpdate,C636+7),"n/a")),IF(periods_per_year=24,DATE(YEAR(fpdate),MONTH(fpdate)+(B637-1)/2+IF(AND(DAY(fpdate)&gt;=15,MOD(B637,2)=0),1,0),IF(MOD(B637,2)=0,IF(DAY(fpdate)&gt;=15,DAY(fpdate)-14,DAY(fpdate)+14),DAY(fpdate))),IF(DAY(DATE(YEAR(fpdate),MONTH(fpdate)+(B637-1)*months_per_period,DAY(fpdate)))&lt;&gt;DAY(fpdate),DATE(YEAR(fpdate),MONTH(fpdate)+(B637-1)*months_per_period+1,0),DATE(YEAR(fpdate),MONTH(fpdate)+(B637-1)*months_per_period,DAY(fpdate))))))</f>
        <v/>
      </c>
      <c r="D637" s="557" t="str">
        <f t="shared" ref="D637:D700" si="59">IF(B637="","",IF(roundOpt,IF(OR(B637=nper,payment&gt;ROUND((1+rate)*I636,2)),ROUND((1+rate)*I636,2),payment),IF(OR(B637=nper,payment&gt;(1+rate)*I636),(1+rate)*I636,payment)))</f>
        <v/>
      </c>
      <c r="E637" s="560"/>
      <c r="F637" s="559"/>
      <c r="G637" s="559" t="str">
        <f t="shared" ref="G637:G700" si="60">IF(B637="","",IF(AND(B637=1,pmtType=1),0,IF(roundOpt,ROUND(rate*I636,2),rate*I636)))</f>
        <v/>
      </c>
      <c r="H637" s="559" t="str">
        <f t="shared" ref="H637:H700" si="61">IF(B637="","",D637-G637+E637)</f>
        <v/>
      </c>
      <c r="I637" s="559" t="str">
        <f t="shared" ref="I637:I700" si="62">IF(B637="","",I636-H637)</f>
        <v/>
      </c>
    </row>
    <row r="638" spans="2:9">
      <c r="B638" s="555" t="str">
        <f t="shared" si="57"/>
        <v/>
      </c>
      <c r="C638" s="556" t="str">
        <f t="shared" si="58"/>
        <v/>
      </c>
      <c r="D638" s="557" t="str">
        <f t="shared" si="59"/>
        <v/>
      </c>
      <c r="E638" s="560"/>
      <c r="F638" s="559"/>
      <c r="G638" s="559" t="str">
        <f t="shared" si="60"/>
        <v/>
      </c>
      <c r="H638" s="559" t="str">
        <f t="shared" si="61"/>
        <v/>
      </c>
      <c r="I638" s="559" t="str">
        <f t="shared" si="62"/>
        <v/>
      </c>
    </row>
    <row r="639" spans="2:9">
      <c r="B639" s="555" t="str">
        <f t="shared" si="57"/>
        <v/>
      </c>
      <c r="C639" s="556" t="str">
        <f t="shared" si="58"/>
        <v/>
      </c>
      <c r="D639" s="557" t="str">
        <f t="shared" si="59"/>
        <v/>
      </c>
      <c r="E639" s="560"/>
      <c r="F639" s="559"/>
      <c r="G639" s="559" t="str">
        <f t="shared" si="60"/>
        <v/>
      </c>
      <c r="H639" s="559" t="str">
        <f t="shared" si="61"/>
        <v/>
      </c>
      <c r="I639" s="559" t="str">
        <f t="shared" si="62"/>
        <v/>
      </c>
    </row>
    <row r="640" spans="2:9">
      <c r="B640" s="555" t="str">
        <f t="shared" si="57"/>
        <v/>
      </c>
      <c r="C640" s="556" t="str">
        <f t="shared" si="58"/>
        <v/>
      </c>
      <c r="D640" s="557" t="str">
        <f t="shared" si="59"/>
        <v/>
      </c>
      <c r="E640" s="560"/>
      <c r="F640" s="559"/>
      <c r="G640" s="559" t="str">
        <f t="shared" si="60"/>
        <v/>
      </c>
      <c r="H640" s="559" t="str">
        <f t="shared" si="61"/>
        <v/>
      </c>
      <c r="I640" s="559" t="str">
        <f t="shared" si="62"/>
        <v/>
      </c>
    </row>
    <row r="641" spans="2:9">
      <c r="B641" s="555" t="str">
        <f t="shared" si="57"/>
        <v/>
      </c>
      <c r="C641" s="556" t="str">
        <f t="shared" si="58"/>
        <v/>
      </c>
      <c r="D641" s="557" t="str">
        <f t="shared" si="59"/>
        <v/>
      </c>
      <c r="E641" s="560"/>
      <c r="F641" s="559"/>
      <c r="G641" s="559" t="str">
        <f t="shared" si="60"/>
        <v/>
      </c>
      <c r="H641" s="559" t="str">
        <f t="shared" si="61"/>
        <v/>
      </c>
      <c r="I641" s="559" t="str">
        <f t="shared" si="62"/>
        <v/>
      </c>
    </row>
    <row r="642" spans="2:9">
      <c r="B642" s="555" t="str">
        <f t="shared" si="57"/>
        <v/>
      </c>
      <c r="C642" s="556" t="str">
        <f t="shared" si="58"/>
        <v/>
      </c>
      <c r="D642" s="557" t="str">
        <f t="shared" si="59"/>
        <v/>
      </c>
      <c r="E642" s="560"/>
      <c r="F642" s="559"/>
      <c r="G642" s="559" t="str">
        <f t="shared" si="60"/>
        <v/>
      </c>
      <c r="H642" s="559" t="str">
        <f t="shared" si="61"/>
        <v/>
      </c>
      <c r="I642" s="559" t="str">
        <f t="shared" si="62"/>
        <v/>
      </c>
    </row>
    <row r="643" spans="2:9">
      <c r="B643" s="555" t="str">
        <f t="shared" si="57"/>
        <v/>
      </c>
      <c r="C643" s="556" t="str">
        <f t="shared" si="58"/>
        <v/>
      </c>
      <c r="D643" s="557" t="str">
        <f t="shared" si="59"/>
        <v/>
      </c>
      <c r="E643" s="560"/>
      <c r="F643" s="559"/>
      <c r="G643" s="559" t="str">
        <f t="shared" si="60"/>
        <v/>
      </c>
      <c r="H643" s="559" t="str">
        <f t="shared" si="61"/>
        <v/>
      </c>
      <c r="I643" s="559" t="str">
        <f t="shared" si="62"/>
        <v/>
      </c>
    </row>
    <row r="644" spans="2:9">
      <c r="B644" s="555" t="str">
        <f t="shared" si="57"/>
        <v/>
      </c>
      <c r="C644" s="556" t="str">
        <f t="shared" si="58"/>
        <v/>
      </c>
      <c r="D644" s="557" t="str">
        <f t="shared" si="59"/>
        <v/>
      </c>
      <c r="E644" s="560"/>
      <c r="F644" s="559"/>
      <c r="G644" s="559" t="str">
        <f t="shared" si="60"/>
        <v/>
      </c>
      <c r="H644" s="559" t="str">
        <f t="shared" si="61"/>
        <v/>
      </c>
      <c r="I644" s="559" t="str">
        <f t="shared" si="62"/>
        <v/>
      </c>
    </row>
    <row r="645" spans="2:9">
      <c r="B645" s="555" t="str">
        <f t="shared" si="57"/>
        <v/>
      </c>
      <c r="C645" s="556" t="str">
        <f t="shared" si="58"/>
        <v/>
      </c>
      <c r="D645" s="557" t="str">
        <f t="shared" si="59"/>
        <v/>
      </c>
      <c r="E645" s="560"/>
      <c r="F645" s="559"/>
      <c r="G645" s="559" t="str">
        <f t="shared" si="60"/>
        <v/>
      </c>
      <c r="H645" s="559" t="str">
        <f t="shared" si="61"/>
        <v/>
      </c>
      <c r="I645" s="559" t="str">
        <f t="shared" si="62"/>
        <v/>
      </c>
    </row>
    <row r="646" spans="2:9">
      <c r="B646" s="555" t="str">
        <f t="shared" si="57"/>
        <v/>
      </c>
      <c r="C646" s="556" t="str">
        <f t="shared" si="58"/>
        <v/>
      </c>
      <c r="D646" s="557" t="str">
        <f t="shared" si="59"/>
        <v/>
      </c>
      <c r="E646" s="560"/>
      <c r="F646" s="559"/>
      <c r="G646" s="559" t="str">
        <f t="shared" si="60"/>
        <v/>
      </c>
      <c r="H646" s="559" t="str">
        <f t="shared" si="61"/>
        <v/>
      </c>
      <c r="I646" s="559" t="str">
        <f t="shared" si="62"/>
        <v/>
      </c>
    </row>
    <row r="647" spans="2:9">
      <c r="B647" s="555" t="str">
        <f t="shared" si="57"/>
        <v/>
      </c>
      <c r="C647" s="556" t="str">
        <f t="shared" si="58"/>
        <v/>
      </c>
      <c r="D647" s="557" t="str">
        <f t="shared" si="59"/>
        <v/>
      </c>
      <c r="E647" s="560"/>
      <c r="F647" s="559"/>
      <c r="G647" s="559" t="str">
        <f t="shared" si="60"/>
        <v/>
      </c>
      <c r="H647" s="559" t="str">
        <f t="shared" si="61"/>
        <v/>
      </c>
      <c r="I647" s="559" t="str">
        <f t="shared" si="62"/>
        <v/>
      </c>
    </row>
    <row r="648" spans="2:9">
      <c r="B648" s="555" t="str">
        <f t="shared" si="57"/>
        <v/>
      </c>
      <c r="C648" s="556" t="str">
        <f t="shared" si="58"/>
        <v/>
      </c>
      <c r="D648" s="557" t="str">
        <f t="shared" si="59"/>
        <v/>
      </c>
      <c r="E648" s="560"/>
      <c r="F648" s="559"/>
      <c r="G648" s="559" t="str">
        <f t="shared" si="60"/>
        <v/>
      </c>
      <c r="H648" s="559" t="str">
        <f t="shared" si="61"/>
        <v/>
      </c>
      <c r="I648" s="559" t="str">
        <f t="shared" si="62"/>
        <v/>
      </c>
    </row>
    <row r="649" spans="2:9">
      <c r="B649" s="555" t="str">
        <f t="shared" si="57"/>
        <v/>
      </c>
      <c r="C649" s="556" t="str">
        <f t="shared" si="58"/>
        <v/>
      </c>
      <c r="D649" s="557" t="str">
        <f t="shared" si="59"/>
        <v/>
      </c>
      <c r="E649" s="560"/>
      <c r="F649" s="559"/>
      <c r="G649" s="559" t="str">
        <f t="shared" si="60"/>
        <v/>
      </c>
      <c r="H649" s="559" t="str">
        <f t="shared" si="61"/>
        <v/>
      </c>
      <c r="I649" s="559" t="str">
        <f t="shared" si="62"/>
        <v/>
      </c>
    </row>
    <row r="650" spans="2:9">
      <c r="B650" s="555" t="str">
        <f t="shared" si="57"/>
        <v/>
      </c>
      <c r="C650" s="556" t="str">
        <f t="shared" si="58"/>
        <v/>
      </c>
      <c r="D650" s="557" t="str">
        <f t="shared" si="59"/>
        <v/>
      </c>
      <c r="E650" s="560"/>
      <c r="F650" s="559"/>
      <c r="G650" s="559" t="str">
        <f t="shared" si="60"/>
        <v/>
      </c>
      <c r="H650" s="559" t="str">
        <f t="shared" si="61"/>
        <v/>
      </c>
      <c r="I650" s="559" t="str">
        <f t="shared" si="62"/>
        <v/>
      </c>
    </row>
    <row r="651" spans="2:9">
      <c r="B651" s="555" t="str">
        <f t="shared" si="57"/>
        <v/>
      </c>
      <c r="C651" s="556" t="str">
        <f t="shared" si="58"/>
        <v/>
      </c>
      <c r="D651" s="557" t="str">
        <f t="shared" si="59"/>
        <v/>
      </c>
      <c r="E651" s="560"/>
      <c r="F651" s="559"/>
      <c r="G651" s="559" t="str">
        <f t="shared" si="60"/>
        <v/>
      </c>
      <c r="H651" s="559" t="str">
        <f t="shared" si="61"/>
        <v/>
      </c>
      <c r="I651" s="559" t="str">
        <f t="shared" si="62"/>
        <v/>
      </c>
    </row>
    <row r="652" spans="2:9">
      <c r="B652" s="555" t="str">
        <f t="shared" si="57"/>
        <v/>
      </c>
      <c r="C652" s="556" t="str">
        <f t="shared" si="58"/>
        <v/>
      </c>
      <c r="D652" s="557" t="str">
        <f t="shared" si="59"/>
        <v/>
      </c>
      <c r="E652" s="560"/>
      <c r="F652" s="559"/>
      <c r="G652" s="559" t="str">
        <f t="shared" si="60"/>
        <v/>
      </c>
      <c r="H652" s="559" t="str">
        <f t="shared" si="61"/>
        <v/>
      </c>
      <c r="I652" s="559" t="str">
        <f t="shared" si="62"/>
        <v/>
      </c>
    </row>
    <row r="653" spans="2:9">
      <c r="B653" s="555" t="str">
        <f t="shared" si="57"/>
        <v/>
      </c>
      <c r="C653" s="556" t="str">
        <f t="shared" si="58"/>
        <v/>
      </c>
      <c r="D653" s="557" t="str">
        <f t="shared" si="59"/>
        <v/>
      </c>
      <c r="E653" s="560"/>
      <c r="F653" s="559"/>
      <c r="G653" s="559" t="str">
        <f t="shared" si="60"/>
        <v/>
      </c>
      <c r="H653" s="559" t="str">
        <f t="shared" si="61"/>
        <v/>
      </c>
      <c r="I653" s="559" t="str">
        <f t="shared" si="62"/>
        <v/>
      </c>
    </row>
    <row r="654" spans="2:9">
      <c r="B654" s="555" t="str">
        <f t="shared" si="57"/>
        <v/>
      </c>
      <c r="C654" s="556" t="str">
        <f t="shared" si="58"/>
        <v/>
      </c>
      <c r="D654" s="557" t="str">
        <f t="shared" si="59"/>
        <v/>
      </c>
      <c r="E654" s="560"/>
      <c r="F654" s="559"/>
      <c r="G654" s="559" t="str">
        <f t="shared" si="60"/>
        <v/>
      </c>
      <c r="H654" s="559" t="str">
        <f t="shared" si="61"/>
        <v/>
      </c>
      <c r="I654" s="559" t="str">
        <f t="shared" si="62"/>
        <v/>
      </c>
    </row>
    <row r="655" spans="2:9">
      <c r="B655" s="555" t="str">
        <f t="shared" si="57"/>
        <v/>
      </c>
      <c r="C655" s="556" t="str">
        <f t="shared" si="58"/>
        <v/>
      </c>
      <c r="D655" s="557" t="str">
        <f t="shared" si="59"/>
        <v/>
      </c>
      <c r="E655" s="560"/>
      <c r="F655" s="559"/>
      <c r="G655" s="559" t="str">
        <f t="shared" si="60"/>
        <v/>
      </c>
      <c r="H655" s="559" t="str">
        <f t="shared" si="61"/>
        <v/>
      </c>
      <c r="I655" s="559" t="str">
        <f t="shared" si="62"/>
        <v/>
      </c>
    </row>
    <row r="656" spans="2:9">
      <c r="B656" s="555" t="str">
        <f t="shared" si="57"/>
        <v/>
      </c>
      <c r="C656" s="556" t="str">
        <f t="shared" si="58"/>
        <v/>
      </c>
      <c r="D656" s="557" t="str">
        <f t="shared" si="59"/>
        <v/>
      </c>
      <c r="E656" s="560"/>
      <c r="F656" s="559"/>
      <c r="G656" s="559" t="str">
        <f t="shared" si="60"/>
        <v/>
      </c>
      <c r="H656" s="559" t="str">
        <f t="shared" si="61"/>
        <v/>
      </c>
      <c r="I656" s="559" t="str">
        <f t="shared" si="62"/>
        <v/>
      </c>
    </row>
    <row r="657" spans="2:9">
      <c r="B657" s="555" t="str">
        <f t="shared" si="57"/>
        <v/>
      </c>
      <c r="C657" s="556" t="str">
        <f t="shared" si="58"/>
        <v/>
      </c>
      <c r="D657" s="557" t="str">
        <f t="shared" si="59"/>
        <v/>
      </c>
      <c r="E657" s="560"/>
      <c r="F657" s="559"/>
      <c r="G657" s="559" t="str">
        <f t="shared" si="60"/>
        <v/>
      </c>
      <c r="H657" s="559" t="str">
        <f t="shared" si="61"/>
        <v/>
      </c>
      <c r="I657" s="559" t="str">
        <f t="shared" si="62"/>
        <v/>
      </c>
    </row>
    <row r="658" spans="2:9">
      <c r="B658" s="555" t="str">
        <f t="shared" si="57"/>
        <v/>
      </c>
      <c r="C658" s="556" t="str">
        <f t="shared" si="58"/>
        <v/>
      </c>
      <c r="D658" s="557" t="str">
        <f t="shared" si="59"/>
        <v/>
      </c>
      <c r="E658" s="560"/>
      <c r="F658" s="559"/>
      <c r="G658" s="559" t="str">
        <f t="shared" si="60"/>
        <v/>
      </c>
      <c r="H658" s="559" t="str">
        <f t="shared" si="61"/>
        <v/>
      </c>
      <c r="I658" s="559" t="str">
        <f t="shared" si="62"/>
        <v/>
      </c>
    </row>
    <row r="659" spans="2:9">
      <c r="B659" s="555" t="str">
        <f t="shared" si="57"/>
        <v/>
      </c>
      <c r="C659" s="556" t="str">
        <f t="shared" si="58"/>
        <v/>
      </c>
      <c r="D659" s="557" t="str">
        <f t="shared" si="59"/>
        <v/>
      </c>
      <c r="E659" s="560"/>
      <c r="F659" s="559"/>
      <c r="G659" s="559" t="str">
        <f t="shared" si="60"/>
        <v/>
      </c>
      <c r="H659" s="559" t="str">
        <f t="shared" si="61"/>
        <v/>
      </c>
      <c r="I659" s="559" t="str">
        <f t="shared" si="62"/>
        <v/>
      </c>
    </row>
    <row r="660" spans="2:9">
      <c r="B660" s="555" t="str">
        <f t="shared" si="57"/>
        <v/>
      </c>
      <c r="C660" s="556" t="str">
        <f t="shared" si="58"/>
        <v/>
      </c>
      <c r="D660" s="557" t="str">
        <f t="shared" si="59"/>
        <v/>
      </c>
      <c r="E660" s="560"/>
      <c r="F660" s="559"/>
      <c r="G660" s="559" t="str">
        <f t="shared" si="60"/>
        <v/>
      </c>
      <c r="H660" s="559" t="str">
        <f t="shared" si="61"/>
        <v/>
      </c>
      <c r="I660" s="559" t="str">
        <f t="shared" si="62"/>
        <v/>
      </c>
    </row>
    <row r="661" spans="2:9">
      <c r="B661" s="555" t="str">
        <f t="shared" si="57"/>
        <v/>
      </c>
      <c r="C661" s="556" t="str">
        <f t="shared" si="58"/>
        <v/>
      </c>
      <c r="D661" s="557" t="str">
        <f t="shared" si="59"/>
        <v/>
      </c>
      <c r="E661" s="560"/>
      <c r="F661" s="559"/>
      <c r="G661" s="559" t="str">
        <f t="shared" si="60"/>
        <v/>
      </c>
      <c r="H661" s="559" t="str">
        <f t="shared" si="61"/>
        <v/>
      </c>
      <c r="I661" s="559" t="str">
        <f t="shared" si="62"/>
        <v/>
      </c>
    </row>
    <row r="662" spans="2:9">
      <c r="B662" s="555" t="str">
        <f t="shared" si="57"/>
        <v/>
      </c>
      <c r="C662" s="556" t="str">
        <f t="shared" si="58"/>
        <v/>
      </c>
      <c r="D662" s="557" t="str">
        <f t="shared" si="59"/>
        <v/>
      </c>
      <c r="E662" s="560"/>
      <c r="F662" s="559"/>
      <c r="G662" s="559" t="str">
        <f t="shared" si="60"/>
        <v/>
      </c>
      <c r="H662" s="559" t="str">
        <f t="shared" si="61"/>
        <v/>
      </c>
      <c r="I662" s="559" t="str">
        <f t="shared" si="62"/>
        <v/>
      </c>
    </row>
    <row r="663" spans="2:9">
      <c r="B663" s="555" t="str">
        <f t="shared" si="57"/>
        <v/>
      </c>
      <c r="C663" s="556" t="str">
        <f t="shared" si="58"/>
        <v/>
      </c>
      <c r="D663" s="557" t="str">
        <f t="shared" si="59"/>
        <v/>
      </c>
      <c r="E663" s="560"/>
      <c r="F663" s="559"/>
      <c r="G663" s="559" t="str">
        <f t="shared" si="60"/>
        <v/>
      </c>
      <c r="H663" s="559" t="str">
        <f t="shared" si="61"/>
        <v/>
      </c>
      <c r="I663" s="559" t="str">
        <f t="shared" si="62"/>
        <v/>
      </c>
    </row>
    <row r="664" spans="2:9">
      <c r="B664" s="555" t="str">
        <f t="shared" si="57"/>
        <v/>
      </c>
      <c r="C664" s="556" t="str">
        <f t="shared" si="58"/>
        <v/>
      </c>
      <c r="D664" s="557" t="str">
        <f t="shared" si="59"/>
        <v/>
      </c>
      <c r="E664" s="560"/>
      <c r="F664" s="559"/>
      <c r="G664" s="559" t="str">
        <f t="shared" si="60"/>
        <v/>
      </c>
      <c r="H664" s="559" t="str">
        <f t="shared" si="61"/>
        <v/>
      </c>
      <c r="I664" s="559" t="str">
        <f t="shared" si="62"/>
        <v/>
      </c>
    </row>
    <row r="665" spans="2:9">
      <c r="B665" s="555" t="str">
        <f t="shared" si="57"/>
        <v/>
      </c>
      <c r="C665" s="556" t="str">
        <f t="shared" si="58"/>
        <v/>
      </c>
      <c r="D665" s="557" t="str">
        <f t="shared" si="59"/>
        <v/>
      </c>
      <c r="E665" s="560"/>
      <c r="F665" s="559"/>
      <c r="G665" s="559" t="str">
        <f t="shared" si="60"/>
        <v/>
      </c>
      <c r="H665" s="559" t="str">
        <f t="shared" si="61"/>
        <v/>
      </c>
      <c r="I665" s="559" t="str">
        <f t="shared" si="62"/>
        <v/>
      </c>
    </row>
    <row r="666" spans="2:9">
      <c r="B666" s="555" t="str">
        <f t="shared" si="57"/>
        <v/>
      </c>
      <c r="C666" s="556" t="str">
        <f t="shared" si="58"/>
        <v/>
      </c>
      <c r="D666" s="557" t="str">
        <f t="shared" si="59"/>
        <v/>
      </c>
      <c r="E666" s="560"/>
      <c r="F666" s="559"/>
      <c r="G666" s="559" t="str">
        <f t="shared" si="60"/>
        <v/>
      </c>
      <c r="H666" s="559" t="str">
        <f t="shared" si="61"/>
        <v/>
      </c>
      <c r="I666" s="559" t="str">
        <f t="shared" si="62"/>
        <v/>
      </c>
    </row>
    <row r="667" spans="2:9">
      <c r="B667" s="555" t="str">
        <f t="shared" si="57"/>
        <v/>
      </c>
      <c r="C667" s="556" t="str">
        <f t="shared" si="58"/>
        <v/>
      </c>
      <c r="D667" s="557" t="str">
        <f t="shared" si="59"/>
        <v/>
      </c>
      <c r="E667" s="560"/>
      <c r="F667" s="559"/>
      <c r="G667" s="559" t="str">
        <f t="shared" si="60"/>
        <v/>
      </c>
      <c r="H667" s="559" t="str">
        <f t="shared" si="61"/>
        <v/>
      </c>
      <c r="I667" s="559" t="str">
        <f t="shared" si="62"/>
        <v/>
      </c>
    </row>
    <row r="668" spans="2:9">
      <c r="B668" s="555" t="str">
        <f t="shared" si="57"/>
        <v/>
      </c>
      <c r="C668" s="556" t="str">
        <f t="shared" si="58"/>
        <v/>
      </c>
      <c r="D668" s="557" t="str">
        <f t="shared" si="59"/>
        <v/>
      </c>
      <c r="E668" s="560"/>
      <c r="F668" s="559"/>
      <c r="G668" s="559" t="str">
        <f t="shared" si="60"/>
        <v/>
      </c>
      <c r="H668" s="559" t="str">
        <f t="shared" si="61"/>
        <v/>
      </c>
      <c r="I668" s="559" t="str">
        <f t="shared" si="62"/>
        <v/>
      </c>
    </row>
    <row r="669" spans="2:9">
      <c r="B669" s="555" t="str">
        <f t="shared" si="57"/>
        <v/>
      </c>
      <c r="C669" s="556" t="str">
        <f t="shared" si="58"/>
        <v/>
      </c>
      <c r="D669" s="557" t="str">
        <f t="shared" si="59"/>
        <v/>
      </c>
      <c r="E669" s="560"/>
      <c r="F669" s="559"/>
      <c r="G669" s="559" t="str">
        <f t="shared" si="60"/>
        <v/>
      </c>
      <c r="H669" s="559" t="str">
        <f t="shared" si="61"/>
        <v/>
      </c>
      <c r="I669" s="559" t="str">
        <f t="shared" si="62"/>
        <v/>
      </c>
    </row>
    <row r="670" spans="2:9">
      <c r="B670" s="555" t="str">
        <f t="shared" si="57"/>
        <v/>
      </c>
      <c r="C670" s="556" t="str">
        <f t="shared" si="58"/>
        <v/>
      </c>
      <c r="D670" s="557" t="str">
        <f t="shared" si="59"/>
        <v/>
      </c>
      <c r="E670" s="560"/>
      <c r="F670" s="559"/>
      <c r="G670" s="559" t="str">
        <f t="shared" si="60"/>
        <v/>
      </c>
      <c r="H670" s="559" t="str">
        <f t="shared" si="61"/>
        <v/>
      </c>
      <c r="I670" s="559" t="str">
        <f t="shared" si="62"/>
        <v/>
      </c>
    </row>
    <row r="671" spans="2:9">
      <c r="B671" s="555" t="str">
        <f t="shared" si="57"/>
        <v/>
      </c>
      <c r="C671" s="556" t="str">
        <f t="shared" si="58"/>
        <v/>
      </c>
      <c r="D671" s="557" t="str">
        <f t="shared" si="59"/>
        <v/>
      </c>
      <c r="E671" s="560"/>
      <c r="F671" s="559"/>
      <c r="G671" s="559" t="str">
        <f t="shared" si="60"/>
        <v/>
      </c>
      <c r="H671" s="559" t="str">
        <f t="shared" si="61"/>
        <v/>
      </c>
      <c r="I671" s="559" t="str">
        <f t="shared" si="62"/>
        <v/>
      </c>
    </row>
    <row r="672" spans="2:9">
      <c r="B672" s="555" t="str">
        <f t="shared" si="57"/>
        <v/>
      </c>
      <c r="C672" s="556" t="str">
        <f t="shared" si="58"/>
        <v/>
      </c>
      <c r="D672" s="557" t="str">
        <f t="shared" si="59"/>
        <v/>
      </c>
      <c r="E672" s="560"/>
      <c r="F672" s="559"/>
      <c r="G672" s="559" t="str">
        <f t="shared" si="60"/>
        <v/>
      </c>
      <c r="H672" s="559" t="str">
        <f t="shared" si="61"/>
        <v/>
      </c>
      <c r="I672" s="559" t="str">
        <f t="shared" si="62"/>
        <v/>
      </c>
    </row>
    <row r="673" spans="2:9">
      <c r="B673" s="555" t="str">
        <f t="shared" si="57"/>
        <v/>
      </c>
      <c r="C673" s="556" t="str">
        <f t="shared" si="58"/>
        <v/>
      </c>
      <c r="D673" s="557" t="str">
        <f t="shared" si="59"/>
        <v/>
      </c>
      <c r="E673" s="560"/>
      <c r="F673" s="559"/>
      <c r="G673" s="559" t="str">
        <f t="shared" si="60"/>
        <v/>
      </c>
      <c r="H673" s="559" t="str">
        <f t="shared" si="61"/>
        <v/>
      </c>
      <c r="I673" s="559" t="str">
        <f t="shared" si="62"/>
        <v/>
      </c>
    </row>
    <row r="674" spans="2:9">
      <c r="B674" s="555" t="str">
        <f t="shared" si="57"/>
        <v/>
      </c>
      <c r="C674" s="556" t="str">
        <f t="shared" si="58"/>
        <v/>
      </c>
      <c r="D674" s="557" t="str">
        <f t="shared" si="59"/>
        <v/>
      </c>
      <c r="E674" s="560"/>
      <c r="F674" s="559"/>
      <c r="G674" s="559" t="str">
        <f t="shared" si="60"/>
        <v/>
      </c>
      <c r="H674" s="559" t="str">
        <f t="shared" si="61"/>
        <v/>
      </c>
      <c r="I674" s="559" t="str">
        <f t="shared" si="62"/>
        <v/>
      </c>
    </row>
    <row r="675" spans="2:9">
      <c r="B675" s="555" t="str">
        <f t="shared" si="57"/>
        <v/>
      </c>
      <c r="C675" s="556" t="str">
        <f t="shared" si="58"/>
        <v/>
      </c>
      <c r="D675" s="557" t="str">
        <f t="shared" si="59"/>
        <v/>
      </c>
      <c r="E675" s="560"/>
      <c r="F675" s="559"/>
      <c r="G675" s="559" t="str">
        <f t="shared" si="60"/>
        <v/>
      </c>
      <c r="H675" s="559" t="str">
        <f t="shared" si="61"/>
        <v/>
      </c>
      <c r="I675" s="559" t="str">
        <f t="shared" si="62"/>
        <v/>
      </c>
    </row>
    <row r="676" spans="2:9">
      <c r="B676" s="555" t="str">
        <f t="shared" si="57"/>
        <v/>
      </c>
      <c r="C676" s="556" t="str">
        <f t="shared" si="58"/>
        <v/>
      </c>
      <c r="D676" s="557" t="str">
        <f t="shared" si="59"/>
        <v/>
      </c>
      <c r="E676" s="560"/>
      <c r="F676" s="559"/>
      <c r="G676" s="559" t="str">
        <f t="shared" si="60"/>
        <v/>
      </c>
      <c r="H676" s="559" t="str">
        <f t="shared" si="61"/>
        <v/>
      </c>
      <c r="I676" s="559" t="str">
        <f t="shared" si="62"/>
        <v/>
      </c>
    </row>
    <row r="677" spans="2:9">
      <c r="B677" s="555" t="str">
        <f t="shared" si="57"/>
        <v/>
      </c>
      <c r="C677" s="556" t="str">
        <f t="shared" si="58"/>
        <v/>
      </c>
      <c r="D677" s="557" t="str">
        <f t="shared" si="59"/>
        <v/>
      </c>
      <c r="E677" s="560"/>
      <c r="F677" s="559"/>
      <c r="G677" s="559" t="str">
        <f t="shared" si="60"/>
        <v/>
      </c>
      <c r="H677" s="559" t="str">
        <f t="shared" si="61"/>
        <v/>
      </c>
      <c r="I677" s="559" t="str">
        <f t="shared" si="62"/>
        <v/>
      </c>
    </row>
    <row r="678" spans="2:9">
      <c r="B678" s="555" t="str">
        <f t="shared" si="57"/>
        <v/>
      </c>
      <c r="C678" s="556" t="str">
        <f t="shared" si="58"/>
        <v/>
      </c>
      <c r="D678" s="557" t="str">
        <f t="shared" si="59"/>
        <v/>
      </c>
      <c r="E678" s="560"/>
      <c r="F678" s="559"/>
      <c r="G678" s="559" t="str">
        <f t="shared" si="60"/>
        <v/>
      </c>
      <c r="H678" s="559" t="str">
        <f t="shared" si="61"/>
        <v/>
      </c>
      <c r="I678" s="559" t="str">
        <f t="shared" si="62"/>
        <v/>
      </c>
    </row>
    <row r="679" spans="2:9">
      <c r="B679" s="555" t="str">
        <f t="shared" si="57"/>
        <v/>
      </c>
      <c r="C679" s="556" t="str">
        <f t="shared" si="58"/>
        <v/>
      </c>
      <c r="D679" s="557" t="str">
        <f t="shared" si="59"/>
        <v/>
      </c>
      <c r="E679" s="560"/>
      <c r="F679" s="559"/>
      <c r="G679" s="559" t="str">
        <f t="shared" si="60"/>
        <v/>
      </c>
      <c r="H679" s="559" t="str">
        <f t="shared" si="61"/>
        <v/>
      </c>
      <c r="I679" s="559" t="str">
        <f t="shared" si="62"/>
        <v/>
      </c>
    </row>
    <row r="680" spans="2:9">
      <c r="B680" s="555" t="str">
        <f t="shared" si="57"/>
        <v/>
      </c>
      <c r="C680" s="556" t="str">
        <f t="shared" si="58"/>
        <v/>
      </c>
      <c r="D680" s="557" t="str">
        <f t="shared" si="59"/>
        <v/>
      </c>
      <c r="E680" s="560"/>
      <c r="F680" s="559"/>
      <c r="G680" s="559" t="str">
        <f t="shared" si="60"/>
        <v/>
      </c>
      <c r="H680" s="559" t="str">
        <f t="shared" si="61"/>
        <v/>
      </c>
      <c r="I680" s="559" t="str">
        <f t="shared" si="62"/>
        <v/>
      </c>
    </row>
    <row r="681" spans="2:9">
      <c r="B681" s="555" t="str">
        <f t="shared" si="57"/>
        <v/>
      </c>
      <c r="C681" s="556" t="str">
        <f t="shared" si="58"/>
        <v/>
      </c>
      <c r="D681" s="557" t="str">
        <f t="shared" si="59"/>
        <v/>
      </c>
      <c r="E681" s="560"/>
      <c r="F681" s="559"/>
      <c r="G681" s="559" t="str">
        <f t="shared" si="60"/>
        <v/>
      </c>
      <c r="H681" s="559" t="str">
        <f t="shared" si="61"/>
        <v/>
      </c>
      <c r="I681" s="559" t="str">
        <f t="shared" si="62"/>
        <v/>
      </c>
    </row>
    <row r="682" spans="2:9">
      <c r="B682" s="555" t="str">
        <f t="shared" si="57"/>
        <v/>
      </c>
      <c r="C682" s="556" t="str">
        <f t="shared" si="58"/>
        <v/>
      </c>
      <c r="D682" s="557" t="str">
        <f t="shared" si="59"/>
        <v/>
      </c>
      <c r="E682" s="560"/>
      <c r="F682" s="559"/>
      <c r="G682" s="559" t="str">
        <f t="shared" si="60"/>
        <v/>
      </c>
      <c r="H682" s="559" t="str">
        <f t="shared" si="61"/>
        <v/>
      </c>
      <c r="I682" s="559" t="str">
        <f t="shared" si="62"/>
        <v/>
      </c>
    </row>
    <row r="683" spans="2:9">
      <c r="B683" s="555" t="str">
        <f t="shared" si="57"/>
        <v/>
      </c>
      <c r="C683" s="556" t="str">
        <f t="shared" si="58"/>
        <v/>
      </c>
      <c r="D683" s="557" t="str">
        <f t="shared" si="59"/>
        <v/>
      </c>
      <c r="E683" s="560"/>
      <c r="F683" s="559"/>
      <c r="G683" s="559" t="str">
        <f t="shared" si="60"/>
        <v/>
      </c>
      <c r="H683" s="559" t="str">
        <f t="shared" si="61"/>
        <v/>
      </c>
      <c r="I683" s="559" t="str">
        <f t="shared" si="62"/>
        <v/>
      </c>
    </row>
    <row r="684" spans="2:9">
      <c r="B684" s="555" t="str">
        <f t="shared" si="57"/>
        <v/>
      </c>
      <c r="C684" s="556" t="str">
        <f t="shared" si="58"/>
        <v/>
      </c>
      <c r="D684" s="557" t="str">
        <f t="shared" si="59"/>
        <v/>
      </c>
      <c r="E684" s="560"/>
      <c r="F684" s="559"/>
      <c r="G684" s="559" t="str">
        <f t="shared" si="60"/>
        <v/>
      </c>
      <c r="H684" s="559" t="str">
        <f t="shared" si="61"/>
        <v/>
      </c>
      <c r="I684" s="559" t="str">
        <f t="shared" si="62"/>
        <v/>
      </c>
    </row>
    <row r="685" spans="2:9">
      <c r="B685" s="555" t="str">
        <f t="shared" si="57"/>
        <v/>
      </c>
      <c r="C685" s="556" t="str">
        <f t="shared" si="58"/>
        <v/>
      </c>
      <c r="D685" s="557" t="str">
        <f t="shared" si="59"/>
        <v/>
      </c>
      <c r="E685" s="560"/>
      <c r="F685" s="559"/>
      <c r="G685" s="559" t="str">
        <f t="shared" si="60"/>
        <v/>
      </c>
      <c r="H685" s="559" t="str">
        <f t="shared" si="61"/>
        <v/>
      </c>
      <c r="I685" s="559" t="str">
        <f t="shared" si="62"/>
        <v/>
      </c>
    </row>
    <row r="686" spans="2:9">
      <c r="B686" s="555" t="str">
        <f t="shared" si="57"/>
        <v/>
      </c>
      <c r="C686" s="556" t="str">
        <f t="shared" si="58"/>
        <v/>
      </c>
      <c r="D686" s="557" t="str">
        <f t="shared" si="59"/>
        <v/>
      </c>
      <c r="E686" s="560"/>
      <c r="F686" s="559"/>
      <c r="G686" s="559" t="str">
        <f t="shared" si="60"/>
        <v/>
      </c>
      <c r="H686" s="559" t="str">
        <f t="shared" si="61"/>
        <v/>
      </c>
      <c r="I686" s="559" t="str">
        <f t="shared" si="62"/>
        <v/>
      </c>
    </row>
    <row r="687" spans="2:9">
      <c r="B687" s="555" t="str">
        <f t="shared" si="57"/>
        <v/>
      </c>
      <c r="C687" s="556" t="str">
        <f t="shared" si="58"/>
        <v/>
      </c>
      <c r="D687" s="557" t="str">
        <f t="shared" si="59"/>
        <v/>
      </c>
      <c r="E687" s="560"/>
      <c r="F687" s="559"/>
      <c r="G687" s="559" t="str">
        <f t="shared" si="60"/>
        <v/>
      </c>
      <c r="H687" s="559" t="str">
        <f t="shared" si="61"/>
        <v/>
      </c>
      <c r="I687" s="559" t="str">
        <f t="shared" si="62"/>
        <v/>
      </c>
    </row>
    <row r="688" spans="2:9">
      <c r="B688" s="555" t="str">
        <f t="shared" si="57"/>
        <v/>
      </c>
      <c r="C688" s="556" t="str">
        <f t="shared" si="58"/>
        <v/>
      </c>
      <c r="D688" s="557" t="str">
        <f t="shared" si="59"/>
        <v/>
      </c>
      <c r="E688" s="560"/>
      <c r="F688" s="559"/>
      <c r="G688" s="559" t="str">
        <f t="shared" si="60"/>
        <v/>
      </c>
      <c r="H688" s="559" t="str">
        <f t="shared" si="61"/>
        <v/>
      </c>
      <c r="I688" s="559" t="str">
        <f t="shared" si="62"/>
        <v/>
      </c>
    </row>
    <row r="689" spans="2:9">
      <c r="B689" s="555" t="str">
        <f t="shared" si="57"/>
        <v/>
      </c>
      <c r="C689" s="556" t="str">
        <f t="shared" si="58"/>
        <v/>
      </c>
      <c r="D689" s="557" t="str">
        <f t="shared" si="59"/>
        <v/>
      </c>
      <c r="E689" s="560"/>
      <c r="F689" s="559"/>
      <c r="G689" s="559" t="str">
        <f t="shared" si="60"/>
        <v/>
      </c>
      <c r="H689" s="559" t="str">
        <f t="shared" si="61"/>
        <v/>
      </c>
      <c r="I689" s="559" t="str">
        <f t="shared" si="62"/>
        <v/>
      </c>
    </row>
    <row r="690" spans="2:9">
      <c r="B690" s="555" t="str">
        <f t="shared" si="57"/>
        <v/>
      </c>
      <c r="C690" s="556" t="str">
        <f t="shared" si="58"/>
        <v/>
      </c>
      <c r="D690" s="557" t="str">
        <f t="shared" si="59"/>
        <v/>
      </c>
      <c r="E690" s="560"/>
      <c r="F690" s="559"/>
      <c r="G690" s="559" t="str">
        <f t="shared" si="60"/>
        <v/>
      </c>
      <c r="H690" s="559" t="str">
        <f t="shared" si="61"/>
        <v/>
      </c>
      <c r="I690" s="559" t="str">
        <f t="shared" si="62"/>
        <v/>
      </c>
    </row>
    <row r="691" spans="2:9">
      <c r="B691" s="555" t="str">
        <f t="shared" si="57"/>
        <v/>
      </c>
      <c r="C691" s="556" t="str">
        <f t="shared" si="58"/>
        <v/>
      </c>
      <c r="D691" s="557" t="str">
        <f t="shared" si="59"/>
        <v/>
      </c>
      <c r="E691" s="560"/>
      <c r="F691" s="559"/>
      <c r="G691" s="559" t="str">
        <f t="shared" si="60"/>
        <v/>
      </c>
      <c r="H691" s="559" t="str">
        <f t="shared" si="61"/>
        <v/>
      </c>
      <c r="I691" s="559" t="str">
        <f t="shared" si="62"/>
        <v/>
      </c>
    </row>
    <row r="692" spans="2:9">
      <c r="B692" s="555" t="str">
        <f t="shared" si="57"/>
        <v/>
      </c>
      <c r="C692" s="556" t="str">
        <f t="shared" si="58"/>
        <v/>
      </c>
      <c r="D692" s="557" t="str">
        <f t="shared" si="59"/>
        <v/>
      </c>
      <c r="E692" s="560"/>
      <c r="F692" s="559"/>
      <c r="G692" s="559" t="str">
        <f t="shared" si="60"/>
        <v/>
      </c>
      <c r="H692" s="559" t="str">
        <f t="shared" si="61"/>
        <v/>
      </c>
      <c r="I692" s="559" t="str">
        <f t="shared" si="62"/>
        <v/>
      </c>
    </row>
    <row r="693" spans="2:9">
      <c r="B693" s="555" t="str">
        <f t="shared" si="57"/>
        <v/>
      </c>
      <c r="C693" s="556" t="str">
        <f t="shared" si="58"/>
        <v/>
      </c>
      <c r="D693" s="557" t="str">
        <f t="shared" si="59"/>
        <v/>
      </c>
      <c r="E693" s="560"/>
      <c r="F693" s="559"/>
      <c r="G693" s="559" t="str">
        <f t="shared" si="60"/>
        <v/>
      </c>
      <c r="H693" s="559" t="str">
        <f t="shared" si="61"/>
        <v/>
      </c>
      <c r="I693" s="559" t="str">
        <f t="shared" si="62"/>
        <v/>
      </c>
    </row>
    <row r="694" spans="2:9">
      <c r="B694" s="555" t="str">
        <f t="shared" si="57"/>
        <v/>
      </c>
      <c r="C694" s="556" t="str">
        <f t="shared" si="58"/>
        <v/>
      </c>
      <c r="D694" s="557" t="str">
        <f t="shared" si="59"/>
        <v/>
      </c>
      <c r="E694" s="560"/>
      <c r="F694" s="559"/>
      <c r="G694" s="559" t="str">
        <f t="shared" si="60"/>
        <v/>
      </c>
      <c r="H694" s="559" t="str">
        <f t="shared" si="61"/>
        <v/>
      </c>
      <c r="I694" s="559" t="str">
        <f t="shared" si="62"/>
        <v/>
      </c>
    </row>
    <row r="695" spans="2:9">
      <c r="B695" s="555" t="str">
        <f t="shared" si="57"/>
        <v/>
      </c>
      <c r="C695" s="556" t="str">
        <f t="shared" si="58"/>
        <v/>
      </c>
      <c r="D695" s="557" t="str">
        <f t="shared" si="59"/>
        <v/>
      </c>
      <c r="E695" s="560"/>
      <c r="F695" s="559"/>
      <c r="G695" s="559" t="str">
        <f t="shared" si="60"/>
        <v/>
      </c>
      <c r="H695" s="559" t="str">
        <f t="shared" si="61"/>
        <v/>
      </c>
      <c r="I695" s="559" t="str">
        <f t="shared" si="62"/>
        <v/>
      </c>
    </row>
    <row r="696" spans="2:9">
      <c r="B696" s="555" t="str">
        <f t="shared" si="57"/>
        <v/>
      </c>
      <c r="C696" s="556" t="str">
        <f t="shared" si="58"/>
        <v/>
      </c>
      <c r="D696" s="557" t="str">
        <f t="shared" si="59"/>
        <v/>
      </c>
      <c r="E696" s="560"/>
      <c r="F696" s="559"/>
      <c r="G696" s="559" t="str">
        <f t="shared" si="60"/>
        <v/>
      </c>
      <c r="H696" s="559" t="str">
        <f t="shared" si="61"/>
        <v/>
      </c>
      <c r="I696" s="559" t="str">
        <f t="shared" si="62"/>
        <v/>
      </c>
    </row>
    <row r="697" spans="2:9">
      <c r="B697" s="555" t="str">
        <f t="shared" si="57"/>
        <v/>
      </c>
      <c r="C697" s="556" t="str">
        <f t="shared" si="58"/>
        <v/>
      </c>
      <c r="D697" s="557" t="str">
        <f t="shared" si="59"/>
        <v/>
      </c>
      <c r="E697" s="560"/>
      <c r="F697" s="559"/>
      <c r="G697" s="559" t="str">
        <f t="shared" si="60"/>
        <v/>
      </c>
      <c r="H697" s="559" t="str">
        <f t="shared" si="61"/>
        <v/>
      </c>
      <c r="I697" s="559" t="str">
        <f t="shared" si="62"/>
        <v/>
      </c>
    </row>
    <row r="698" spans="2:9">
      <c r="B698" s="555" t="str">
        <f t="shared" si="57"/>
        <v/>
      </c>
      <c r="C698" s="556" t="str">
        <f t="shared" si="58"/>
        <v/>
      </c>
      <c r="D698" s="557" t="str">
        <f t="shared" si="59"/>
        <v/>
      </c>
      <c r="E698" s="560"/>
      <c r="F698" s="559"/>
      <c r="G698" s="559" t="str">
        <f t="shared" si="60"/>
        <v/>
      </c>
      <c r="H698" s="559" t="str">
        <f t="shared" si="61"/>
        <v/>
      </c>
      <c r="I698" s="559" t="str">
        <f t="shared" si="62"/>
        <v/>
      </c>
    </row>
    <row r="699" spans="2:9">
      <c r="B699" s="555" t="str">
        <f t="shared" si="57"/>
        <v/>
      </c>
      <c r="C699" s="556" t="str">
        <f t="shared" si="58"/>
        <v/>
      </c>
      <c r="D699" s="557" t="str">
        <f t="shared" si="59"/>
        <v/>
      </c>
      <c r="E699" s="560"/>
      <c r="F699" s="559"/>
      <c r="G699" s="559" t="str">
        <f t="shared" si="60"/>
        <v/>
      </c>
      <c r="H699" s="559" t="str">
        <f t="shared" si="61"/>
        <v/>
      </c>
      <c r="I699" s="559" t="str">
        <f t="shared" si="62"/>
        <v/>
      </c>
    </row>
    <row r="700" spans="2:9">
      <c r="B700" s="555" t="str">
        <f t="shared" si="57"/>
        <v/>
      </c>
      <c r="C700" s="556" t="str">
        <f t="shared" si="58"/>
        <v/>
      </c>
      <c r="D700" s="557" t="str">
        <f t="shared" si="59"/>
        <v/>
      </c>
      <c r="E700" s="560"/>
      <c r="F700" s="559"/>
      <c r="G700" s="559" t="str">
        <f t="shared" si="60"/>
        <v/>
      </c>
      <c r="H700" s="559" t="str">
        <f t="shared" si="61"/>
        <v/>
      </c>
      <c r="I700" s="559" t="str">
        <f t="shared" si="62"/>
        <v/>
      </c>
    </row>
    <row r="701" spans="2:9">
      <c r="B701" s="555" t="str">
        <f t="shared" ref="B701:B764" si="63">IF(I700="","",IF(roundOpt,IF(OR(B700&gt;=nper,ROUND(I700,2)&lt;=0),"",B700+1),IF(OR(B700&gt;=nper,I700&lt;=0),"",B700+1)))</f>
        <v/>
      </c>
      <c r="C701" s="556" t="str">
        <f t="shared" ref="C701:C764" si="64">IF(B701="","",IF(OR(periods_per_year=26,periods_per_year=52),IF(periods_per_year=26,IF(B701=1,fpdate,C700+14),IF(periods_per_year=52,IF(B701=1,fpdate,C700+7),"n/a")),IF(periods_per_year=24,DATE(YEAR(fpdate),MONTH(fpdate)+(B701-1)/2+IF(AND(DAY(fpdate)&gt;=15,MOD(B701,2)=0),1,0),IF(MOD(B701,2)=0,IF(DAY(fpdate)&gt;=15,DAY(fpdate)-14,DAY(fpdate)+14),DAY(fpdate))),IF(DAY(DATE(YEAR(fpdate),MONTH(fpdate)+(B701-1)*months_per_period,DAY(fpdate)))&lt;&gt;DAY(fpdate),DATE(YEAR(fpdate),MONTH(fpdate)+(B701-1)*months_per_period+1,0),DATE(YEAR(fpdate),MONTH(fpdate)+(B701-1)*months_per_period,DAY(fpdate))))))</f>
        <v/>
      </c>
      <c r="D701" s="557" t="str">
        <f t="shared" ref="D701:D764" si="65">IF(B701="","",IF(roundOpt,IF(OR(B701=nper,payment&gt;ROUND((1+rate)*I700,2)),ROUND((1+rate)*I700,2),payment),IF(OR(B701=nper,payment&gt;(1+rate)*I700),(1+rate)*I700,payment)))</f>
        <v/>
      </c>
      <c r="E701" s="560"/>
      <c r="F701" s="559"/>
      <c r="G701" s="559" t="str">
        <f t="shared" ref="G701:G764" si="66">IF(B701="","",IF(AND(B701=1,pmtType=1),0,IF(roundOpt,ROUND(rate*I700,2),rate*I700)))</f>
        <v/>
      </c>
      <c r="H701" s="559" t="str">
        <f t="shared" ref="H701:H764" si="67">IF(B701="","",D701-G701+E701)</f>
        <v/>
      </c>
      <c r="I701" s="559" t="str">
        <f t="shared" ref="I701:I764" si="68">IF(B701="","",I700-H701)</f>
        <v/>
      </c>
    </row>
    <row r="702" spans="2:9">
      <c r="B702" s="555" t="str">
        <f t="shared" si="63"/>
        <v/>
      </c>
      <c r="C702" s="556" t="str">
        <f t="shared" si="64"/>
        <v/>
      </c>
      <c r="D702" s="557" t="str">
        <f t="shared" si="65"/>
        <v/>
      </c>
      <c r="E702" s="560"/>
      <c r="F702" s="559"/>
      <c r="G702" s="559" t="str">
        <f t="shared" si="66"/>
        <v/>
      </c>
      <c r="H702" s="559" t="str">
        <f t="shared" si="67"/>
        <v/>
      </c>
      <c r="I702" s="559" t="str">
        <f t="shared" si="68"/>
        <v/>
      </c>
    </row>
    <row r="703" spans="2:9">
      <c r="B703" s="555" t="str">
        <f t="shared" si="63"/>
        <v/>
      </c>
      <c r="C703" s="556" t="str">
        <f t="shared" si="64"/>
        <v/>
      </c>
      <c r="D703" s="557" t="str">
        <f t="shared" si="65"/>
        <v/>
      </c>
      <c r="E703" s="560"/>
      <c r="F703" s="559"/>
      <c r="G703" s="559" t="str">
        <f t="shared" si="66"/>
        <v/>
      </c>
      <c r="H703" s="559" t="str">
        <f t="shared" si="67"/>
        <v/>
      </c>
      <c r="I703" s="559" t="str">
        <f t="shared" si="68"/>
        <v/>
      </c>
    </row>
    <row r="704" spans="2:9">
      <c r="B704" s="555" t="str">
        <f t="shared" si="63"/>
        <v/>
      </c>
      <c r="C704" s="556" t="str">
        <f t="shared" si="64"/>
        <v/>
      </c>
      <c r="D704" s="557" t="str">
        <f t="shared" si="65"/>
        <v/>
      </c>
      <c r="E704" s="560"/>
      <c r="F704" s="559"/>
      <c r="G704" s="559" t="str">
        <f t="shared" si="66"/>
        <v/>
      </c>
      <c r="H704" s="559" t="str">
        <f t="shared" si="67"/>
        <v/>
      </c>
      <c r="I704" s="559" t="str">
        <f t="shared" si="68"/>
        <v/>
      </c>
    </row>
    <row r="705" spans="2:9">
      <c r="B705" s="555" t="str">
        <f t="shared" si="63"/>
        <v/>
      </c>
      <c r="C705" s="556" t="str">
        <f t="shared" si="64"/>
        <v/>
      </c>
      <c r="D705" s="557" t="str">
        <f t="shared" si="65"/>
        <v/>
      </c>
      <c r="E705" s="560"/>
      <c r="F705" s="559"/>
      <c r="G705" s="559" t="str">
        <f t="shared" si="66"/>
        <v/>
      </c>
      <c r="H705" s="559" t="str">
        <f t="shared" si="67"/>
        <v/>
      </c>
      <c r="I705" s="559" t="str">
        <f t="shared" si="68"/>
        <v/>
      </c>
    </row>
    <row r="706" spans="2:9">
      <c r="B706" s="555" t="str">
        <f t="shared" si="63"/>
        <v/>
      </c>
      <c r="C706" s="556" t="str">
        <f t="shared" si="64"/>
        <v/>
      </c>
      <c r="D706" s="557" t="str">
        <f t="shared" si="65"/>
        <v/>
      </c>
      <c r="E706" s="560"/>
      <c r="F706" s="559"/>
      <c r="G706" s="559" t="str">
        <f t="shared" si="66"/>
        <v/>
      </c>
      <c r="H706" s="559" t="str">
        <f t="shared" si="67"/>
        <v/>
      </c>
      <c r="I706" s="559" t="str">
        <f t="shared" si="68"/>
        <v/>
      </c>
    </row>
    <row r="707" spans="2:9">
      <c r="B707" s="555" t="str">
        <f t="shared" si="63"/>
        <v/>
      </c>
      <c r="C707" s="556" t="str">
        <f t="shared" si="64"/>
        <v/>
      </c>
      <c r="D707" s="557" t="str">
        <f t="shared" si="65"/>
        <v/>
      </c>
      <c r="E707" s="560"/>
      <c r="F707" s="559"/>
      <c r="G707" s="559" t="str">
        <f t="shared" si="66"/>
        <v/>
      </c>
      <c r="H707" s="559" t="str">
        <f t="shared" si="67"/>
        <v/>
      </c>
      <c r="I707" s="559" t="str">
        <f t="shared" si="68"/>
        <v/>
      </c>
    </row>
    <row r="708" spans="2:9">
      <c r="B708" s="555" t="str">
        <f t="shared" si="63"/>
        <v/>
      </c>
      <c r="C708" s="556" t="str">
        <f t="shared" si="64"/>
        <v/>
      </c>
      <c r="D708" s="557" t="str">
        <f t="shared" si="65"/>
        <v/>
      </c>
      <c r="E708" s="560"/>
      <c r="F708" s="559"/>
      <c r="G708" s="559" t="str">
        <f t="shared" si="66"/>
        <v/>
      </c>
      <c r="H708" s="559" t="str">
        <f t="shared" si="67"/>
        <v/>
      </c>
      <c r="I708" s="559" t="str">
        <f t="shared" si="68"/>
        <v/>
      </c>
    </row>
    <row r="709" spans="2:9">
      <c r="B709" s="555" t="str">
        <f t="shared" si="63"/>
        <v/>
      </c>
      <c r="C709" s="556" t="str">
        <f t="shared" si="64"/>
        <v/>
      </c>
      <c r="D709" s="557" t="str">
        <f t="shared" si="65"/>
        <v/>
      </c>
      <c r="E709" s="560"/>
      <c r="F709" s="559"/>
      <c r="G709" s="559" t="str">
        <f t="shared" si="66"/>
        <v/>
      </c>
      <c r="H709" s="559" t="str">
        <f t="shared" si="67"/>
        <v/>
      </c>
      <c r="I709" s="559" t="str">
        <f t="shared" si="68"/>
        <v/>
      </c>
    </row>
    <row r="710" spans="2:9">
      <c r="B710" s="555" t="str">
        <f t="shared" si="63"/>
        <v/>
      </c>
      <c r="C710" s="556" t="str">
        <f t="shared" si="64"/>
        <v/>
      </c>
      <c r="D710" s="557" t="str">
        <f t="shared" si="65"/>
        <v/>
      </c>
      <c r="E710" s="560"/>
      <c r="F710" s="559"/>
      <c r="G710" s="559" t="str">
        <f t="shared" si="66"/>
        <v/>
      </c>
      <c r="H710" s="559" t="str">
        <f t="shared" si="67"/>
        <v/>
      </c>
      <c r="I710" s="559" t="str">
        <f t="shared" si="68"/>
        <v/>
      </c>
    </row>
    <row r="711" spans="2:9">
      <c r="B711" s="555" t="str">
        <f t="shared" si="63"/>
        <v/>
      </c>
      <c r="C711" s="556" t="str">
        <f t="shared" si="64"/>
        <v/>
      </c>
      <c r="D711" s="557" t="str">
        <f t="shared" si="65"/>
        <v/>
      </c>
      <c r="E711" s="560"/>
      <c r="F711" s="559"/>
      <c r="G711" s="559" t="str">
        <f t="shared" si="66"/>
        <v/>
      </c>
      <c r="H711" s="559" t="str">
        <f t="shared" si="67"/>
        <v/>
      </c>
      <c r="I711" s="559" t="str">
        <f t="shared" si="68"/>
        <v/>
      </c>
    </row>
    <row r="712" spans="2:9">
      <c r="B712" s="555" t="str">
        <f t="shared" si="63"/>
        <v/>
      </c>
      <c r="C712" s="556" t="str">
        <f t="shared" si="64"/>
        <v/>
      </c>
      <c r="D712" s="557" t="str">
        <f t="shared" si="65"/>
        <v/>
      </c>
      <c r="E712" s="560"/>
      <c r="F712" s="559"/>
      <c r="G712" s="559" t="str">
        <f t="shared" si="66"/>
        <v/>
      </c>
      <c r="H712" s="559" t="str">
        <f t="shared" si="67"/>
        <v/>
      </c>
      <c r="I712" s="559" t="str">
        <f t="shared" si="68"/>
        <v/>
      </c>
    </row>
    <row r="713" spans="2:9">
      <c r="B713" s="555" t="str">
        <f t="shared" si="63"/>
        <v/>
      </c>
      <c r="C713" s="556" t="str">
        <f t="shared" si="64"/>
        <v/>
      </c>
      <c r="D713" s="557" t="str">
        <f t="shared" si="65"/>
        <v/>
      </c>
      <c r="E713" s="560"/>
      <c r="F713" s="559"/>
      <c r="G713" s="559" t="str">
        <f t="shared" si="66"/>
        <v/>
      </c>
      <c r="H713" s="559" t="str">
        <f t="shared" si="67"/>
        <v/>
      </c>
      <c r="I713" s="559" t="str">
        <f t="shared" si="68"/>
        <v/>
      </c>
    </row>
    <row r="714" spans="2:9">
      <c r="B714" s="555" t="str">
        <f t="shared" si="63"/>
        <v/>
      </c>
      <c r="C714" s="556" t="str">
        <f t="shared" si="64"/>
        <v/>
      </c>
      <c r="D714" s="557" t="str">
        <f t="shared" si="65"/>
        <v/>
      </c>
      <c r="E714" s="560"/>
      <c r="F714" s="559"/>
      <c r="G714" s="559" t="str">
        <f t="shared" si="66"/>
        <v/>
      </c>
      <c r="H714" s="559" t="str">
        <f t="shared" si="67"/>
        <v/>
      </c>
      <c r="I714" s="559" t="str">
        <f t="shared" si="68"/>
        <v/>
      </c>
    </row>
    <row r="715" spans="2:9">
      <c r="B715" s="555" t="str">
        <f t="shared" si="63"/>
        <v/>
      </c>
      <c r="C715" s="556" t="str">
        <f t="shared" si="64"/>
        <v/>
      </c>
      <c r="D715" s="557" t="str">
        <f t="shared" si="65"/>
        <v/>
      </c>
      <c r="E715" s="560"/>
      <c r="F715" s="559"/>
      <c r="G715" s="559" t="str">
        <f t="shared" si="66"/>
        <v/>
      </c>
      <c r="H715" s="559" t="str">
        <f t="shared" si="67"/>
        <v/>
      </c>
      <c r="I715" s="559" t="str">
        <f t="shared" si="68"/>
        <v/>
      </c>
    </row>
    <row r="716" spans="2:9">
      <c r="B716" s="555" t="str">
        <f t="shared" si="63"/>
        <v/>
      </c>
      <c r="C716" s="556" t="str">
        <f t="shared" si="64"/>
        <v/>
      </c>
      <c r="D716" s="557" t="str">
        <f t="shared" si="65"/>
        <v/>
      </c>
      <c r="E716" s="560"/>
      <c r="F716" s="559"/>
      <c r="G716" s="559" t="str">
        <f t="shared" si="66"/>
        <v/>
      </c>
      <c r="H716" s="559" t="str">
        <f t="shared" si="67"/>
        <v/>
      </c>
      <c r="I716" s="559" t="str">
        <f t="shared" si="68"/>
        <v/>
      </c>
    </row>
    <row r="717" spans="2:9">
      <c r="B717" s="555" t="str">
        <f t="shared" si="63"/>
        <v/>
      </c>
      <c r="C717" s="556" t="str">
        <f t="shared" si="64"/>
        <v/>
      </c>
      <c r="D717" s="557" t="str">
        <f t="shared" si="65"/>
        <v/>
      </c>
      <c r="E717" s="560"/>
      <c r="F717" s="559"/>
      <c r="G717" s="559" t="str">
        <f t="shared" si="66"/>
        <v/>
      </c>
      <c r="H717" s="559" t="str">
        <f t="shared" si="67"/>
        <v/>
      </c>
      <c r="I717" s="559" t="str">
        <f t="shared" si="68"/>
        <v/>
      </c>
    </row>
    <row r="718" spans="2:9">
      <c r="B718" s="555" t="str">
        <f t="shared" si="63"/>
        <v/>
      </c>
      <c r="C718" s="556" t="str">
        <f t="shared" si="64"/>
        <v/>
      </c>
      <c r="D718" s="557" t="str">
        <f t="shared" si="65"/>
        <v/>
      </c>
      <c r="E718" s="560"/>
      <c r="F718" s="559"/>
      <c r="G718" s="559" t="str">
        <f t="shared" si="66"/>
        <v/>
      </c>
      <c r="H718" s="559" t="str">
        <f t="shared" si="67"/>
        <v/>
      </c>
      <c r="I718" s="559" t="str">
        <f t="shared" si="68"/>
        <v/>
      </c>
    </row>
    <row r="719" spans="2:9">
      <c r="B719" s="555" t="str">
        <f t="shared" si="63"/>
        <v/>
      </c>
      <c r="C719" s="556" t="str">
        <f t="shared" si="64"/>
        <v/>
      </c>
      <c r="D719" s="557" t="str">
        <f t="shared" si="65"/>
        <v/>
      </c>
      <c r="E719" s="560"/>
      <c r="F719" s="559"/>
      <c r="G719" s="559" t="str">
        <f t="shared" si="66"/>
        <v/>
      </c>
      <c r="H719" s="559" t="str">
        <f t="shared" si="67"/>
        <v/>
      </c>
      <c r="I719" s="559" t="str">
        <f t="shared" si="68"/>
        <v/>
      </c>
    </row>
    <row r="720" spans="2:9">
      <c r="B720" s="555" t="str">
        <f t="shared" si="63"/>
        <v/>
      </c>
      <c r="C720" s="556" t="str">
        <f t="shared" si="64"/>
        <v/>
      </c>
      <c r="D720" s="557" t="str">
        <f t="shared" si="65"/>
        <v/>
      </c>
      <c r="E720" s="560"/>
      <c r="F720" s="559"/>
      <c r="G720" s="559" t="str">
        <f t="shared" si="66"/>
        <v/>
      </c>
      <c r="H720" s="559" t="str">
        <f t="shared" si="67"/>
        <v/>
      </c>
      <c r="I720" s="559" t="str">
        <f t="shared" si="68"/>
        <v/>
      </c>
    </row>
    <row r="721" spans="2:9">
      <c r="B721" s="555" t="str">
        <f t="shared" si="63"/>
        <v/>
      </c>
      <c r="C721" s="556" t="str">
        <f t="shared" si="64"/>
        <v/>
      </c>
      <c r="D721" s="557" t="str">
        <f t="shared" si="65"/>
        <v/>
      </c>
      <c r="E721" s="560"/>
      <c r="F721" s="559"/>
      <c r="G721" s="559" t="str">
        <f t="shared" si="66"/>
        <v/>
      </c>
      <c r="H721" s="559" t="str">
        <f t="shared" si="67"/>
        <v/>
      </c>
      <c r="I721" s="559" t="str">
        <f t="shared" si="68"/>
        <v/>
      </c>
    </row>
    <row r="722" spans="2:9">
      <c r="B722" s="555" t="str">
        <f t="shared" si="63"/>
        <v/>
      </c>
      <c r="C722" s="556" t="str">
        <f t="shared" si="64"/>
        <v/>
      </c>
      <c r="D722" s="557" t="str">
        <f t="shared" si="65"/>
        <v/>
      </c>
      <c r="E722" s="560"/>
      <c r="F722" s="559"/>
      <c r="G722" s="559" t="str">
        <f t="shared" si="66"/>
        <v/>
      </c>
      <c r="H722" s="559" t="str">
        <f t="shared" si="67"/>
        <v/>
      </c>
      <c r="I722" s="559" t="str">
        <f t="shared" si="68"/>
        <v/>
      </c>
    </row>
    <row r="723" spans="2:9">
      <c r="B723" s="555" t="str">
        <f t="shared" si="63"/>
        <v/>
      </c>
      <c r="C723" s="556" t="str">
        <f t="shared" si="64"/>
        <v/>
      </c>
      <c r="D723" s="557" t="str">
        <f t="shared" si="65"/>
        <v/>
      </c>
      <c r="E723" s="560"/>
      <c r="F723" s="559"/>
      <c r="G723" s="559" t="str">
        <f t="shared" si="66"/>
        <v/>
      </c>
      <c r="H723" s="559" t="str">
        <f t="shared" si="67"/>
        <v/>
      </c>
      <c r="I723" s="559" t="str">
        <f t="shared" si="68"/>
        <v/>
      </c>
    </row>
    <row r="724" spans="2:9">
      <c r="B724" s="555" t="str">
        <f t="shared" si="63"/>
        <v/>
      </c>
      <c r="C724" s="556" t="str">
        <f t="shared" si="64"/>
        <v/>
      </c>
      <c r="D724" s="557" t="str">
        <f t="shared" si="65"/>
        <v/>
      </c>
      <c r="E724" s="560"/>
      <c r="F724" s="559"/>
      <c r="G724" s="559" t="str">
        <f t="shared" si="66"/>
        <v/>
      </c>
      <c r="H724" s="559" t="str">
        <f t="shared" si="67"/>
        <v/>
      </c>
      <c r="I724" s="559" t="str">
        <f t="shared" si="68"/>
        <v/>
      </c>
    </row>
    <row r="725" spans="2:9">
      <c r="B725" s="555" t="str">
        <f t="shared" si="63"/>
        <v/>
      </c>
      <c r="C725" s="556" t="str">
        <f t="shared" si="64"/>
        <v/>
      </c>
      <c r="D725" s="557" t="str">
        <f t="shared" si="65"/>
        <v/>
      </c>
      <c r="E725" s="560"/>
      <c r="F725" s="559"/>
      <c r="G725" s="559" t="str">
        <f t="shared" si="66"/>
        <v/>
      </c>
      <c r="H725" s="559" t="str">
        <f t="shared" si="67"/>
        <v/>
      </c>
      <c r="I725" s="559" t="str">
        <f t="shared" si="68"/>
        <v/>
      </c>
    </row>
    <row r="726" spans="2:9">
      <c r="B726" s="555" t="str">
        <f t="shared" si="63"/>
        <v/>
      </c>
      <c r="C726" s="556" t="str">
        <f t="shared" si="64"/>
        <v/>
      </c>
      <c r="D726" s="557" t="str">
        <f t="shared" si="65"/>
        <v/>
      </c>
      <c r="E726" s="560"/>
      <c r="F726" s="559"/>
      <c r="G726" s="559" t="str">
        <f t="shared" si="66"/>
        <v/>
      </c>
      <c r="H726" s="559" t="str">
        <f t="shared" si="67"/>
        <v/>
      </c>
      <c r="I726" s="559" t="str">
        <f t="shared" si="68"/>
        <v/>
      </c>
    </row>
    <row r="727" spans="2:9">
      <c r="B727" s="555" t="str">
        <f t="shared" si="63"/>
        <v/>
      </c>
      <c r="C727" s="556" t="str">
        <f t="shared" si="64"/>
        <v/>
      </c>
      <c r="D727" s="557" t="str">
        <f t="shared" si="65"/>
        <v/>
      </c>
      <c r="E727" s="560"/>
      <c r="F727" s="559"/>
      <c r="G727" s="559" t="str">
        <f t="shared" si="66"/>
        <v/>
      </c>
      <c r="H727" s="559" t="str">
        <f t="shared" si="67"/>
        <v/>
      </c>
      <c r="I727" s="559" t="str">
        <f t="shared" si="68"/>
        <v/>
      </c>
    </row>
    <row r="728" spans="2:9">
      <c r="B728" s="555" t="str">
        <f t="shared" si="63"/>
        <v/>
      </c>
      <c r="C728" s="556" t="str">
        <f t="shared" si="64"/>
        <v/>
      </c>
      <c r="D728" s="557" t="str">
        <f t="shared" si="65"/>
        <v/>
      </c>
      <c r="E728" s="560"/>
      <c r="F728" s="559"/>
      <c r="G728" s="559" t="str">
        <f t="shared" si="66"/>
        <v/>
      </c>
      <c r="H728" s="559" t="str">
        <f t="shared" si="67"/>
        <v/>
      </c>
      <c r="I728" s="559" t="str">
        <f t="shared" si="68"/>
        <v/>
      </c>
    </row>
    <row r="729" spans="2:9">
      <c r="B729" s="555" t="str">
        <f t="shared" si="63"/>
        <v/>
      </c>
      <c r="C729" s="556" t="str">
        <f t="shared" si="64"/>
        <v/>
      </c>
      <c r="D729" s="557" t="str">
        <f t="shared" si="65"/>
        <v/>
      </c>
      <c r="E729" s="560"/>
      <c r="F729" s="559"/>
      <c r="G729" s="559" t="str">
        <f t="shared" si="66"/>
        <v/>
      </c>
      <c r="H729" s="559" t="str">
        <f t="shared" si="67"/>
        <v/>
      </c>
      <c r="I729" s="559" t="str">
        <f t="shared" si="68"/>
        <v/>
      </c>
    </row>
    <row r="730" spans="2:9">
      <c r="B730" s="555" t="str">
        <f t="shared" si="63"/>
        <v/>
      </c>
      <c r="C730" s="556" t="str">
        <f t="shared" si="64"/>
        <v/>
      </c>
      <c r="D730" s="557" t="str">
        <f t="shared" si="65"/>
        <v/>
      </c>
      <c r="E730" s="560"/>
      <c r="F730" s="559"/>
      <c r="G730" s="559" t="str">
        <f t="shared" si="66"/>
        <v/>
      </c>
      <c r="H730" s="559" t="str">
        <f t="shared" si="67"/>
        <v/>
      </c>
      <c r="I730" s="559" t="str">
        <f t="shared" si="68"/>
        <v/>
      </c>
    </row>
    <row r="731" spans="2:9">
      <c r="B731" s="555" t="str">
        <f t="shared" si="63"/>
        <v/>
      </c>
      <c r="C731" s="556" t="str">
        <f t="shared" si="64"/>
        <v/>
      </c>
      <c r="D731" s="557" t="str">
        <f t="shared" si="65"/>
        <v/>
      </c>
      <c r="E731" s="560"/>
      <c r="F731" s="559"/>
      <c r="G731" s="559" t="str">
        <f t="shared" si="66"/>
        <v/>
      </c>
      <c r="H731" s="559" t="str">
        <f t="shared" si="67"/>
        <v/>
      </c>
      <c r="I731" s="559" t="str">
        <f t="shared" si="68"/>
        <v/>
      </c>
    </row>
    <row r="732" spans="2:9">
      <c r="B732" s="555" t="str">
        <f t="shared" si="63"/>
        <v/>
      </c>
      <c r="C732" s="556" t="str">
        <f t="shared" si="64"/>
        <v/>
      </c>
      <c r="D732" s="557" t="str">
        <f t="shared" si="65"/>
        <v/>
      </c>
      <c r="E732" s="560"/>
      <c r="F732" s="559"/>
      <c r="G732" s="559" t="str">
        <f t="shared" si="66"/>
        <v/>
      </c>
      <c r="H732" s="559" t="str">
        <f t="shared" si="67"/>
        <v/>
      </c>
      <c r="I732" s="559" t="str">
        <f t="shared" si="68"/>
        <v/>
      </c>
    </row>
    <row r="733" spans="2:9">
      <c r="B733" s="555" t="str">
        <f t="shared" si="63"/>
        <v/>
      </c>
      <c r="C733" s="556" t="str">
        <f t="shared" si="64"/>
        <v/>
      </c>
      <c r="D733" s="557" t="str">
        <f t="shared" si="65"/>
        <v/>
      </c>
      <c r="E733" s="560"/>
      <c r="F733" s="559"/>
      <c r="G733" s="559" t="str">
        <f t="shared" si="66"/>
        <v/>
      </c>
      <c r="H733" s="559" t="str">
        <f t="shared" si="67"/>
        <v/>
      </c>
      <c r="I733" s="559" t="str">
        <f t="shared" si="68"/>
        <v/>
      </c>
    </row>
    <row r="734" spans="2:9">
      <c r="B734" s="555" t="str">
        <f t="shared" si="63"/>
        <v/>
      </c>
      <c r="C734" s="556" t="str">
        <f t="shared" si="64"/>
        <v/>
      </c>
      <c r="D734" s="557" t="str">
        <f t="shared" si="65"/>
        <v/>
      </c>
      <c r="E734" s="560"/>
      <c r="F734" s="559"/>
      <c r="G734" s="559" t="str">
        <f t="shared" si="66"/>
        <v/>
      </c>
      <c r="H734" s="559" t="str">
        <f t="shared" si="67"/>
        <v/>
      </c>
      <c r="I734" s="559" t="str">
        <f t="shared" si="68"/>
        <v/>
      </c>
    </row>
    <row r="735" spans="2:9">
      <c r="B735" s="555" t="str">
        <f t="shared" si="63"/>
        <v/>
      </c>
      <c r="C735" s="556" t="str">
        <f t="shared" si="64"/>
        <v/>
      </c>
      <c r="D735" s="557" t="str">
        <f t="shared" si="65"/>
        <v/>
      </c>
      <c r="E735" s="560"/>
      <c r="F735" s="559"/>
      <c r="G735" s="559" t="str">
        <f t="shared" si="66"/>
        <v/>
      </c>
      <c r="H735" s="559" t="str">
        <f t="shared" si="67"/>
        <v/>
      </c>
      <c r="I735" s="559" t="str">
        <f t="shared" si="68"/>
        <v/>
      </c>
    </row>
    <row r="736" spans="2:9">
      <c r="B736" s="555" t="str">
        <f t="shared" si="63"/>
        <v/>
      </c>
      <c r="C736" s="556" t="str">
        <f t="shared" si="64"/>
        <v/>
      </c>
      <c r="D736" s="557" t="str">
        <f t="shared" si="65"/>
        <v/>
      </c>
      <c r="E736" s="560"/>
      <c r="F736" s="559"/>
      <c r="G736" s="559" t="str">
        <f t="shared" si="66"/>
        <v/>
      </c>
      <c r="H736" s="559" t="str">
        <f t="shared" si="67"/>
        <v/>
      </c>
      <c r="I736" s="559" t="str">
        <f t="shared" si="68"/>
        <v/>
      </c>
    </row>
    <row r="737" spans="2:9">
      <c r="B737" s="555" t="str">
        <f t="shared" si="63"/>
        <v/>
      </c>
      <c r="C737" s="556" t="str">
        <f t="shared" si="64"/>
        <v/>
      </c>
      <c r="D737" s="557" t="str">
        <f t="shared" si="65"/>
        <v/>
      </c>
      <c r="E737" s="560"/>
      <c r="F737" s="559"/>
      <c r="G737" s="559" t="str">
        <f t="shared" si="66"/>
        <v/>
      </c>
      <c r="H737" s="559" t="str">
        <f t="shared" si="67"/>
        <v/>
      </c>
      <c r="I737" s="559" t="str">
        <f t="shared" si="68"/>
        <v/>
      </c>
    </row>
    <row r="738" spans="2:9">
      <c r="B738" s="555" t="str">
        <f t="shared" si="63"/>
        <v/>
      </c>
      <c r="C738" s="556" t="str">
        <f t="shared" si="64"/>
        <v/>
      </c>
      <c r="D738" s="557" t="str">
        <f t="shared" si="65"/>
        <v/>
      </c>
      <c r="E738" s="560"/>
      <c r="F738" s="559"/>
      <c r="G738" s="559" t="str">
        <f t="shared" si="66"/>
        <v/>
      </c>
      <c r="H738" s="559" t="str">
        <f t="shared" si="67"/>
        <v/>
      </c>
      <c r="I738" s="559" t="str">
        <f t="shared" si="68"/>
        <v/>
      </c>
    </row>
    <row r="739" spans="2:9">
      <c r="B739" s="555" t="str">
        <f t="shared" si="63"/>
        <v/>
      </c>
      <c r="C739" s="556" t="str">
        <f t="shared" si="64"/>
        <v/>
      </c>
      <c r="D739" s="557" t="str">
        <f t="shared" si="65"/>
        <v/>
      </c>
      <c r="E739" s="560"/>
      <c r="F739" s="559"/>
      <c r="G739" s="559" t="str">
        <f t="shared" si="66"/>
        <v/>
      </c>
      <c r="H739" s="559" t="str">
        <f t="shared" si="67"/>
        <v/>
      </c>
      <c r="I739" s="559" t="str">
        <f t="shared" si="68"/>
        <v/>
      </c>
    </row>
    <row r="740" spans="2:9">
      <c r="B740" s="555" t="str">
        <f t="shared" si="63"/>
        <v/>
      </c>
      <c r="C740" s="556" t="str">
        <f t="shared" si="64"/>
        <v/>
      </c>
      <c r="D740" s="557" t="str">
        <f t="shared" si="65"/>
        <v/>
      </c>
      <c r="E740" s="560"/>
      <c r="F740" s="559"/>
      <c r="G740" s="559" t="str">
        <f t="shared" si="66"/>
        <v/>
      </c>
      <c r="H740" s="559" t="str">
        <f t="shared" si="67"/>
        <v/>
      </c>
      <c r="I740" s="559" t="str">
        <f t="shared" si="68"/>
        <v/>
      </c>
    </row>
    <row r="741" spans="2:9">
      <c r="B741" s="555" t="str">
        <f t="shared" si="63"/>
        <v/>
      </c>
      <c r="C741" s="556" t="str">
        <f t="shared" si="64"/>
        <v/>
      </c>
      <c r="D741" s="557" t="str">
        <f t="shared" si="65"/>
        <v/>
      </c>
      <c r="E741" s="560"/>
      <c r="F741" s="559"/>
      <c r="G741" s="559" t="str">
        <f t="shared" si="66"/>
        <v/>
      </c>
      <c r="H741" s="559" t="str">
        <f t="shared" si="67"/>
        <v/>
      </c>
      <c r="I741" s="559" t="str">
        <f t="shared" si="68"/>
        <v/>
      </c>
    </row>
    <row r="742" spans="2:9">
      <c r="B742" s="555" t="str">
        <f t="shared" si="63"/>
        <v/>
      </c>
      <c r="C742" s="556" t="str">
        <f t="shared" si="64"/>
        <v/>
      </c>
      <c r="D742" s="557" t="str">
        <f t="shared" si="65"/>
        <v/>
      </c>
      <c r="E742" s="560"/>
      <c r="F742" s="559"/>
      <c r="G742" s="559" t="str">
        <f t="shared" si="66"/>
        <v/>
      </c>
      <c r="H742" s="559" t="str">
        <f t="shared" si="67"/>
        <v/>
      </c>
      <c r="I742" s="559" t="str">
        <f t="shared" si="68"/>
        <v/>
      </c>
    </row>
    <row r="743" spans="2:9">
      <c r="B743" s="555" t="str">
        <f t="shared" si="63"/>
        <v/>
      </c>
      <c r="C743" s="556" t="str">
        <f t="shared" si="64"/>
        <v/>
      </c>
      <c r="D743" s="557" t="str">
        <f t="shared" si="65"/>
        <v/>
      </c>
      <c r="E743" s="560"/>
      <c r="F743" s="559"/>
      <c r="G743" s="559" t="str">
        <f t="shared" si="66"/>
        <v/>
      </c>
      <c r="H743" s="559" t="str">
        <f t="shared" si="67"/>
        <v/>
      </c>
      <c r="I743" s="559" t="str">
        <f t="shared" si="68"/>
        <v/>
      </c>
    </row>
    <row r="744" spans="2:9">
      <c r="B744" s="555" t="str">
        <f t="shared" si="63"/>
        <v/>
      </c>
      <c r="C744" s="556" t="str">
        <f t="shared" si="64"/>
        <v/>
      </c>
      <c r="D744" s="557" t="str">
        <f t="shared" si="65"/>
        <v/>
      </c>
      <c r="E744" s="560"/>
      <c r="F744" s="559"/>
      <c r="G744" s="559" t="str">
        <f t="shared" si="66"/>
        <v/>
      </c>
      <c r="H744" s="559" t="str">
        <f t="shared" si="67"/>
        <v/>
      </c>
      <c r="I744" s="559" t="str">
        <f t="shared" si="68"/>
        <v/>
      </c>
    </row>
    <row r="745" spans="2:9">
      <c r="B745" s="555" t="str">
        <f t="shared" si="63"/>
        <v/>
      </c>
      <c r="C745" s="556" t="str">
        <f t="shared" si="64"/>
        <v/>
      </c>
      <c r="D745" s="557" t="str">
        <f t="shared" si="65"/>
        <v/>
      </c>
      <c r="E745" s="560"/>
      <c r="F745" s="559"/>
      <c r="G745" s="559" t="str">
        <f t="shared" si="66"/>
        <v/>
      </c>
      <c r="H745" s="559" t="str">
        <f t="shared" si="67"/>
        <v/>
      </c>
      <c r="I745" s="559" t="str">
        <f t="shared" si="68"/>
        <v/>
      </c>
    </row>
    <row r="746" spans="2:9">
      <c r="B746" s="555" t="str">
        <f t="shared" si="63"/>
        <v/>
      </c>
      <c r="C746" s="556" t="str">
        <f t="shared" si="64"/>
        <v/>
      </c>
      <c r="D746" s="557" t="str">
        <f t="shared" si="65"/>
        <v/>
      </c>
      <c r="E746" s="560"/>
      <c r="F746" s="559"/>
      <c r="G746" s="559" t="str">
        <f t="shared" si="66"/>
        <v/>
      </c>
      <c r="H746" s="559" t="str">
        <f t="shared" si="67"/>
        <v/>
      </c>
      <c r="I746" s="559" t="str">
        <f t="shared" si="68"/>
        <v/>
      </c>
    </row>
    <row r="747" spans="2:9">
      <c r="B747" s="555" t="str">
        <f t="shared" si="63"/>
        <v/>
      </c>
      <c r="C747" s="556" t="str">
        <f t="shared" si="64"/>
        <v/>
      </c>
      <c r="D747" s="557" t="str">
        <f t="shared" si="65"/>
        <v/>
      </c>
      <c r="E747" s="560"/>
      <c r="F747" s="559"/>
      <c r="G747" s="559" t="str">
        <f t="shared" si="66"/>
        <v/>
      </c>
      <c r="H747" s="559" t="str">
        <f t="shared" si="67"/>
        <v/>
      </c>
      <c r="I747" s="559" t="str">
        <f t="shared" si="68"/>
        <v/>
      </c>
    </row>
    <row r="748" spans="2:9">
      <c r="B748" s="555" t="str">
        <f t="shared" si="63"/>
        <v/>
      </c>
      <c r="C748" s="556" t="str">
        <f t="shared" si="64"/>
        <v/>
      </c>
      <c r="D748" s="557" t="str">
        <f t="shared" si="65"/>
        <v/>
      </c>
      <c r="E748" s="560"/>
      <c r="F748" s="559"/>
      <c r="G748" s="559" t="str">
        <f t="shared" si="66"/>
        <v/>
      </c>
      <c r="H748" s="559" t="str">
        <f t="shared" si="67"/>
        <v/>
      </c>
      <c r="I748" s="559" t="str">
        <f t="shared" si="68"/>
        <v/>
      </c>
    </row>
    <row r="749" spans="2:9">
      <c r="B749" s="555" t="str">
        <f t="shared" si="63"/>
        <v/>
      </c>
      <c r="C749" s="556" t="str">
        <f t="shared" si="64"/>
        <v/>
      </c>
      <c r="D749" s="557" t="str">
        <f t="shared" si="65"/>
        <v/>
      </c>
      <c r="E749" s="560"/>
      <c r="F749" s="559"/>
      <c r="G749" s="559" t="str">
        <f t="shared" si="66"/>
        <v/>
      </c>
      <c r="H749" s="559" t="str">
        <f t="shared" si="67"/>
        <v/>
      </c>
      <c r="I749" s="559" t="str">
        <f t="shared" si="68"/>
        <v/>
      </c>
    </row>
    <row r="750" spans="2:9">
      <c r="B750" s="555" t="str">
        <f t="shared" si="63"/>
        <v/>
      </c>
      <c r="C750" s="556" t="str">
        <f t="shared" si="64"/>
        <v/>
      </c>
      <c r="D750" s="557" t="str">
        <f t="shared" si="65"/>
        <v/>
      </c>
      <c r="E750" s="560"/>
      <c r="F750" s="559"/>
      <c r="G750" s="559" t="str">
        <f t="shared" si="66"/>
        <v/>
      </c>
      <c r="H750" s="559" t="str">
        <f t="shared" si="67"/>
        <v/>
      </c>
      <c r="I750" s="559" t="str">
        <f t="shared" si="68"/>
        <v/>
      </c>
    </row>
    <row r="751" spans="2:9">
      <c r="B751" s="555" t="str">
        <f t="shared" si="63"/>
        <v/>
      </c>
      <c r="C751" s="556" t="str">
        <f t="shared" si="64"/>
        <v/>
      </c>
      <c r="D751" s="557" t="str">
        <f t="shared" si="65"/>
        <v/>
      </c>
      <c r="E751" s="560"/>
      <c r="F751" s="559"/>
      <c r="G751" s="559" t="str">
        <f t="shared" si="66"/>
        <v/>
      </c>
      <c r="H751" s="559" t="str">
        <f t="shared" si="67"/>
        <v/>
      </c>
      <c r="I751" s="559" t="str">
        <f t="shared" si="68"/>
        <v/>
      </c>
    </row>
    <row r="752" spans="2:9">
      <c r="B752" s="555" t="str">
        <f t="shared" si="63"/>
        <v/>
      </c>
      <c r="C752" s="556" t="str">
        <f t="shared" si="64"/>
        <v/>
      </c>
      <c r="D752" s="557" t="str">
        <f t="shared" si="65"/>
        <v/>
      </c>
      <c r="E752" s="560"/>
      <c r="F752" s="559"/>
      <c r="G752" s="559" t="str">
        <f t="shared" si="66"/>
        <v/>
      </c>
      <c r="H752" s="559" t="str">
        <f t="shared" si="67"/>
        <v/>
      </c>
      <c r="I752" s="559" t="str">
        <f t="shared" si="68"/>
        <v/>
      </c>
    </row>
    <row r="753" spans="2:9">
      <c r="B753" s="555" t="str">
        <f t="shared" si="63"/>
        <v/>
      </c>
      <c r="C753" s="556" t="str">
        <f t="shared" si="64"/>
        <v/>
      </c>
      <c r="D753" s="557" t="str">
        <f t="shared" si="65"/>
        <v/>
      </c>
      <c r="E753" s="560"/>
      <c r="F753" s="559"/>
      <c r="G753" s="559" t="str">
        <f t="shared" si="66"/>
        <v/>
      </c>
      <c r="H753" s="559" t="str">
        <f t="shared" si="67"/>
        <v/>
      </c>
      <c r="I753" s="559" t="str">
        <f t="shared" si="68"/>
        <v/>
      </c>
    </row>
    <row r="754" spans="2:9">
      <c r="B754" s="555" t="str">
        <f t="shared" si="63"/>
        <v/>
      </c>
      <c r="C754" s="556" t="str">
        <f t="shared" si="64"/>
        <v/>
      </c>
      <c r="D754" s="557" t="str">
        <f t="shared" si="65"/>
        <v/>
      </c>
      <c r="E754" s="560"/>
      <c r="F754" s="559"/>
      <c r="G754" s="559" t="str">
        <f t="shared" si="66"/>
        <v/>
      </c>
      <c r="H754" s="559" t="str">
        <f t="shared" si="67"/>
        <v/>
      </c>
      <c r="I754" s="559" t="str">
        <f t="shared" si="68"/>
        <v/>
      </c>
    </row>
    <row r="755" spans="2:9">
      <c r="B755" s="555" t="str">
        <f t="shared" si="63"/>
        <v/>
      </c>
      <c r="C755" s="556" t="str">
        <f t="shared" si="64"/>
        <v/>
      </c>
      <c r="D755" s="557" t="str">
        <f t="shared" si="65"/>
        <v/>
      </c>
      <c r="E755" s="560"/>
      <c r="F755" s="559"/>
      <c r="G755" s="559" t="str">
        <f t="shared" si="66"/>
        <v/>
      </c>
      <c r="H755" s="559" t="str">
        <f t="shared" si="67"/>
        <v/>
      </c>
      <c r="I755" s="559" t="str">
        <f t="shared" si="68"/>
        <v/>
      </c>
    </row>
    <row r="756" spans="2:9">
      <c r="B756" s="555" t="str">
        <f t="shared" si="63"/>
        <v/>
      </c>
      <c r="C756" s="556" t="str">
        <f t="shared" si="64"/>
        <v/>
      </c>
      <c r="D756" s="557" t="str">
        <f t="shared" si="65"/>
        <v/>
      </c>
      <c r="E756" s="560"/>
      <c r="F756" s="559"/>
      <c r="G756" s="559" t="str">
        <f t="shared" si="66"/>
        <v/>
      </c>
      <c r="H756" s="559" t="str">
        <f t="shared" si="67"/>
        <v/>
      </c>
      <c r="I756" s="559" t="str">
        <f t="shared" si="68"/>
        <v/>
      </c>
    </row>
    <row r="757" spans="2:9">
      <c r="B757" s="555" t="str">
        <f t="shared" si="63"/>
        <v/>
      </c>
      <c r="C757" s="556" t="str">
        <f t="shared" si="64"/>
        <v/>
      </c>
      <c r="D757" s="557" t="str">
        <f t="shared" si="65"/>
        <v/>
      </c>
      <c r="E757" s="560"/>
      <c r="F757" s="559"/>
      <c r="G757" s="559" t="str">
        <f t="shared" si="66"/>
        <v/>
      </c>
      <c r="H757" s="559" t="str">
        <f t="shared" si="67"/>
        <v/>
      </c>
      <c r="I757" s="559" t="str">
        <f t="shared" si="68"/>
        <v/>
      </c>
    </row>
    <row r="758" spans="2:9">
      <c r="B758" s="555" t="str">
        <f t="shared" si="63"/>
        <v/>
      </c>
      <c r="C758" s="556" t="str">
        <f t="shared" si="64"/>
        <v/>
      </c>
      <c r="D758" s="557" t="str">
        <f t="shared" si="65"/>
        <v/>
      </c>
      <c r="E758" s="560"/>
      <c r="F758" s="559"/>
      <c r="G758" s="559" t="str">
        <f t="shared" si="66"/>
        <v/>
      </c>
      <c r="H758" s="559" t="str">
        <f t="shared" si="67"/>
        <v/>
      </c>
      <c r="I758" s="559" t="str">
        <f t="shared" si="68"/>
        <v/>
      </c>
    </row>
    <row r="759" spans="2:9">
      <c r="B759" s="555" t="str">
        <f t="shared" si="63"/>
        <v/>
      </c>
      <c r="C759" s="556" t="str">
        <f t="shared" si="64"/>
        <v/>
      </c>
      <c r="D759" s="557" t="str">
        <f t="shared" si="65"/>
        <v/>
      </c>
      <c r="E759" s="560"/>
      <c r="F759" s="559"/>
      <c r="G759" s="559" t="str">
        <f t="shared" si="66"/>
        <v/>
      </c>
      <c r="H759" s="559" t="str">
        <f t="shared" si="67"/>
        <v/>
      </c>
      <c r="I759" s="559" t="str">
        <f t="shared" si="68"/>
        <v/>
      </c>
    </row>
    <row r="760" spans="2:9">
      <c r="B760" s="555" t="str">
        <f t="shared" si="63"/>
        <v/>
      </c>
      <c r="C760" s="556" t="str">
        <f t="shared" si="64"/>
        <v/>
      </c>
      <c r="D760" s="557" t="str">
        <f t="shared" si="65"/>
        <v/>
      </c>
      <c r="E760" s="560"/>
      <c r="F760" s="559"/>
      <c r="G760" s="559" t="str">
        <f t="shared" si="66"/>
        <v/>
      </c>
      <c r="H760" s="559" t="str">
        <f t="shared" si="67"/>
        <v/>
      </c>
      <c r="I760" s="559" t="str">
        <f t="shared" si="68"/>
        <v/>
      </c>
    </row>
    <row r="761" spans="2:9">
      <c r="B761" s="555" t="str">
        <f t="shared" si="63"/>
        <v/>
      </c>
      <c r="C761" s="556" t="str">
        <f t="shared" si="64"/>
        <v/>
      </c>
      <c r="D761" s="557" t="str">
        <f t="shared" si="65"/>
        <v/>
      </c>
      <c r="E761" s="560"/>
      <c r="F761" s="559"/>
      <c r="G761" s="559" t="str">
        <f t="shared" si="66"/>
        <v/>
      </c>
      <c r="H761" s="559" t="str">
        <f t="shared" si="67"/>
        <v/>
      </c>
      <c r="I761" s="559" t="str">
        <f t="shared" si="68"/>
        <v/>
      </c>
    </row>
    <row r="762" spans="2:9">
      <c r="B762" s="555" t="str">
        <f t="shared" si="63"/>
        <v/>
      </c>
      <c r="C762" s="556" t="str">
        <f t="shared" si="64"/>
        <v/>
      </c>
      <c r="D762" s="557" t="str">
        <f t="shared" si="65"/>
        <v/>
      </c>
      <c r="E762" s="560"/>
      <c r="F762" s="559"/>
      <c r="G762" s="559" t="str">
        <f t="shared" si="66"/>
        <v/>
      </c>
      <c r="H762" s="559" t="str">
        <f t="shared" si="67"/>
        <v/>
      </c>
      <c r="I762" s="559" t="str">
        <f t="shared" si="68"/>
        <v/>
      </c>
    </row>
    <row r="763" spans="2:9">
      <c r="B763" s="555" t="str">
        <f t="shared" si="63"/>
        <v/>
      </c>
      <c r="C763" s="556" t="str">
        <f t="shared" si="64"/>
        <v/>
      </c>
      <c r="D763" s="557" t="str">
        <f t="shared" si="65"/>
        <v/>
      </c>
      <c r="E763" s="560"/>
      <c r="F763" s="559"/>
      <c r="G763" s="559" t="str">
        <f t="shared" si="66"/>
        <v/>
      </c>
      <c r="H763" s="559" t="str">
        <f t="shared" si="67"/>
        <v/>
      </c>
      <c r="I763" s="559" t="str">
        <f t="shared" si="68"/>
        <v/>
      </c>
    </row>
    <row r="764" spans="2:9">
      <c r="B764" s="555" t="str">
        <f t="shared" si="63"/>
        <v/>
      </c>
      <c r="C764" s="556" t="str">
        <f t="shared" si="64"/>
        <v/>
      </c>
      <c r="D764" s="557" t="str">
        <f t="shared" si="65"/>
        <v/>
      </c>
      <c r="E764" s="560"/>
      <c r="F764" s="559"/>
      <c r="G764" s="559" t="str">
        <f t="shared" si="66"/>
        <v/>
      </c>
      <c r="H764" s="559" t="str">
        <f t="shared" si="67"/>
        <v/>
      </c>
      <c r="I764" s="559" t="str">
        <f t="shared" si="68"/>
        <v/>
      </c>
    </row>
    <row r="765" spans="2:9">
      <c r="B765" s="555" t="str">
        <f t="shared" ref="B765:B828" si="69">IF(I764="","",IF(roundOpt,IF(OR(B764&gt;=nper,ROUND(I764,2)&lt;=0),"",B764+1),IF(OR(B764&gt;=nper,I764&lt;=0),"",B764+1)))</f>
        <v/>
      </c>
      <c r="C765" s="556" t="str">
        <f t="shared" ref="C765:C828" si="70">IF(B765="","",IF(OR(periods_per_year=26,periods_per_year=52),IF(periods_per_year=26,IF(B765=1,fpdate,C764+14),IF(periods_per_year=52,IF(B765=1,fpdate,C764+7),"n/a")),IF(periods_per_year=24,DATE(YEAR(fpdate),MONTH(fpdate)+(B765-1)/2+IF(AND(DAY(fpdate)&gt;=15,MOD(B765,2)=0),1,0),IF(MOD(B765,2)=0,IF(DAY(fpdate)&gt;=15,DAY(fpdate)-14,DAY(fpdate)+14),DAY(fpdate))),IF(DAY(DATE(YEAR(fpdate),MONTH(fpdate)+(B765-1)*months_per_period,DAY(fpdate)))&lt;&gt;DAY(fpdate),DATE(YEAR(fpdate),MONTH(fpdate)+(B765-1)*months_per_period+1,0),DATE(YEAR(fpdate),MONTH(fpdate)+(B765-1)*months_per_period,DAY(fpdate))))))</f>
        <v/>
      </c>
      <c r="D765" s="557" t="str">
        <f t="shared" ref="D765:D828" si="71">IF(B765="","",IF(roundOpt,IF(OR(B765=nper,payment&gt;ROUND((1+rate)*I764,2)),ROUND((1+rate)*I764,2),payment),IF(OR(B765=nper,payment&gt;(1+rate)*I764),(1+rate)*I764,payment)))</f>
        <v/>
      </c>
      <c r="E765" s="560"/>
      <c r="F765" s="559"/>
      <c r="G765" s="559" t="str">
        <f t="shared" ref="G765:G828" si="72">IF(B765="","",IF(AND(B765=1,pmtType=1),0,IF(roundOpt,ROUND(rate*I764,2),rate*I764)))</f>
        <v/>
      </c>
      <c r="H765" s="559" t="str">
        <f t="shared" ref="H765:H828" si="73">IF(B765="","",D765-G765+E765)</f>
        <v/>
      </c>
      <c r="I765" s="559" t="str">
        <f t="shared" ref="I765:I828" si="74">IF(B765="","",I764-H765)</f>
        <v/>
      </c>
    </row>
    <row r="766" spans="2:9">
      <c r="B766" s="555" t="str">
        <f t="shared" si="69"/>
        <v/>
      </c>
      <c r="C766" s="556" t="str">
        <f t="shared" si="70"/>
        <v/>
      </c>
      <c r="D766" s="557" t="str">
        <f t="shared" si="71"/>
        <v/>
      </c>
      <c r="E766" s="560"/>
      <c r="F766" s="559"/>
      <c r="G766" s="559" t="str">
        <f t="shared" si="72"/>
        <v/>
      </c>
      <c r="H766" s="559" t="str">
        <f t="shared" si="73"/>
        <v/>
      </c>
      <c r="I766" s="559" t="str">
        <f t="shared" si="74"/>
        <v/>
      </c>
    </row>
    <row r="767" spans="2:9">
      <c r="B767" s="555" t="str">
        <f t="shared" si="69"/>
        <v/>
      </c>
      <c r="C767" s="556" t="str">
        <f t="shared" si="70"/>
        <v/>
      </c>
      <c r="D767" s="557" t="str">
        <f t="shared" si="71"/>
        <v/>
      </c>
      <c r="E767" s="560"/>
      <c r="F767" s="559"/>
      <c r="G767" s="559" t="str">
        <f t="shared" si="72"/>
        <v/>
      </c>
      <c r="H767" s="559" t="str">
        <f t="shared" si="73"/>
        <v/>
      </c>
      <c r="I767" s="559" t="str">
        <f t="shared" si="74"/>
        <v/>
      </c>
    </row>
    <row r="768" spans="2:9">
      <c r="B768" s="555" t="str">
        <f t="shared" si="69"/>
        <v/>
      </c>
      <c r="C768" s="556" t="str">
        <f t="shared" si="70"/>
        <v/>
      </c>
      <c r="D768" s="557" t="str">
        <f t="shared" si="71"/>
        <v/>
      </c>
      <c r="E768" s="560"/>
      <c r="F768" s="559"/>
      <c r="G768" s="559" t="str">
        <f t="shared" si="72"/>
        <v/>
      </c>
      <c r="H768" s="559" t="str">
        <f t="shared" si="73"/>
        <v/>
      </c>
      <c r="I768" s="559" t="str">
        <f t="shared" si="74"/>
        <v/>
      </c>
    </row>
    <row r="769" spans="2:9">
      <c r="B769" s="555" t="str">
        <f t="shared" si="69"/>
        <v/>
      </c>
      <c r="C769" s="556" t="str">
        <f t="shared" si="70"/>
        <v/>
      </c>
      <c r="D769" s="557" t="str">
        <f t="shared" si="71"/>
        <v/>
      </c>
      <c r="E769" s="560"/>
      <c r="F769" s="559"/>
      <c r="G769" s="559" t="str">
        <f t="shared" si="72"/>
        <v/>
      </c>
      <c r="H769" s="559" t="str">
        <f t="shared" si="73"/>
        <v/>
      </c>
      <c r="I769" s="559" t="str">
        <f t="shared" si="74"/>
        <v/>
      </c>
    </row>
    <row r="770" spans="2:9">
      <c r="B770" s="555" t="str">
        <f t="shared" si="69"/>
        <v/>
      </c>
      <c r="C770" s="556" t="str">
        <f t="shared" si="70"/>
        <v/>
      </c>
      <c r="D770" s="557" t="str">
        <f t="shared" si="71"/>
        <v/>
      </c>
      <c r="E770" s="560"/>
      <c r="F770" s="559"/>
      <c r="G770" s="559" t="str">
        <f t="shared" si="72"/>
        <v/>
      </c>
      <c r="H770" s="559" t="str">
        <f t="shared" si="73"/>
        <v/>
      </c>
      <c r="I770" s="559" t="str">
        <f t="shared" si="74"/>
        <v/>
      </c>
    </row>
    <row r="771" spans="2:9">
      <c r="B771" s="555" t="str">
        <f t="shared" si="69"/>
        <v/>
      </c>
      <c r="C771" s="556" t="str">
        <f t="shared" si="70"/>
        <v/>
      </c>
      <c r="D771" s="557" t="str">
        <f t="shared" si="71"/>
        <v/>
      </c>
      <c r="E771" s="560"/>
      <c r="F771" s="559"/>
      <c r="G771" s="559" t="str">
        <f t="shared" si="72"/>
        <v/>
      </c>
      <c r="H771" s="559" t="str">
        <f t="shared" si="73"/>
        <v/>
      </c>
      <c r="I771" s="559" t="str">
        <f t="shared" si="74"/>
        <v/>
      </c>
    </row>
    <row r="772" spans="2:9">
      <c r="B772" s="555" t="str">
        <f t="shared" si="69"/>
        <v/>
      </c>
      <c r="C772" s="556" t="str">
        <f t="shared" si="70"/>
        <v/>
      </c>
      <c r="D772" s="557" t="str">
        <f t="shared" si="71"/>
        <v/>
      </c>
      <c r="E772" s="560"/>
      <c r="F772" s="559"/>
      <c r="G772" s="559" t="str">
        <f t="shared" si="72"/>
        <v/>
      </c>
      <c r="H772" s="559" t="str">
        <f t="shared" si="73"/>
        <v/>
      </c>
      <c r="I772" s="559" t="str">
        <f t="shared" si="74"/>
        <v/>
      </c>
    </row>
    <row r="773" spans="2:9">
      <c r="B773" s="555" t="str">
        <f t="shared" si="69"/>
        <v/>
      </c>
      <c r="C773" s="556" t="str">
        <f t="shared" si="70"/>
        <v/>
      </c>
      <c r="D773" s="557" t="str">
        <f t="shared" si="71"/>
        <v/>
      </c>
      <c r="E773" s="560"/>
      <c r="F773" s="559"/>
      <c r="G773" s="559" t="str">
        <f t="shared" si="72"/>
        <v/>
      </c>
      <c r="H773" s="559" t="str">
        <f t="shared" si="73"/>
        <v/>
      </c>
      <c r="I773" s="559" t="str">
        <f t="shared" si="74"/>
        <v/>
      </c>
    </row>
    <row r="774" spans="2:9">
      <c r="B774" s="555" t="str">
        <f t="shared" si="69"/>
        <v/>
      </c>
      <c r="C774" s="556" t="str">
        <f t="shared" si="70"/>
        <v/>
      </c>
      <c r="D774" s="557" t="str">
        <f t="shared" si="71"/>
        <v/>
      </c>
      <c r="E774" s="560"/>
      <c r="F774" s="559"/>
      <c r="G774" s="559" t="str">
        <f t="shared" si="72"/>
        <v/>
      </c>
      <c r="H774" s="559" t="str">
        <f t="shared" si="73"/>
        <v/>
      </c>
      <c r="I774" s="559" t="str">
        <f t="shared" si="74"/>
        <v/>
      </c>
    </row>
    <row r="775" spans="2:9">
      <c r="B775" s="555" t="str">
        <f t="shared" si="69"/>
        <v/>
      </c>
      <c r="C775" s="556" t="str">
        <f t="shared" si="70"/>
        <v/>
      </c>
      <c r="D775" s="557" t="str">
        <f t="shared" si="71"/>
        <v/>
      </c>
      <c r="E775" s="560"/>
      <c r="F775" s="559"/>
      <c r="G775" s="559" t="str">
        <f t="shared" si="72"/>
        <v/>
      </c>
      <c r="H775" s="559" t="str">
        <f t="shared" si="73"/>
        <v/>
      </c>
      <c r="I775" s="559" t="str">
        <f t="shared" si="74"/>
        <v/>
      </c>
    </row>
    <row r="776" spans="2:9">
      <c r="B776" s="555" t="str">
        <f t="shared" si="69"/>
        <v/>
      </c>
      <c r="C776" s="556" t="str">
        <f t="shared" si="70"/>
        <v/>
      </c>
      <c r="D776" s="557" t="str">
        <f t="shared" si="71"/>
        <v/>
      </c>
      <c r="E776" s="560"/>
      <c r="F776" s="559"/>
      <c r="G776" s="559" t="str">
        <f t="shared" si="72"/>
        <v/>
      </c>
      <c r="H776" s="559" t="str">
        <f t="shared" si="73"/>
        <v/>
      </c>
      <c r="I776" s="559" t="str">
        <f t="shared" si="74"/>
        <v/>
      </c>
    </row>
    <row r="777" spans="2:9">
      <c r="B777" s="555" t="str">
        <f t="shared" si="69"/>
        <v/>
      </c>
      <c r="C777" s="556" t="str">
        <f t="shared" si="70"/>
        <v/>
      </c>
      <c r="D777" s="557" t="str">
        <f t="shared" si="71"/>
        <v/>
      </c>
      <c r="E777" s="560"/>
      <c r="F777" s="559"/>
      <c r="G777" s="559" t="str">
        <f t="shared" si="72"/>
        <v/>
      </c>
      <c r="H777" s="559" t="str">
        <f t="shared" si="73"/>
        <v/>
      </c>
      <c r="I777" s="559" t="str">
        <f t="shared" si="74"/>
        <v/>
      </c>
    </row>
    <row r="778" spans="2:9">
      <c r="B778" s="555" t="str">
        <f t="shared" si="69"/>
        <v/>
      </c>
      <c r="C778" s="556" t="str">
        <f t="shared" si="70"/>
        <v/>
      </c>
      <c r="D778" s="557" t="str">
        <f t="shared" si="71"/>
        <v/>
      </c>
      <c r="E778" s="560"/>
      <c r="F778" s="559"/>
      <c r="G778" s="559" t="str">
        <f t="shared" si="72"/>
        <v/>
      </c>
      <c r="H778" s="559" t="str">
        <f t="shared" si="73"/>
        <v/>
      </c>
      <c r="I778" s="559" t="str">
        <f t="shared" si="74"/>
        <v/>
      </c>
    </row>
    <row r="779" spans="2:9">
      <c r="B779" s="555" t="str">
        <f t="shared" si="69"/>
        <v/>
      </c>
      <c r="C779" s="556" t="str">
        <f t="shared" si="70"/>
        <v/>
      </c>
      <c r="D779" s="557" t="str">
        <f t="shared" si="71"/>
        <v/>
      </c>
      <c r="E779" s="560"/>
      <c r="F779" s="559"/>
      <c r="G779" s="559" t="str">
        <f t="shared" si="72"/>
        <v/>
      </c>
      <c r="H779" s="559" t="str">
        <f t="shared" si="73"/>
        <v/>
      </c>
      <c r="I779" s="559" t="str">
        <f t="shared" si="74"/>
        <v/>
      </c>
    </row>
    <row r="780" spans="2:9">
      <c r="B780" s="555" t="str">
        <f t="shared" si="69"/>
        <v/>
      </c>
      <c r="C780" s="556" t="str">
        <f t="shared" si="70"/>
        <v/>
      </c>
      <c r="D780" s="557" t="str">
        <f t="shared" si="71"/>
        <v/>
      </c>
      <c r="E780" s="560"/>
      <c r="F780" s="559"/>
      <c r="G780" s="559" t="str">
        <f t="shared" si="72"/>
        <v/>
      </c>
      <c r="H780" s="559" t="str">
        <f t="shared" si="73"/>
        <v/>
      </c>
      <c r="I780" s="559" t="str">
        <f t="shared" si="74"/>
        <v/>
      </c>
    </row>
    <row r="781" spans="2:9">
      <c r="B781" s="555" t="str">
        <f t="shared" si="69"/>
        <v/>
      </c>
      <c r="C781" s="556" t="str">
        <f t="shared" si="70"/>
        <v/>
      </c>
      <c r="D781" s="557" t="str">
        <f t="shared" si="71"/>
        <v/>
      </c>
      <c r="E781" s="560"/>
      <c r="F781" s="559"/>
      <c r="G781" s="559" t="str">
        <f t="shared" si="72"/>
        <v/>
      </c>
      <c r="H781" s="559" t="str">
        <f t="shared" si="73"/>
        <v/>
      </c>
      <c r="I781" s="559" t="str">
        <f t="shared" si="74"/>
        <v/>
      </c>
    </row>
    <row r="782" spans="2:9">
      <c r="B782" s="555" t="str">
        <f t="shared" si="69"/>
        <v/>
      </c>
      <c r="C782" s="556" t="str">
        <f t="shared" si="70"/>
        <v/>
      </c>
      <c r="D782" s="557" t="str">
        <f t="shared" si="71"/>
        <v/>
      </c>
      <c r="E782" s="560"/>
      <c r="F782" s="559"/>
      <c r="G782" s="559" t="str">
        <f t="shared" si="72"/>
        <v/>
      </c>
      <c r="H782" s="559" t="str">
        <f t="shared" si="73"/>
        <v/>
      </c>
      <c r="I782" s="559" t="str">
        <f t="shared" si="74"/>
        <v/>
      </c>
    </row>
    <row r="783" spans="2:9">
      <c r="B783" s="555" t="str">
        <f t="shared" si="69"/>
        <v/>
      </c>
      <c r="C783" s="556" t="str">
        <f t="shared" si="70"/>
        <v/>
      </c>
      <c r="D783" s="557" t="str">
        <f t="shared" si="71"/>
        <v/>
      </c>
      <c r="E783" s="560"/>
      <c r="F783" s="559"/>
      <c r="G783" s="559" t="str">
        <f t="shared" si="72"/>
        <v/>
      </c>
      <c r="H783" s="559" t="str">
        <f t="shared" si="73"/>
        <v/>
      </c>
      <c r="I783" s="559" t="str">
        <f t="shared" si="74"/>
        <v/>
      </c>
    </row>
    <row r="784" spans="2:9">
      <c r="B784" s="555" t="str">
        <f t="shared" si="69"/>
        <v/>
      </c>
      <c r="C784" s="556" t="str">
        <f t="shared" si="70"/>
        <v/>
      </c>
      <c r="D784" s="557" t="str">
        <f t="shared" si="71"/>
        <v/>
      </c>
      <c r="E784" s="560"/>
      <c r="F784" s="559"/>
      <c r="G784" s="559" t="str">
        <f t="shared" si="72"/>
        <v/>
      </c>
      <c r="H784" s="559" t="str">
        <f t="shared" si="73"/>
        <v/>
      </c>
      <c r="I784" s="559" t="str">
        <f t="shared" si="74"/>
        <v/>
      </c>
    </row>
    <row r="785" spans="2:9">
      <c r="B785" s="555" t="str">
        <f t="shared" si="69"/>
        <v/>
      </c>
      <c r="C785" s="556" t="str">
        <f t="shared" si="70"/>
        <v/>
      </c>
      <c r="D785" s="557" t="str">
        <f t="shared" si="71"/>
        <v/>
      </c>
      <c r="E785" s="560"/>
      <c r="F785" s="559"/>
      <c r="G785" s="559" t="str">
        <f t="shared" si="72"/>
        <v/>
      </c>
      <c r="H785" s="559" t="str">
        <f t="shared" si="73"/>
        <v/>
      </c>
      <c r="I785" s="559" t="str">
        <f t="shared" si="74"/>
        <v/>
      </c>
    </row>
    <row r="786" spans="2:9">
      <c r="B786" s="555" t="str">
        <f t="shared" si="69"/>
        <v/>
      </c>
      <c r="C786" s="556" t="str">
        <f t="shared" si="70"/>
        <v/>
      </c>
      <c r="D786" s="557" t="str">
        <f t="shared" si="71"/>
        <v/>
      </c>
      <c r="E786" s="560"/>
      <c r="F786" s="559"/>
      <c r="G786" s="559" t="str">
        <f t="shared" si="72"/>
        <v/>
      </c>
      <c r="H786" s="559" t="str">
        <f t="shared" si="73"/>
        <v/>
      </c>
      <c r="I786" s="559" t="str">
        <f t="shared" si="74"/>
        <v/>
      </c>
    </row>
    <row r="787" spans="2:9">
      <c r="B787" s="555" t="str">
        <f t="shared" si="69"/>
        <v/>
      </c>
      <c r="C787" s="556" t="str">
        <f t="shared" si="70"/>
        <v/>
      </c>
      <c r="D787" s="557" t="str">
        <f t="shared" si="71"/>
        <v/>
      </c>
      <c r="E787" s="560"/>
      <c r="F787" s="559"/>
      <c r="G787" s="559" t="str">
        <f t="shared" si="72"/>
        <v/>
      </c>
      <c r="H787" s="559" t="str">
        <f t="shared" si="73"/>
        <v/>
      </c>
      <c r="I787" s="559" t="str">
        <f t="shared" si="74"/>
        <v/>
      </c>
    </row>
    <row r="788" spans="2:9">
      <c r="B788" s="555" t="str">
        <f t="shared" si="69"/>
        <v/>
      </c>
      <c r="C788" s="556" t="str">
        <f t="shared" si="70"/>
        <v/>
      </c>
      <c r="D788" s="557" t="str">
        <f t="shared" si="71"/>
        <v/>
      </c>
      <c r="E788" s="560"/>
      <c r="F788" s="559"/>
      <c r="G788" s="559" t="str">
        <f t="shared" si="72"/>
        <v/>
      </c>
      <c r="H788" s="559" t="str">
        <f t="shared" si="73"/>
        <v/>
      </c>
      <c r="I788" s="559" t="str">
        <f t="shared" si="74"/>
        <v/>
      </c>
    </row>
    <row r="789" spans="2:9">
      <c r="B789" s="555" t="str">
        <f t="shared" si="69"/>
        <v/>
      </c>
      <c r="C789" s="556" t="str">
        <f t="shared" si="70"/>
        <v/>
      </c>
      <c r="D789" s="557" t="str">
        <f t="shared" si="71"/>
        <v/>
      </c>
      <c r="E789" s="560"/>
      <c r="F789" s="559"/>
      <c r="G789" s="559" t="str">
        <f t="shared" si="72"/>
        <v/>
      </c>
      <c r="H789" s="559" t="str">
        <f t="shared" si="73"/>
        <v/>
      </c>
      <c r="I789" s="559" t="str">
        <f t="shared" si="74"/>
        <v/>
      </c>
    </row>
    <row r="790" spans="2:9">
      <c r="B790" s="555" t="str">
        <f t="shared" si="69"/>
        <v/>
      </c>
      <c r="C790" s="556" t="str">
        <f t="shared" si="70"/>
        <v/>
      </c>
      <c r="D790" s="557" t="str">
        <f t="shared" si="71"/>
        <v/>
      </c>
      <c r="E790" s="560"/>
      <c r="F790" s="559"/>
      <c r="G790" s="559" t="str">
        <f t="shared" si="72"/>
        <v/>
      </c>
      <c r="H790" s="559" t="str">
        <f t="shared" si="73"/>
        <v/>
      </c>
      <c r="I790" s="559" t="str">
        <f t="shared" si="74"/>
        <v/>
      </c>
    </row>
    <row r="791" spans="2:9">
      <c r="B791" s="555" t="str">
        <f t="shared" si="69"/>
        <v/>
      </c>
      <c r="C791" s="556" t="str">
        <f t="shared" si="70"/>
        <v/>
      </c>
      <c r="D791" s="557" t="str">
        <f t="shared" si="71"/>
        <v/>
      </c>
      <c r="E791" s="560"/>
      <c r="F791" s="559"/>
      <c r="G791" s="559" t="str">
        <f t="shared" si="72"/>
        <v/>
      </c>
      <c r="H791" s="559" t="str">
        <f t="shared" si="73"/>
        <v/>
      </c>
      <c r="I791" s="559" t="str">
        <f t="shared" si="74"/>
        <v/>
      </c>
    </row>
    <row r="792" spans="2:9">
      <c r="B792" s="555" t="str">
        <f t="shared" si="69"/>
        <v/>
      </c>
      <c r="C792" s="556" t="str">
        <f t="shared" si="70"/>
        <v/>
      </c>
      <c r="D792" s="557" t="str">
        <f t="shared" si="71"/>
        <v/>
      </c>
      <c r="E792" s="560"/>
      <c r="F792" s="559"/>
      <c r="G792" s="559" t="str">
        <f t="shared" si="72"/>
        <v/>
      </c>
      <c r="H792" s="559" t="str">
        <f t="shared" si="73"/>
        <v/>
      </c>
      <c r="I792" s="559" t="str">
        <f t="shared" si="74"/>
        <v/>
      </c>
    </row>
    <row r="793" spans="2:9">
      <c r="B793" s="555" t="str">
        <f t="shared" si="69"/>
        <v/>
      </c>
      <c r="C793" s="556" t="str">
        <f t="shared" si="70"/>
        <v/>
      </c>
      <c r="D793" s="557" t="str">
        <f t="shared" si="71"/>
        <v/>
      </c>
      <c r="E793" s="560"/>
      <c r="F793" s="559"/>
      <c r="G793" s="559" t="str">
        <f t="shared" si="72"/>
        <v/>
      </c>
      <c r="H793" s="559" t="str">
        <f t="shared" si="73"/>
        <v/>
      </c>
      <c r="I793" s="559" t="str">
        <f t="shared" si="74"/>
        <v/>
      </c>
    </row>
    <row r="794" spans="2:9">
      <c r="B794" s="555" t="str">
        <f t="shared" si="69"/>
        <v/>
      </c>
      <c r="C794" s="556" t="str">
        <f t="shared" si="70"/>
        <v/>
      </c>
      <c r="D794" s="557" t="str">
        <f t="shared" si="71"/>
        <v/>
      </c>
      <c r="E794" s="560"/>
      <c r="F794" s="559"/>
      <c r="G794" s="559" t="str">
        <f t="shared" si="72"/>
        <v/>
      </c>
      <c r="H794" s="559" t="str">
        <f t="shared" si="73"/>
        <v/>
      </c>
      <c r="I794" s="559" t="str">
        <f t="shared" si="74"/>
        <v/>
      </c>
    </row>
    <row r="795" spans="2:9">
      <c r="B795" s="555" t="str">
        <f t="shared" si="69"/>
        <v/>
      </c>
      <c r="C795" s="556" t="str">
        <f t="shared" si="70"/>
        <v/>
      </c>
      <c r="D795" s="557" t="str">
        <f t="shared" si="71"/>
        <v/>
      </c>
      <c r="E795" s="560"/>
      <c r="F795" s="559"/>
      <c r="G795" s="559" t="str">
        <f t="shared" si="72"/>
        <v/>
      </c>
      <c r="H795" s="559" t="str">
        <f t="shared" si="73"/>
        <v/>
      </c>
      <c r="I795" s="559" t="str">
        <f t="shared" si="74"/>
        <v/>
      </c>
    </row>
    <row r="796" spans="2:9">
      <c r="B796" s="555" t="str">
        <f t="shared" si="69"/>
        <v/>
      </c>
      <c r="C796" s="556" t="str">
        <f t="shared" si="70"/>
        <v/>
      </c>
      <c r="D796" s="557" t="str">
        <f t="shared" si="71"/>
        <v/>
      </c>
      <c r="E796" s="560"/>
      <c r="F796" s="559"/>
      <c r="G796" s="559" t="str">
        <f t="shared" si="72"/>
        <v/>
      </c>
      <c r="H796" s="559" t="str">
        <f t="shared" si="73"/>
        <v/>
      </c>
      <c r="I796" s="559" t="str">
        <f t="shared" si="74"/>
        <v/>
      </c>
    </row>
    <row r="797" spans="2:9">
      <c r="B797" s="555" t="str">
        <f t="shared" si="69"/>
        <v/>
      </c>
      <c r="C797" s="556" t="str">
        <f t="shared" si="70"/>
        <v/>
      </c>
      <c r="D797" s="557" t="str">
        <f t="shared" si="71"/>
        <v/>
      </c>
      <c r="E797" s="560"/>
      <c r="F797" s="559"/>
      <c r="G797" s="559" t="str">
        <f t="shared" si="72"/>
        <v/>
      </c>
      <c r="H797" s="559" t="str">
        <f t="shared" si="73"/>
        <v/>
      </c>
      <c r="I797" s="559" t="str">
        <f t="shared" si="74"/>
        <v/>
      </c>
    </row>
    <row r="798" spans="2:9">
      <c r="B798" s="555" t="str">
        <f t="shared" si="69"/>
        <v/>
      </c>
      <c r="C798" s="556" t="str">
        <f t="shared" si="70"/>
        <v/>
      </c>
      <c r="D798" s="557" t="str">
        <f t="shared" si="71"/>
        <v/>
      </c>
      <c r="E798" s="560"/>
      <c r="F798" s="559"/>
      <c r="G798" s="559" t="str">
        <f t="shared" si="72"/>
        <v/>
      </c>
      <c r="H798" s="559" t="str">
        <f t="shared" si="73"/>
        <v/>
      </c>
      <c r="I798" s="559" t="str">
        <f t="shared" si="74"/>
        <v/>
      </c>
    </row>
    <row r="799" spans="2:9">
      <c r="B799" s="555" t="str">
        <f t="shared" si="69"/>
        <v/>
      </c>
      <c r="C799" s="556" t="str">
        <f t="shared" si="70"/>
        <v/>
      </c>
      <c r="D799" s="557" t="str">
        <f t="shared" si="71"/>
        <v/>
      </c>
      <c r="E799" s="560"/>
      <c r="F799" s="559"/>
      <c r="G799" s="559" t="str">
        <f t="shared" si="72"/>
        <v/>
      </c>
      <c r="H799" s="559" t="str">
        <f t="shared" si="73"/>
        <v/>
      </c>
      <c r="I799" s="559" t="str">
        <f t="shared" si="74"/>
        <v/>
      </c>
    </row>
    <row r="800" spans="2:9">
      <c r="B800" s="555" t="str">
        <f t="shared" si="69"/>
        <v/>
      </c>
      <c r="C800" s="556" t="str">
        <f t="shared" si="70"/>
        <v/>
      </c>
      <c r="D800" s="557" t="str">
        <f t="shared" si="71"/>
        <v/>
      </c>
      <c r="E800" s="560"/>
      <c r="F800" s="559"/>
      <c r="G800" s="559" t="str">
        <f t="shared" si="72"/>
        <v/>
      </c>
      <c r="H800" s="559" t="str">
        <f t="shared" si="73"/>
        <v/>
      </c>
      <c r="I800" s="559" t="str">
        <f t="shared" si="74"/>
        <v/>
      </c>
    </row>
    <row r="801" spans="2:9">
      <c r="B801" s="555" t="str">
        <f t="shared" si="69"/>
        <v/>
      </c>
      <c r="C801" s="556" t="str">
        <f t="shared" si="70"/>
        <v/>
      </c>
      <c r="D801" s="557" t="str">
        <f t="shared" si="71"/>
        <v/>
      </c>
      <c r="E801" s="560"/>
      <c r="F801" s="559"/>
      <c r="G801" s="559" t="str">
        <f t="shared" si="72"/>
        <v/>
      </c>
      <c r="H801" s="559" t="str">
        <f t="shared" si="73"/>
        <v/>
      </c>
      <c r="I801" s="559" t="str">
        <f t="shared" si="74"/>
        <v/>
      </c>
    </row>
    <row r="802" spans="2:9">
      <c r="B802" s="555" t="str">
        <f t="shared" si="69"/>
        <v/>
      </c>
      <c r="C802" s="556" t="str">
        <f t="shared" si="70"/>
        <v/>
      </c>
      <c r="D802" s="557" t="str">
        <f t="shared" si="71"/>
        <v/>
      </c>
      <c r="E802" s="560"/>
      <c r="F802" s="559"/>
      <c r="G802" s="559" t="str">
        <f t="shared" si="72"/>
        <v/>
      </c>
      <c r="H802" s="559" t="str">
        <f t="shared" si="73"/>
        <v/>
      </c>
      <c r="I802" s="559" t="str">
        <f t="shared" si="74"/>
        <v/>
      </c>
    </row>
    <row r="803" spans="2:9">
      <c r="B803" s="555" t="str">
        <f t="shared" si="69"/>
        <v/>
      </c>
      <c r="C803" s="556" t="str">
        <f t="shared" si="70"/>
        <v/>
      </c>
      <c r="D803" s="557" t="str">
        <f t="shared" si="71"/>
        <v/>
      </c>
      <c r="E803" s="560"/>
      <c r="F803" s="559"/>
      <c r="G803" s="559" t="str">
        <f t="shared" si="72"/>
        <v/>
      </c>
      <c r="H803" s="559" t="str">
        <f t="shared" si="73"/>
        <v/>
      </c>
      <c r="I803" s="559" t="str">
        <f t="shared" si="74"/>
        <v/>
      </c>
    </row>
    <row r="804" spans="2:9">
      <c r="B804" s="555" t="str">
        <f t="shared" si="69"/>
        <v/>
      </c>
      <c r="C804" s="556" t="str">
        <f t="shared" si="70"/>
        <v/>
      </c>
      <c r="D804" s="557" t="str">
        <f t="shared" si="71"/>
        <v/>
      </c>
      <c r="E804" s="560"/>
      <c r="F804" s="559"/>
      <c r="G804" s="559" t="str">
        <f t="shared" si="72"/>
        <v/>
      </c>
      <c r="H804" s="559" t="str">
        <f t="shared" si="73"/>
        <v/>
      </c>
      <c r="I804" s="559" t="str">
        <f t="shared" si="74"/>
        <v/>
      </c>
    </row>
    <row r="805" spans="2:9">
      <c r="B805" s="555" t="str">
        <f t="shared" si="69"/>
        <v/>
      </c>
      <c r="C805" s="556" t="str">
        <f t="shared" si="70"/>
        <v/>
      </c>
      <c r="D805" s="557" t="str">
        <f t="shared" si="71"/>
        <v/>
      </c>
      <c r="E805" s="560"/>
      <c r="F805" s="559"/>
      <c r="G805" s="559" t="str">
        <f t="shared" si="72"/>
        <v/>
      </c>
      <c r="H805" s="559" t="str">
        <f t="shared" si="73"/>
        <v/>
      </c>
      <c r="I805" s="559" t="str">
        <f t="shared" si="74"/>
        <v/>
      </c>
    </row>
    <row r="806" spans="2:9">
      <c r="B806" s="555" t="str">
        <f t="shared" si="69"/>
        <v/>
      </c>
      <c r="C806" s="556" t="str">
        <f t="shared" si="70"/>
        <v/>
      </c>
      <c r="D806" s="557" t="str">
        <f t="shared" si="71"/>
        <v/>
      </c>
      <c r="E806" s="560"/>
      <c r="F806" s="559"/>
      <c r="G806" s="559" t="str">
        <f t="shared" si="72"/>
        <v/>
      </c>
      <c r="H806" s="559" t="str">
        <f t="shared" si="73"/>
        <v/>
      </c>
      <c r="I806" s="559" t="str">
        <f t="shared" si="74"/>
        <v/>
      </c>
    </row>
    <row r="807" spans="2:9">
      <c r="B807" s="555" t="str">
        <f t="shared" si="69"/>
        <v/>
      </c>
      <c r="C807" s="556" t="str">
        <f t="shared" si="70"/>
        <v/>
      </c>
      <c r="D807" s="557" t="str">
        <f t="shared" si="71"/>
        <v/>
      </c>
      <c r="E807" s="560"/>
      <c r="F807" s="559"/>
      <c r="G807" s="559" t="str">
        <f t="shared" si="72"/>
        <v/>
      </c>
      <c r="H807" s="559" t="str">
        <f t="shared" si="73"/>
        <v/>
      </c>
      <c r="I807" s="559" t="str">
        <f t="shared" si="74"/>
        <v/>
      </c>
    </row>
    <row r="808" spans="2:9">
      <c r="B808" s="555" t="str">
        <f t="shared" si="69"/>
        <v/>
      </c>
      <c r="C808" s="556" t="str">
        <f t="shared" si="70"/>
        <v/>
      </c>
      <c r="D808" s="557" t="str">
        <f t="shared" si="71"/>
        <v/>
      </c>
      <c r="E808" s="560"/>
      <c r="F808" s="559"/>
      <c r="G808" s="559" t="str">
        <f t="shared" si="72"/>
        <v/>
      </c>
      <c r="H808" s="559" t="str">
        <f t="shared" si="73"/>
        <v/>
      </c>
      <c r="I808" s="559" t="str">
        <f t="shared" si="74"/>
        <v/>
      </c>
    </row>
    <row r="809" spans="2:9">
      <c r="B809" s="555" t="str">
        <f t="shared" si="69"/>
        <v/>
      </c>
      <c r="C809" s="556" t="str">
        <f t="shared" si="70"/>
        <v/>
      </c>
      <c r="D809" s="557" t="str">
        <f t="shared" si="71"/>
        <v/>
      </c>
      <c r="E809" s="560"/>
      <c r="F809" s="559"/>
      <c r="G809" s="559" t="str">
        <f t="shared" si="72"/>
        <v/>
      </c>
      <c r="H809" s="559" t="str">
        <f t="shared" si="73"/>
        <v/>
      </c>
      <c r="I809" s="559" t="str">
        <f t="shared" si="74"/>
        <v/>
      </c>
    </row>
    <row r="810" spans="2:9">
      <c r="B810" s="555" t="str">
        <f t="shared" si="69"/>
        <v/>
      </c>
      <c r="C810" s="556" t="str">
        <f t="shared" si="70"/>
        <v/>
      </c>
      <c r="D810" s="557" t="str">
        <f t="shared" si="71"/>
        <v/>
      </c>
      <c r="E810" s="560"/>
      <c r="F810" s="559"/>
      <c r="G810" s="559" t="str">
        <f t="shared" si="72"/>
        <v/>
      </c>
      <c r="H810" s="559" t="str">
        <f t="shared" si="73"/>
        <v/>
      </c>
      <c r="I810" s="559" t="str">
        <f t="shared" si="74"/>
        <v/>
      </c>
    </row>
    <row r="811" spans="2:9">
      <c r="B811" s="555" t="str">
        <f t="shared" si="69"/>
        <v/>
      </c>
      <c r="C811" s="556" t="str">
        <f t="shared" si="70"/>
        <v/>
      </c>
      <c r="D811" s="557" t="str">
        <f t="shared" si="71"/>
        <v/>
      </c>
      <c r="E811" s="560"/>
      <c r="F811" s="559"/>
      <c r="G811" s="559" t="str">
        <f t="shared" si="72"/>
        <v/>
      </c>
      <c r="H811" s="559" t="str">
        <f t="shared" si="73"/>
        <v/>
      </c>
      <c r="I811" s="559" t="str">
        <f t="shared" si="74"/>
        <v/>
      </c>
    </row>
    <row r="812" spans="2:9">
      <c r="B812" s="555" t="str">
        <f t="shared" si="69"/>
        <v/>
      </c>
      <c r="C812" s="556" t="str">
        <f t="shared" si="70"/>
        <v/>
      </c>
      <c r="D812" s="557" t="str">
        <f t="shared" si="71"/>
        <v/>
      </c>
      <c r="E812" s="560"/>
      <c r="F812" s="559"/>
      <c r="G812" s="559" t="str">
        <f t="shared" si="72"/>
        <v/>
      </c>
      <c r="H812" s="559" t="str">
        <f t="shared" si="73"/>
        <v/>
      </c>
      <c r="I812" s="559" t="str">
        <f t="shared" si="74"/>
        <v/>
      </c>
    </row>
    <row r="813" spans="2:9">
      <c r="B813" s="555" t="str">
        <f t="shared" si="69"/>
        <v/>
      </c>
      <c r="C813" s="556" t="str">
        <f t="shared" si="70"/>
        <v/>
      </c>
      <c r="D813" s="557" t="str">
        <f t="shared" si="71"/>
        <v/>
      </c>
      <c r="E813" s="560"/>
      <c r="F813" s="559"/>
      <c r="G813" s="559" t="str">
        <f t="shared" si="72"/>
        <v/>
      </c>
      <c r="H813" s="559" t="str">
        <f t="shared" si="73"/>
        <v/>
      </c>
      <c r="I813" s="559" t="str">
        <f t="shared" si="74"/>
        <v/>
      </c>
    </row>
    <row r="814" spans="2:9">
      <c r="B814" s="555" t="str">
        <f t="shared" si="69"/>
        <v/>
      </c>
      <c r="C814" s="556" t="str">
        <f t="shared" si="70"/>
        <v/>
      </c>
      <c r="D814" s="557" t="str">
        <f t="shared" si="71"/>
        <v/>
      </c>
      <c r="E814" s="560"/>
      <c r="F814" s="559"/>
      <c r="G814" s="559" t="str">
        <f t="shared" si="72"/>
        <v/>
      </c>
      <c r="H814" s="559" t="str">
        <f t="shared" si="73"/>
        <v/>
      </c>
      <c r="I814" s="559" t="str">
        <f t="shared" si="74"/>
        <v/>
      </c>
    </row>
    <row r="815" spans="2:9">
      <c r="B815" s="555" t="str">
        <f t="shared" si="69"/>
        <v/>
      </c>
      <c r="C815" s="556" t="str">
        <f t="shared" si="70"/>
        <v/>
      </c>
      <c r="D815" s="557" t="str">
        <f t="shared" si="71"/>
        <v/>
      </c>
      <c r="E815" s="560"/>
      <c r="F815" s="559"/>
      <c r="G815" s="559" t="str">
        <f t="shared" si="72"/>
        <v/>
      </c>
      <c r="H815" s="559" t="str">
        <f t="shared" si="73"/>
        <v/>
      </c>
      <c r="I815" s="559" t="str">
        <f t="shared" si="74"/>
        <v/>
      </c>
    </row>
    <row r="816" spans="2:9">
      <c r="B816" s="555" t="str">
        <f t="shared" si="69"/>
        <v/>
      </c>
      <c r="C816" s="556" t="str">
        <f t="shared" si="70"/>
        <v/>
      </c>
      <c r="D816" s="557" t="str">
        <f t="shared" si="71"/>
        <v/>
      </c>
      <c r="E816" s="560"/>
      <c r="F816" s="559"/>
      <c r="G816" s="559" t="str">
        <f t="shared" si="72"/>
        <v/>
      </c>
      <c r="H816" s="559" t="str">
        <f t="shared" si="73"/>
        <v/>
      </c>
      <c r="I816" s="559" t="str">
        <f t="shared" si="74"/>
        <v/>
      </c>
    </row>
    <row r="817" spans="2:9">
      <c r="B817" s="555" t="str">
        <f t="shared" si="69"/>
        <v/>
      </c>
      <c r="C817" s="556" t="str">
        <f t="shared" si="70"/>
        <v/>
      </c>
      <c r="D817" s="557" t="str">
        <f t="shared" si="71"/>
        <v/>
      </c>
      <c r="E817" s="560"/>
      <c r="F817" s="559"/>
      <c r="G817" s="559" t="str">
        <f t="shared" si="72"/>
        <v/>
      </c>
      <c r="H817" s="559" t="str">
        <f t="shared" si="73"/>
        <v/>
      </c>
      <c r="I817" s="559" t="str">
        <f t="shared" si="74"/>
        <v/>
      </c>
    </row>
    <row r="818" spans="2:9">
      <c r="B818" s="555" t="str">
        <f t="shared" si="69"/>
        <v/>
      </c>
      <c r="C818" s="556" t="str">
        <f t="shared" si="70"/>
        <v/>
      </c>
      <c r="D818" s="557" t="str">
        <f t="shared" si="71"/>
        <v/>
      </c>
      <c r="E818" s="560"/>
      <c r="F818" s="559"/>
      <c r="G818" s="559" t="str">
        <f t="shared" si="72"/>
        <v/>
      </c>
      <c r="H818" s="559" t="str">
        <f t="shared" si="73"/>
        <v/>
      </c>
      <c r="I818" s="559" t="str">
        <f t="shared" si="74"/>
        <v/>
      </c>
    </row>
    <row r="819" spans="2:9">
      <c r="B819" s="555" t="str">
        <f t="shared" si="69"/>
        <v/>
      </c>
      <c r="C819" s="556" t="str">
        <f t="shared" si="70"/>
        <v/>
      </c>
      <c r="D819" s="557" t="str">
        <f t="shared" si="71"/>
        <v/>
      </c>
      <c r="E819" s="560"/>
      <c r="F819" s="559"/>
      <c r="G819" s="559" t="str">
        <f t="shared" si="72"/>
        <v/>
      </c>
      <c r="H819" s="559" t="str">
        <f t="shared" si="73"/>
        <v/>
      </c>
      <c r="I819" s="559" t="str">
        <f t="shared" si="74"/>
        <v/>
      </c>
    </row>
    <row r="820" spans="2:9">
      <c r="B820" s="555" t="str">
        <f t="shared" si="69"/>
        <v/>
      </c>
      <c r="C820" s="556" t="str">
        <f t="shared" si="70"/>
        <v/>
      </c>
      <c r="D820" s="557" t="str">
        <f t="shared" si="71"/>
        <v/>
      </c>
      <c r="E820" s="560"/>
      <c r="F820" s="559"/>
      <c r="G820" s="559" t="str">
        <f t="shared" si="72"/>
        <v/>
      </c>
      <c r="H820" s="559" t="str">
        <f t="shared" si="73"/>
        <v/>
      </c>
      <c r="I820" s="559" t="str">
        <f t="shared" si="74"/>
        <v/>
      </c>
    </row>
    <row r="821" spans="2:9">
      <c r="B821" s="555" t="str">
        <f t="shared" si="69"/>
        <v/>
      </c>
      <c r="C821" s="556" t="str">
        <f t="shared" si="70"/>
        <v/>
      </c>
      <c r="D821" s="557" t="str">
        <f t="shared" si="71"/>
        <v/>
      </c>
      <c r="E821" s="560"/>
      <c r="F821" s="559"/>
      <c r="G821" s="559" t="str">
        <f t="shared" si="72"/>
        <v/>
      </c>
      <c r="H821" s="559" t="str">
        <f t="shared" si="73"/>
        <v/>
      </c>
      <c r="I821" s="559" t="str">
        <f t="shared" si="74"/>
        <v/>
      </c>
    </row>
    <row r="822" spans="2:9">
      <c r="B822" s="555" t="str">
        <f t="shared" si="69"/>
        <v/>
      </c>
      <c r="C822" s="556" t="str">
        <f t="shared" si="70"/>
        <v/>
      </c>
      <c r="D822" s="557" t="str">
        <f t="shared" si="71"/>
        <v/>
      </c>
      <c r="E822" s="560"/>
      <c r="F822" s="559"/>
      <c r="G822" s="559" t="str">
        <f t="shared" si="72"/>
        <v/>
      </c>
      <c r="H822" s="559" t="str">
        <f t="shared" si="73"/>
        <v/>
      </c>
      <c r="I822" s="559" t="str">
        <f t="shared" si="74"/>
        <v/>
      </c>
    </row>
    <row r="823" spans="2:9">
      <c r="B823" s="555" t="str">
        <f t="shared" si="69"/>
        <v/>
      </c>
      <c r="C823" s="556" t="str">
        <f t="shared" si="70"/>
        <v/>
      </c>
      <c r="D823" s="557" t="str">
        <f t="shared" si="71"/>
        <v/>
      </c>
      <c r="E823" s="560"/>
      <c r="F823" s="559"/>
      <c r="G823" s="559" t="str">
        <f t="shared" si="72"/>
        <v/>
      </c>
      <c r="H823" s="559" t="str">
        <f t="shared" si="73"/>
        <v/>
      </c>
      <c r="I823" s="559" t="str">
        <f t="shared" si="74"/>
        <v/>
      </c>
    </row>
    <row r="824" spans="2:9">
      <c r="B824" s="555" t="str">
        <f t="shared" si="69"/>
        <v/>
      </c>
      <c r="C824" s="556" t="str">
        <f t="shared" si="70"/>
        <v/>
      </c>
      <c r="D824" s="557" t="str">
        <f t="shared" si="71"/>
        <v/>
      </c>
      <c r="E824" s="560"/>
      <c r="F824" s="559"/>
      <c r="G824" s="559" t="str">
        <f t="shared" si="72"/>
        <v/>
      </c>
      <c r="H824" s="559" t="str">
        <f t="shared" si="73"/>
        <v/>
      </c>
      <c r="I824" s="559" t="str">
        <f t="shared" si="74"/>
        <v/>
      </c>
    </row>
    <row r="825" spans="2:9">
      <c r="B825" s="555" t="str">
        <f t="shared" si="69"/>
        <v/>
      </c>
      <c r="C825" s="556" t="str">
        <f t="shared" si="70"/>
        <v/>
      </c>
      <c r="D825" s="557" t="str">
        <f t="shared" si="71"/>
        <v/>
      </c>
      <c r="E825" s="560"/>
      <c r="F825" s="559"/>
      <c r="G825" s="559" t="str">
        <f t="shared" si="72"/>
        <v/>
      </c>
      <c r="H825" s="559" t="str">
        <f t="shared" si="73"/>
        <v/>
      </c>
      <c r="I825" s="559" t="str">
        <f t="shared" si="74"/>
        <v/>
      </c>
    </row>
    <row r="826" spans="2:9">
      <c r="B826" s="555" t="str">
        <f t="shared" si="69"/>
        <v/>
      </c>
      <c r="C826" s="556" t="str">
        <f t="shared" si="70"/>
        <v/>
      </c>
      <c r="D826" s="557" t="str">
        <f t="shared" si="71"/>
        <v/>
      </c>
      <c r="E826" s="560"/>
      <c r="F826" s="559"/>
      <c r="G826" s="559" t="str">
        <f t="shared" si="72"/>
        <v/>
      </c>
      <c r="H826" s="559" t="str">
        <f t="shared" si="73"/>
        <v/>
      </c>
      <c r="I826" s="559" t="str">
        <f t="shared" si="74"/>
        <v/>
      </c>
    </row>
    <row r="827" spans="2:9">
      <c r="B827" s="555" t="str">
        <f t="shared" si="69"/>
        <v/>
      </c>
      <c r="C827" s="556" t="str">
        <f t="shared" si="70"/>
        <v/>
      </c>
      <c r="D827" s="557" t="str">
        <f t="shared" si="71"/>
        <v/>
      </c>
      <c r="E827" s="560"/>
      <c r="F827" s="559"/>
      <c r="G827" s="559" t="str">
        <f t="shared" si="72"/>
        <v/>
      </c>
      <c r="H827" s="559" t="str">
        <f t="shared" si="73"/>
        <v/>
      </c>
      <c r="I827" s="559" t="str">
        <f t="shared" si="74"/>
        <v/>
      </c>
    </row>
    <row r="828" spans="2:9">
      <c r="B828" s="555" t="str">
        <f t="shared" si="69"/>
        <v/>
      </c>
      <c r="C828" s="556" t="str">
        <f t="shared" si="70"/>
        <v/>
      </c>
      <c r="D828" s="557" t="str">
        <f t="shared" si="71"/>
        <v/>
      </c>
      <c r="E828" s="560"/>
      <c r="F828" s="559"/>
      <c r="G828" s="559" t="str">
        <f t="shared" si="72"/>
        <v/>
      </c>
      <c r="H828" s="559" t="str">
        <f t="shared" si="73"/>
        <v/>
      </c>
      <c r="I828" s="559" t="str">
        <f t="shared" si="74"/>
        <v/>
      </c>
    </row>
    <row r="829" spans="2:9">
      <c r="B829" s="555" t="str">
        <f t="shared" ref="B829:B840" si="75">IF(I828="","",IF(roundOpt,IF(OR(B828&gt;=nper,ROUND(I828,2)&lt;=0),"",B828+1),IF(OR(B828&gt;=nper,I828&lt;=0),"",B828+1)))</f>
        <v/>
      </c>
      <c r="C829" s="556" t="str">
        <f t="shared" ref="C829:C840" si="76">IF(B829="","",IF(OR(periods_per_year=26,periods_per_year=52),IF(periods_per_year=26,IF(B829=1,fpdate,C828+14),IF(periods_per_year=52,IF(B829=1,fpdate,C828+7),"n/a")),IF(periods_per_year=24,DATE(YEAR(fpdate),MONTH(fpdate)+(B829-1)/2+IF(AND(DAY(fpdate)&gt;=15,MOD(B829,2)=0),1,0),IF(MOD(B829,2)=0,IF(DAY(fpdate)&gt;=15,DAY(fpdate)-14,DAY(fpdate)+14),DAY(fpdate))),IF(DAY(DATE(YEAR(fpdate),MONTH(fpdate)+(B829-1)*months_per_period,DAY(fpdate)))&lt;&gt;DAY(fpdate),DATE(YEAR(fpdate),MONTH(fpdate)+(B829-1)*months_per_period+1,0),DATE(YEAR(fpdate),MONTH(fpdate)+(B829-1)*months_per_period,DAY(fpdate))))))</f>
        <v/>
      </c>
      <c r="D829" s="557" t="str">
        <f t="shared" ref="D829:D840" si="77">IF(B829="","",IF(roundOpt,IF(OR(B829=nper,payment&gt;ROUND((1+rate)*I828,2)),ROUND((1+rate)*I828,2),payment),IF(OR(B829=nper,payment&gt;(1+rate)*I828),(1+rate)*I828,payment)))</f>
        <v/>
      </c>
      <c r="E829" s="560"/>
      <c r="F829" s="559"/>
      <c r="G829" s="559" t="str">
        <f t="shared" ref="G829:G840" si="78">IF(B829="","",IF(AND(B829=1,pmtType=1),0,IF(roundOpt,ROUND(rate*I828,2),rate*I828)))</f>
        <v/>
      </c>
      <c r="H829" s="559" t="str">
        <f t="shared" ref="H829:H840" si="79">IF(B829="","",D829-G829+E829)</f>
        <v/>
      </c>
      <c r="I829" s="559" t="str">
        <f t="shared" ref="I829:I840" si="80">IF(B829="","",I828-H829)</f>
        <v/>
      </c>
    </row>
    <row r="830" spans="2:9">
      <c r="B830" s="555" t="str">
        <f t="shared" si="75"/>
        <v/>
      </c>
      <c r="C830" s="556" t="str">
        <f t="shared" si="76"/>
        <v/>
      </c>
      <c r="D830" s="557" t="str">
        <f t="shared" si="77"/>
        <v/>
      </c>
      <c r="E830" s="560"/>
      <c r="F830" s="559"/>
      <c r="G830" s="559" t="str">
        <f t="shared" si="78"/>
        <v/>
      </c>
      <c r="H830" s="559" t="str">
        <f t="shared" si="79"/>
        <v/>
      </c>
      <c r="I830" s="559" t="str">
        <f t="shared" si="80"/>
        <v/>
      </c>
    </row>
    <row r="831" spans="2:9">
      <c r="B831" s="555" t="str">
        <f t="shared" si="75"/>
        <v/>
      </c>
      <c r="C831" s="556" t="str">
        <f t="shared" si="76"/>
        <v/>
      </c>
      <c r="D831" s="557" t="str">
        <f t="shared" si="77"/>
        <v/>
      </c>
      <c r="E831" s="560"/>
      <c r="F831" s="559"/>
      <c r="G831" s="559" t="str">
        <f t="shared" si="78"/>
        <v/>
      </c>
      <c r="H831" s="559" t="str">
        <f t="shared" si="79"/>
        <v/>
      </c>
      <c r="I831" s="559" t="str">
        <f t="shared" si="80"/>
        <v/>
      </c>
    </row>
    <row r="832" spans="2:9">
      <c r="B832" s="555" t="str">
        <f t="shared" si="75"/>
        <v/>
      </c>
      <c r="C832" s="556" t="str">
        <f t="shared" si="76"/>
        <v/>
      </c>
      <c r="D832" s="557" t="str">
        <f t="shared" si="77"/>
        <v/>
      </c>
      <c r="E832" s="560"/>
      <c r="F832" s="559"/>
      <c r="G832" s="559" t="str">
        <f t="shared" si="78"/>
        <v/>
      </c>
      <c r="H832" s="559" t="str">
        <f t="shared" si="79"/>
        <v/>
      </c>
      <c r="I832" s="559" t="str">
        <f t="shared" si="80"/>
        <v/>
      </c>
    </row>
    <row r="833" spans="2:9">
      <c r="B833" s="555" t="str">
        <f t="shared" si="75"/>
        <v/>
      </c>
      <c r="C833" s="556" t="str">
        <f t="shared" si="76"/>
        <v/>
      </c>
      <c r="D833" s="557" t="str">
        <f t="shared" si="77"/>
        <v/>
      </c>
      <c r="E833" s="560"/>
      <c r="F833" s="559"/>
      <c r="G833" s="559" t="str">
        <f t="shared" si="78"/>
        <v/>
      </c>
      <c r="H833" s="559" t="str">
        <f t="shared" si="79"/>
        <v/>
      </c>
      <c r="I833" s="559" t="str">
        <f t="shared" si="80"/>
        <v/>
      </c>
    </row>
    <row r="834" spans="2:9">
      <c r="B834" s="555" t="str">
        <f t="shared" si="75"/>
        <v/>
      </c>
      <c r="C834" s="556" t="str">
        <f t="shared" si="76"/>
        <v/>
      </c>
      <c r="D834" s="557" t="str">
        <f t="shared" si="77"/>
        <v/>
      </c>
      <c r="E834" s="560"/>
      <c r="F834" s="559"/>
      <c r="G834" s="559" t="str">
        <f t="shared" si="78"/>
        <v/>
      </c>
      <c r="H834" s="559" t="str">
        <f t="shared" si="79"/>
        <v/>
      </c>
      <c r="I834" s="559" t="str">
        <f t="shared" si="80"/>
        <v/>
      </c>
    </row>
    <row r="835" spans="2:9">
      <c r="B835" s="555" t="str">
        <f t="shared" si="75"/>
        <v/>
      </c>
      <c r="C835" s="556" t="str">
        <f t="shared" si="76"/>
        <v/>
      </c>
      <c r="D835" s="557" t="str">
        <f t="shared" si="77"/>
        <v/>
      </c>
      <c r="E835" s="560"/>
      <c r="F835" s="559"/>
      <c r="G835" s="559" t="str">
        <f t="shared" si="78"/>
        <v/>
      </c>
      <c r="H835" s="559" t="str">
        <f t="shared" si="79"/>
        <v/>
      </c>
      <c r="I835" s="559" t="str">
        <f t="shared" si="80"/>
        <v/>
      </c>
    </row>
    <row r="836" spans="2:9">
      <c r="B836" s="555" t="str">
        <f t="shared" si="75"/>
        <v/>
      </c>
      <c r="C836" s="556" t="str">
        <f t="shared" si="76"/>
        <v/>
      </c>
      <c r="D836" s="557" t="str">
        <f t="shared" si="77"/>
        <v/>
      </c>
      <c r="E836" s="560"/>
      <c r="F836" s="559"/>
      <c r="G836" s="559" t="str">
        <f t="shared" si="78"/>
        <v/>
      </c>
      <c r="H836" s="559" t="str">
        <f t="shared" si="79"/>
        <v/>
      </c>
      <c r="I836" s="559" t="str">
        <f t="shared" si="80"/>
        <v/>
      </c>
    </row>
    <row r="837" spans="2:9">
      <c r="B837" s="555" t="str">
        <f t="shared" si="75"/>
        <v/>
      </c>
      <c r="C837" s="556" t="str">
        <f t="shared" si="76"/>
        <v/>
      </c>
      <c r="D837" s="557" t="str">
        <f t="shared" si="77"/>
        <v/>
      </c>
      <c r="E837" s="560"/>
      <c r="F837" s="559"/>
      <c r="G837" s="559" t="str">
        <f t="shared" si="78"/>
        <v/>
      </c>
      <c r="H837" s="559" t="str">
        <f t="shared" si="79"/>
        <v/>
      </c>
      <c r="I837" s="559" t="str">
        <f t="shared" si="80"/>
        <v/>
      </c>
    </row>
    <row r="838" spans="2:9">
      <c r="B838" s="555" t="str">
        <f t="shared" si="75"/>
        <v/>
      </c>
      <c r="C838" s="556" t="str">
        <f t="shared" si="76"/>
        <v/>
      </c>
      <c r="D838" s="557" t="str">
        <f t="shared" si="77"/>
        <v/>
      </c>
      <c r="E838" s="560"/>
      <c r="F838" s="559"/>
      <c r="G838" s="559" t="str">
        <f t="shared" si="78"/>
        <v/>
      </c>
      <c r="H838" s="559" t="str">
        <f t="shared" si="79"/>
        <v/>
      </c>
      <c r="I838" s="559" t="str">
        <f t="shared" si="80"/>
        <v/>
      </c>
    </row>
    <row r="839" spans="2:9">
      <c r="B839" s="555" t="str">
        <f t="shared" si="75"/>
        <v/>
      </c>
      <c r="C839" s="556" t="str">
        <f t="shared" si="76"/>
        <v/>
      </c>
      <c r="D839" s="557" t="str">
        <f t="shared" si="77"/>
        <v/>
      </c>
      <c r="E839" s="560"/>
      <c r="F839" s="559"/>
      <c r="G839" s="559" t="str">
        <f t="shared" si="78"/>
        <v/>
      </c>
      <c r="H839" s="559" t="str">
        <f t="shared" si="79"/>
        <v/>
      </c>
      <c r="I839" s="559" t="str">
        <f t="shared" si="80"/>
        <v/>
      </c>
    </row>
    <row r="840" spans="2:9">
      <c r="B840" s="555" t="str">
        <f t="shared" si="75"/>
        <v/>
      </c>
      <c r="C840" s="556" t="str">
        <f t="shared" si="76"/>
        <v/>
      </c>
      <c r="D840" s="557" t="str">
        <f t="shared" si="77"/>
        <v/>
      </c>
      <c r="E840" s="563"/>
      <c r="F840" s="559"/>
      <c r="G840" s="559" t="str">
        <f t="shared" si="78"/>
        <v/>
      </c>
      <c r="H840" s="559" t="str">
        <f t="shared" si="79"/>
        <v/>
      </c>
      <c r="I840" s="559" t="str">
        <f t="shared" si="80"/>
        <v/>
      </c>
    </row>
    <row r="841" spans="2:9">
      <c r="B841" s="564"/>
      <c r="C841" s="565"/>
      <c r="D841" s="565"/>
      <c r="E841" s="565" t="s">
        <v>712</v>
      </c>
      <c r="F841" s="565"/>
      <c r="G841" s="564"/>
      <c r="H841" s="564"/>
      <c r="I841" s="564"/>
    </row>
  </sheetData>
  <sheetProtection algorithmName="SHA-512" hashValue="GnXd59w+oR8u5rG2b26C4bDP3gbM3TdqnaTCcCl3gvy6AO4YK9rTRmsHLPejU9APNn0JT4yjwzq1E+QsVMqvug==" saltValue="9g0gCw/0feWOxsE47mDJAw==" spinCount="100000" sheet="1" formatCells="0" formatColumns="0" formatRows="0"/>
  <conditionalFormatting sqref="B61:I840">
    <cfRule type="expression" dxfId="11" priority="1" stopIfTrue="1">
      <formula>MOD($B61,periods_per_year)=0</formula>
    </cfRule>
  </conditionalFormatting>
  <conditionalFormatting sqref="E11">
    <cfRule type="expression" dxfId="10" priority="2" stopIfTrue="1">
      <formula>compound_period&gt;periods_per_year</formula>
    </cfRule>
  </conditionalFormatting>
  <dataValidations count="3">
    <dataValidation type="list" showInputMessage="1" showErrorMessage="1" sqref="E10:E11">
      <formula1>$J$6:$J$13</formula1>
    </dataValidation>
    <dataValidation type="list" showInputMessage="1" showErrorMessage="1" sqref="E13">
      <formula1>"On,Off"</formula1>
    </dataValidation>
    <dataValidation type="list" showInputMessage="1" showErrorMessage="1" sqref="E12">
      <formula1>"End of Period, Beginning of Period"</formula1>
    </dataValidation>
  </dataValidations>
  <printOptions horizontalCentered="1" headings="1" gridLines="1"/>
  <pageMargins left="0.5" right="0.5" top="0.85" bottom="0.5" header="0.5" footer="0.5"/>
  <pageSetup scale="52" fitToHeight="0" orientation="portrait" cellComments="asDisplayed" r:id="rId1"/>
  <headerFooter>
    <oddHeader>&amp;L&amp;F&amp;RPage &amp;P of &amp;N</oddHeader>
    <oddFooter>&amp;L&amp;A&amp;R&amp;D &amp;T</oddFooter>
    <firstFooter>&amp;R&amp;8Page &amp;P of &amp;N</firstFooter>
  </headerFooter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1"/>
  <sheetViews>
    <sheetView view="pageBreakPreview" zoomScaleSheetLayoutView="100" workbookViewId="0"/>
  </sheetViews>
  <sheetFormatPr defaultColWidth="8.85546875" defaultRowHeight="15"/>
  <cols>
    <col min="1" max="1" width="17.140625" style="573" customWidth="1"/>
    <col min="2" max="3" width="16.5703125" style="573" customWidth="1"/>
    <col min="4" max="4" width="14.5703125" style="573" customWidth="1"/>
    <col min="5" max="5" width="16.5703125" style="573" customWidth="1"/>
    <col min="6" max="6" width="12.7109375" style="573" customWidth="1"/>
    <col min="7" max="7" width="16.5703125" style="573" customWidth="1"/>
    <col min="8" max="16384" width="8.85546875" style="573"/>
  </cols>
  <sheetData>
    <row r="1" spans="1:7" ht="15.75">
      <c r="A1" s="570" t="s">
        <v>731</v>
      </c>
      <c r="B1" s="570"/>
      <c r="C1" s="570"/>
      <c r="D1" s="570"/>
      <c r="E1" s="571"/>
      <c r="F1" s="572"/>
    </row>
    <row r="2" spans="1:7" ht="15.75">
      <c r="A2" s="574" t="s">
        <v>39</v>
      </c>
      <c r="B2" s="575">
        <f>Dashboard!I28</f>
        <v>0</v>
      </c>
      <c r="C2" s="576"/>
      <c r="D2" s="576"/>
      <c r="E2" s="576"/>
      <c r="F2" s="572"/>
    </row>
    <row r="3" spans="1:7" ht="15.75">
      <c r="A3" s="574" t="s">
        <v>40</v>
      </c>
      <c r="B3" s="577">
        <f>Dashboard!F11</f>
        <v>3.5000000000000003E-2</v>
      </c>
      <c r="C3" s="571"/>
      <c r="D3" s="571"/>
      <c r="E3" s="571"/>
      <c r="F3" s="572"/>
    </row>
    <row r="4" spans="1:7" ht="15.75">
      <c r="A4" s="574" t="s">
        <v>41</v>
      </c>
      <c r="B4" s="575">
        <f>Dashboard!I31</f>
        <v>0</v>
      </c>
      <c r="C4" s="578"/>
      <c r="D4" s="571"/>
      <c r="E4" s="571"/>
      <c r="F4" s="572"/>
    </row>
    <row r="5" spans="1:7" ht="15.75">
      <c r="A5" s="579" t="s">
        <v>42</v>
      </c>
      <c r="B5" s="579" t="s">
        <v>43</v>
      </c>
      <c r="C5" s="579" t="s">
        <v>44</v>
      </c>
      <c r="D5" s="580" t="s">
        <v>45</v>
      </c>
      <c r="E5" s="580" t="s">
        <v>46</v>
      </c>
      <c r="F5" s="581" t="s">
        <v>47</v>
      </c>
    </row>
    <row r="6" spans="1:7" ht="15.75">
      <c r="A6" s="581">
        <v>1</v>
      </c>
      <c r="B6" s="582">
        <f>B2</f>
        <v>0</v>
      </c>
      <c r="C6" s="582"/>
      <c r="D6" s="582">
        <f>+B6*$B$3*0.5</f>
        <v>0</v>
      </c>
      <c r="E6" s="583"/>
      <c r="F6" s="584">
        <f>Dashboard!E11</f>
        <v>2028</v>
      </c>
    </row>
    <row r="7" spans="1:7" ht="15.75">
      <c r="A7" s="581"/>
      <c r="B7" s="571">
        <f t="shared" ref="B7:B67" si="0">B6-C6</f>
        <v>0</v>
      </c>
      <c r="C7" s="571" t="e">
        <f>+B6/$B$4</f>
        <v>#DIV/0!</v>
      </c>
      <c r="D7" s="571">
        <f>+D6</f>
        <v>0</v>
      </c>
      <c r="E7" s="571" t="e">
        <f>SUM(C6:D7)</f>
        <v>#DIV/0!</v>
      </c>
      <c r="F7" s="585">
        <f>+F6</f>
        <v>2028</v>
      </c>
    </row>
    <row r="8" spans="1:7" ht="15.75">
      <c r="A8" s="581">
        <v>2</v>
      </c>
      <c r="B8" s="582" t="e">
        <f>B7-C7</f>
        <v>#DIV/0!</v>
      </c>
      <c r="C8" s="582"/>
      <c r="D8" s="582" t="e">
        <f>+B8*$B$3*0.5</f>
        <v>#DIV/0!</v>
      </c>
      <c r="E8" s="583"/>
      <c r="F8" s="586">
        <f>+F6+1</f>
        <v>2029</v>
      </c>
    </row>
    <row r="9" spans="1:7" ht="15.75">
      <c r="A9" s="581"/>
      <c r="B9" s="571" t="e">
        <f>B8-C8</f>
        <v>#DIV/0!</v>
      </c>
      <c r="C9" s="571" t="e">
        <f>+C7</f>
        <v>#DIV/0!</v>
      </c>
      <c r="D9" s="571" t="e">
        <f>+D8</f>
        <v>#DIV/0!</v>
      </c>
      <c r="E9" s="571">
        <f>IF($B$4&gt;1,SUM(C8:D9),0)</f>
        <v>0</v>
      </c>
      <c r="F9" s="585">
        <f>+F8</f>
        <v>2029</v>
      </c>
    </row>
    <row r="10" spans="1:7" ht="15.75">
      <c r="A10" s="581">
        <v>3</v>
      </c>
      <c r="B10" s="582" t="e">
        <f t="shared" si="0"/>
        <v>#DIV/0!</v>
      </c>
      <c r="C10" s="582"/>
      <c r="D10" s="582" t="e">
        <f>+B10*$B$3*0.5</f>
        <v>#DIV/0!</v>
      </c>
      <c r="E10" s="583"/>
      <c r="F10" s="586">
        <f>+F8+1</f>
        <v>2030</v>
      </c>
    </row>
    <row r="11" spans="1:7" ht="15.75">
      <c r="A11" s="581"/>
      <c r="B11" s="571" t="e">
        <f t="shared" si="0"/>
        <v>#DIV/0!</v>
      </c>
      <c r="C11" s="571" t="e">
        <f>+C9</f>
        <v>#DIV/0!</v>
      </c>
      <c r="D11" s="571" t="e">
        <f>+D10</f>
        <v>#DIV/0!</v>
      </c>
      <c r="E11" s="571">
        <f>IF($B$4&gt;2,SUM(C10:D11),0)</f>
        <v>0</v>
      </c>
      <c r="F11" s="585">
        <f>+F10</f>
        <v>2030</v>
      </c>
    </row>
    <row r="12" spans="1:7" ht="15.75">
      <c r="A12" s="581">
        <v>4</v>
      </c>
      <c r="B12" s="582" t="e">
        <f t="shared" si="0"/>
        <v>#DIV/0!</v>
      </c>
      <c r="C12" s="582"/>
      <c r="D12" s="582" t="e">
        <f>+B12*$B$3*0.5</f>
        <v>#DIV/0!</v>
      </c>
      <c r="E12" s="583"/>
      <c r="F12" s="586">
        <f>+F10+1</f>
        <v>2031</v>
      </c>
    </row>
    <row r="13" spans="1:7" ht="15.75">
      <c r="A13" s="581"/>
      <c r="B13" s="571" t="e">
        <f t="shared" si="0"/>
        <v>#DIV/0!</v>
      </c>
      <c r="C13" s="571" t="e">
        <f t="shared" ref="C13:C43" si="1">C11</f>
        <v>#DIV/0!</v>
      </c>
      <c r="D13" s="571" t="e">
        <f>+D12</f>
        <v>#DIV/0!</v>
      </c>
      <c r="E13" s="571">
        <f>IF($B$4&gt;3,SUM(C12:D13),0)</f>
        <v>0</v>
      </c>
      <c r="F13" s="585">
        <f>+F12</f>
        <v>2031</v>
      </c>
    </row>
    <row r="14" spans="1:7" ht="15.75">
      <c r="A14" s="581">
        <v>5</v>
      </c>
      <c r="B14" s="582" t="e">
        <f t="shared" si="0"/>
        <v>#DIV/0!</v>
      </c>
      <c r="C14" s="582"/>
      <c r="D14" s="582" t="e">
        <f>+B14*$B$3*0.5</f>
        <v>#DIV/0!</v>
      </c>
      <c r="E14" s="583"/>
      <c r="F14" s="586">
        <f>+F12+1</f>
        <v>2032</v>
      </c>
      <c r="G14" s="603" t="s">
        <v>719</v>
      </c>
    </row>
    <row r="15" spans="1:7" ht="15.75">
      <c r="A15" s="581"/>
      <c r="B15" s="571" t="e">
        <f t="shared" si="0"/>
        <v>#DIV/0!</v>
      </c>
      <c r="C15" s="571" t="e">
        <f t="shared" si="1"/>
        <v>#DIV/0!</v>
      </c>
      <c r="D15" s="571" t="e">
        <f>+D14</f>
        <v>#DIV/0!</v>
      </c>
      <c r="E15" s="571">
        <f>IF($B$4&gt;4,SUM(C14:D15),0)</f>
        <v>0</v>
      </c>
      <c r="F15" s="585">
        <f>+F14</f>
        <v>2032</v>
      </c>
      <c r="G15" s="602" t="e">
        <f>SUM(E7:E15)</f>
        <v>#DIV/0!</v>
      </c>
    </row>
    <row r="16" spans="1:7" ht="15.75">
      <c r="A16" s="581">
        <v>6</v>
      </c>
      <c r="B16" s="582" t="e">
        <f t="shared" si="0"/>
        <v>#DIV/0!</v>
      </c>
      <c r="C16" s="582"/>
      <c r="D16" s="582" t="e">
        <f>+B16*$B$3*0.5</f>
        <v>#DIV/0!</v>
      </c>
      <c r="E16" s="583"/>
      <c r="F16" s="586">
        <f>+F14+1</f>
        <v>2033</v>
      </c>
    </row>
    <row r="17" spans="1:6" ht="15.75">
      <c r="A17" s="581"/>
      <c r="B17" s="571" t="e">
        <f t="shared" si="0"/>
        <v>#DIV/0!</v>
      </c>
      <c r="C17" s="571" t="e">
        <f t="shared" si="1"/>
        <v>#DIV/0!</v>
      </c>
      <c r="D17" s="571" t="e">
        <f>+D16</f>
        <v>#DIV/0!</v>
      </c>
      <c r="E17" s="571">
        <f>IF($B$4&gt;5,SUM(C16:D17),0)</f>
        <v>0</v>
      </c>
      <c r="F17" s="585">
        <f>+F16</f>
        <v>2033</v>
      </c>
    </row>
    <row r="18" spans="1:6" ht="15.75">
      <c r="A18" s="581">
        <v>7</v>
      </c>
      <c r="B18" s="582" t="e">
        <f t="shared" si="0"/>
        <v>#DIV/0!</v>
      </c>
      <c r="C18" s="582"/>
      <c r="D18" s="582" t="e">
        <f>+B18*$B$3*0.5</f>
        <v>#DIV/0!</v>
      </c>
      <c r="E18" s="583"/>
      <c r="F18" s="586">
        <f>+F16+1</f>
        <v>2034</v>
      </c>
    </row>
    <row r="19" spans="1:6" ht="15.75">
      <c r="A19" s="581"/>
      <c r="B19" s="571" t="e">
        <f t="shared" si="0"/>
        <v>#DIV/0!</v>
      </c>
      <c r="C19" s="571" t="e">
        <f t="shared" si="1"/>
        <v>#DIV/0!</v>
      </c>
      <c r="D19" s="571" t="e">
        <f>+D18</f>
        <v>#DIV/0!</v>
      </c>
      <c r="E19" s="571">
        <f>IF($B$4&gt;6,SUM(C18:D19),0)</f>
        <v>0</v>
      </c>
      <c r="F19" s="585">
        <f>+F18</f>
        <v>2034</v>
      </c>
    </row>
    <row r="20" spans="1:6" ht="15.75">
      <c r="A20" s="581">
        <v>8</v>
      </c>
      <c r="B20" s="582" t="e">
        <f t="shared" si="0"/>
        <v>#DIV/0!</v>
      </c>
      <c r="C20" s="582"/>
      <c r="D20" s="582" t="e">
        <f>+B20*$B$3*0.5</f>
        <v>#DIV/0!</v>
      </c>
      <c r="E20" s="583"/>
      <c r="F20" s="586">
        <f>+F18+1</f>
        <v>2035</v>
      </c>
    </row>
    <row r="21" spans="1:6" ht="15.75">
      <c r="A21" s="581"/>
      <c r="B21" s="571" t="e">
        <f t="shared" si="0"/>
        <v>#DIV/0!</v>
      </c>
      <c r="C21" s="571" t="e">
        <f t="shared" si="1"/>
        <v>#DIV/0!</v>
      </c>
      <c r="D21" s="571" t="e">
        <f>+D20</f>
        <v>#DIV/0!</v>
      </c>
      <c r="E21" s="571">
        <f>IF($B$4&gt;7,SUM(C20:D21),0)</f>
        <v>0</v>
      </c>
      <c r="F21" s="585">
        <f>+F20</f>
        <v>2035</v>
      </c>
    </row>
    <row r="22" spans="1:6" ht="15.75">
      <c r="A22" s="581">
        <v>9</v>
      </c>
      <c r="B22" s="582" t="e">
        <f t="shared" si="0"/>
        <v>#DIV/0!</v>
      </c>
      <c r="C22" s="582"/>
      <c r="D22" s="582" t="e">
        <f>+B22*$B$3*0.5</f>
        <v>#DIV/0!</v>
      </c>
      <c r="E22" s="583"/>
      <c r="F22" s="586">
        <f>+F20+1</f>
        <v>2036</v>
      </c>
    </row>
    <row r="23" spans="1:6" ht="15.75">
      <c r="A23" s="581"/>
      <c r="B23" s="571" t="e">
        <f t="shared" si="0"/>
        <v>#DIV/0!</v>
      </c>
      <c r="C23" s="571" t="e">
        <f t="shared" si="1"/>
        <v>#DIV/0!</v>
      </c>
      <c r="D23" s="571" t="e">
        <f>+D22</f>
        <v>#DIV/0!</v>
      </c>
      <c r="E23" s="571">
        <f>IF($B$4&gt;8,SUM(C22:D23),0)</f>
        <v>0</v>
      </c>
      <c r="F23" s="585">
        <f>+F22</f>
        <v>2036</v>
      </c>
    </row>
    <row r="24" spans="1:6" ht="15.75">
      <c r="A24" s="581">
        <v>10</v>
      </c>
      <c r="B24" s="582" t="e">
        <f t="shared" si="0"/>
        <v>#DIV/0!</v>
      </c>
      <c r="C24" s="582"/>
      <c r="D24" s="582" t="e">
        <f>+B24*$B$3*0.5</f>
        <v>#DIV/0!</v>
      </c>
      <c r="E24" s="583"/>
      <c r="F24" s="586">
        <f>+F22+1</f>
        <v>2037</v>
      </c>
    </row>
    <row r="25" spans="1:6" ht="15.75">
      <c r="A25" s="581"/>
      <c r="B25" s="571" t="e">
        <f t="shared" si="0"/>
        <v>#DIV/0!</v>
      </c>
      <c r="C25" s="571" t="e">
        <f t="shared" si="1"/>
        <v>#DIV/0!</v>
      </c>
      <c r="D25" s="571" t="e">
        <f>+D24</f>
        <v>#DIV/0!</v>
      </c>
      <c r="E25" s="571">
        <f>IF($B$4&gt;9,SUM(C24:D25),0)</f>
        <v>0</v>
      </c>
      <c r="F25" s="585">
        <f>+F24</f>
        <v>2037</v>
      </c>
    </row>
    <row r="26" spans="1:6" ht="15.75">
      <c r="A26" s="581">
        <v>11</v>
      </c>
      <c r="B26" s="582" t="e">
        <f t="shared" si="0"/>
        <v>#DIV/0!</v>
      </c>
      <c r="C26" s="582"/>
      <c r="D26" s="582" t="e">
        <f>+B26*$B$3*0.5</f>
        <v>#DIV/0!</v>
      </c>
      <c r="E26" s="583"/>
      <c r="F26" s="586">
        <f>+F24+1</f>
        <v>2038</v>
      </c>
    </row>
    <row r="27" spans="1:6" ht="15.75">
      <c r="A27" s="581"/>
      <c r="B27" s="571" t="e">
        <f t="shared" si="0"/>
        <v>#DIV/0!</v>
      </c>
      <c r="C27" s="571" t="e">
        <f t="shared" si="1"/>
        <v>#DIV/0!</v>
      </c>
      <c r="D27" s="571" t="e">
        <f>+D26</f>
        <v>#DIV/0!</v>
      </c>
      <c r="E27" s="571">
        <f>IF($B$4&gt;10,SUM(C26:D27),0)</f>
        <v>0</v>
      </c>
      <c r="F27" s="585">
        <f>+F26</f>
        <v>2038</v>
      </c>
    </row>
    <row r="28" spans="1:6" ht="15.75">
      <c r="A28" s="581">
        <v>12</v>
      </c>
      <c r="B28" s="582" t="e">
        <f t="shared" si="0"/>
        <v>#DIV/0!</v>
      </c>
      <c r="C28" s="582"/>
      <c r="D28" s="582" t="e">
        <f>+B28*$B$3*0.5</f>
        <v>#DIV/0!</v>
      </c>
      <c r="E28" s="583"/>
      <c r="F28" s="586">
        <f>+F26+1</f>
        <v>2039</v>
      </c>
    </row>
    <row r="29" spans="1:6" ht="15.75">
      <c r="A29" s="581"/>
      <c r="B29" s="571" t="e">
        <f t="shared" si="0"/>
        <v>#DIV/0!</v>
      </c>
      <c r="C29" s="571" t="e">
        <f>+C27</f>
        <v>#DIV/0!</v>
      </c>
      <c r="D29" s="571" t="e">
        <f>+D28</f>
        <v>#DIV/0!</v>
      </c>
      <c r="E29" s="571">
        <f>IF($B$4&gt;11,SUM(C28:D29),0)</f>
        <v>0</v>
      </c>
      <c r="F29" s="585">
        <f>+F28</f>
        <v>2039</v>
      </c>
    </row>
    <row r="30" spans="1:6" ht="15.75">
      <c r="A30" s="581">
        <v>13</v>
      </c>
      <c r="B30" s="582" t="e">
        <f t="shared" si="0"/>
        <v>#DIV/0!</v>
      </c>
      <c r="C30" s="582"/>
      <c r="D30" s="582" t="e">
        <f>+B30*$B$3*0.5</f>
        <v>#DIV/0!</v>
      </c>
      <c r="E30" s="583"/>
      <c r="F30" s="586">
        <f>+F28+1</f>
        <v>2040</v>
      </c>
    </row>
    <row r="31" spans="1:6" ht="15.75">
      <c r="A31" s="581"/>
      <c r="B31" s="571" t="e">
        <f t="shared" si="0"/>
        <v>#DIV/0!</v>
      </c>
      <c r="C31" s="571" t="e">
        <f t="shared" si="1"/>
        <v>#DIV/0!</v>
      </c>
      <c r="D31" s="571" t="e">
        <f>+D30</f>
        <v>#DIV/0!</v>
      </c>
      <c r="E31" s="571">
        <f>IF($B$4&gt;12,SUM(C30:D31),0)</f>
        <v>0</v>
      </c>
      <c r="F31" s="585">
        <f>+F30</f>
        <v>2040</v>
      </c>
    </row>
    <row r="32" spans="1:6" ht="15.75">
      <c r="A32" s="581">
        <v>14</v>
      </c>
      <c r="B32" s="582" t="e">
        <f t="shared" si="0"/>
        <v>#DIV/0!</v>
      </c>
      <c r="C32" s="582"/>
      <c r="D32" s="582" t="e">
        <f>+B32*$B$3*0.5</f>
        <v>#DIV/0!</v>
      </c>
      <c r="E32" s="583"/>
      <c r="F32" s="586">
        <f>+F30+1</f>
        <v>2041</v>
      </c>
    </row>
    <row r="33" spans="1:7" ht="15.75">
      <c r="A33" s="581"/>
      <c r="B33" s="571" t="e">
        <f t="shared" si="0"/>
        <v>#DIV/0!</v>
      </c>
      <c r="C33" s="571" t="e">
        <f>+C31</f>
        <v>#DIV/0!</v>
      </c>
      <c r="D33" s="571" t="e">
        <f>+D32</f>
        <v>#DIV/0!</v>
      </c>
      <c r="E33" s="571">
        <f>IF($B$4&gt;13,SUM(C32:D33),0)</f>
        <v>0</v>
      </c>
      <c r="F33" s="585">
        <f>+F32</f>
        <v>2041</v>
      </c>
    </row>
    <row r="34" spans="1:7" ht="15.75">
      <c r="A34" s="581">
        <v>15</v>
      </c>
      <c r="B34" s="582" t="e">
        <f t="shared" si="0"/>
        <v>#DIV/0!</v>
      </c>
      <c r="C34" s="582"/>
      <c r="D34" s="582" t="e">
        <f>+B34*$B$3*0.5</f>
        <v>#DIV/0!</v>
      </c>
      <c r="E34" s="583"/>
      <c r="F34" s="586">
        <f>+F32+1</f>
        <v>2042</v>
      </c>
    </row>
    <row r="35" spans="1:7" ht="15.75">
      <c r="A35" s="581"/>
      <c r="B35" s="571" t="e">
        <f t="shared" si="0"/>
        <v>#DIV/0!</v>
      </c>
      <c r="C35" s="571" t="e">
        <f t="shared" si="1"/>
        <v>#DIV/0!</v>
      </c>
      <c r="D35" s="571" t="e">
        <f>+D34</f>
        <v>#DIV/0!</v>
      </c>
      <c r="E35" s="571">
        <f>IF($B$4&gt;14,SUM(C34:D35),0)</f>
        <v>0</v>
      </c>
      <c r="F35" s="585">
        <f>+F34</f>
        <v>2042</v>
      </c>
    </row>
    <row r="36" spans="1:7" ht="15.75">
      <c r="A36" s="581">
        <v>16</v>
      </c>
      <c r="B36" s="582" t="e">
        <f t="shared" si="0"/>
        <v>#DIV/0!</v>
      </c>
      <c r="C36" s="582"/>
      <c r="D36" s="582" t="e">
        <f>+B36*$B$3*0.5</f>
        <v>#DIV/0!</v>
      </c>
      <c r="E36" s="583"/>
      <c r="F36" s="586">
        <f>+F34+1</f>
        <v>2043</v>
      </c>
    </row>
    <row r="37" spans="1:7" ht="15.75">
      <c r="A37" s="581"/>
      <c r="B37" s="571" t="e">
        <f t="shared" si="0"/>
        <v>#DIV/0!</v>
      </c>
      <c r="C37" s="571" t="e">
        <f>+C35</f>
        <v>#DIV/0!</v>
      </c>
      <c r="D37" s="571" t="e">
        <f>+D36</f>
        <v>#DIV/0!</v>
      </c>
      <c r="E37" s="571">
        <f>IF($B$4&gt;15,SUM(C36:D37),0)</f>
        <v>0</v>
      </c>
      <c r="F37" s="585">
        <f>+F36</f>
        <v>2043</v>
      </c>
    </row>
    <row r="38" spans="1:7" ht="15.75">
      <c r="A38" s="581">
        <v>17</v>
      </c>
      <c r="B38" s="582" t="e">
        <f t="shared" si="0"/>
        <v>#DIV/0!</v>
      </c>
      <c r="C38" s="582"/>
      <c r="D38" s="582" t="e">
        <f>+B38*$B$3*0.5</f>
        <v>#DIV/0!</v>
      </c>
      <c r="E38" s="583"/>
      <c r="F38" s="586">
        <f>+F36+1</f>
        <v>2044</v>
      </c>
    </row>
    <row r="39" spans="1:7" ht="15.75">
      <c r="A39" s="581"/>
      <c r="B39" s="571" t="e">
        <f t="shared" si="0"/>
        <v>#DIV/0!</v>
      </c>
      <c r="C39" s="571" t="e">
        <f t="shared" si="1"/>
        <v>#DIV/0!</v>
      </c>
      <c r="D39" s="571" t="e">
        <f>+D38</f>
        <v>#DIV/0!</v>
      </c>
      <c r="E39" s="571">
        <f>IF($B$4&gt;16,SUM(C38:D39),0)</f>
        <v>0</v>
      </c>
      <c r="F39" s="585">
        <f>+F38</f>
        <v>2044</v>
      </c>
    </row>
    <row r="40" spans="1:7" ht="15.75">
      <c r="A40" s="581">
        <v>18</v>
      </c>
      <c r="B40" s="582" t="e">
        <f t="shared" si="0"/>
        <v>#DIV/0!</v>
      </c>
      <c r="C40" s="582"/>
      <c r="D40" s="582" t="e">
        <f>+B40*$B$3*0.5</f>
        <v>#DIV/0!</v>
      </c>
      <c r="E40" s="583"/>
      <c r="F40" s="586">
        <f>+F38+1</f>
        <v>2045</v>
      </c>
    </row>
    <row r="41" spans="1:7" ht="15.75">
      <c r="A41" s="581"/>
      <c r="B41" s="571" t="e">
        <f t="shared" si="0"/>
        <v>#DIV/0!</v>
      </c>
      <c r="C41" s="571" t="e">
        <f t="shared" si="1"/>
        <v>#DIV/0!</v>
      </c>
      <c r="D41" s="571" t="e">
        <f>+D40</f>
        <v>#DIV/0!</v>
      </c>
      <c r="E41" s="571">
        <f>IF($B$4&gt;17,SUM(C40:D41),0)</f>
        <v>0</v>
      </c>
      <c r="F41" s="585">
        <f>+F40</f>
        <v>2045</v>
      </c>
    </row>
    <row r="42" spans="1:7" ht="15.75">
      <c r="A42" s="581">
        <v>19</v>
      </c>
      <c r="B42" s="582" t="e">
        <f t="shared" si="0"/>
        <v>#DIV/0!</v>
      </c>
      <c r="C42" s="582"/>
      <c r="D42" s="582" t="e">
        <f>+B42*$B$3*0.5</f>
        <v>#DIV/0!</v>
      </c>
      <c r="E42" s="583"/>
      <c r="F42" s="586">
        <f>+F40+1</f>
        <v>2046</v>
      </c>
    </row>
    <row r="43" spans="1:7" ht="15.75">
      <c r="A43" s="581"/>
      <c r="B43" s="571" t="e">
        <f t="shared" si="0"/>
        <v>#DIV/0!</v>
      </c>
      <c r="C43" s="571" t="e">
        <f t="shared" si="1"/>
        <v>#DIV/0!</v>
      </c>
      <c r="D43" s="571" t="e">
        <f>+D42</f>
        <v>#DIV/0!</v>
      </c>
      <c r="E43" s="571">
        <f>IF($B$4&gt;18,SUM(C42:D43),0)</f>
        <v>0</v>
      </c>
      <c r="F43" s="585">
        <f>+F42</f>
        <v>2046</v>
      </c>
    </row>
    <row r="44" spans="1:7" ht="15.75">
      <c r="A44" s="581">
        <v>20</v>
      </c>
      <c r="B44" s="582" t="e">
        <f t="shared" si="0"/>
        <v>#DIV/0!</v>
      </c>
      <c r="C44" s="582"/>
      <c r="D44" s="582" t="e">
        <f>+B44*$B$3*0.5</f>
        <v>#DIV/0!</v>
      </c>
      <c r="E44" s="583"/>
      <c r="F44" s="586">
        <f>+F42+1</f>
        <v>2047</v>
      </c>
    </row>
    <row r="45" spans="1:7" ht="15.75">
      <c r="A45" s="581"/>
      <c r="B45" s="571" t="e">
        <f>ROUND(B44-C44,0)</f>
        <v>#DIV/0!</v>
      </c>
      <c r="C45" s="571" t="e">
        <f>ROUND(C43,0)</f>
        <v>#DIV/0!</v>
      </c>
      <c r="D45" s="571" t="e">
        <f>+D44</f>
        <v>#DIV/0!</v>
      </c>
      <c r="E45" s="571">
        <f>IF($B$4&gt;19,SUM(C44:D45),0)</f>
        <v>0</v>
      </c>
      <c r="F45" s="585">
        <f>+F44</f>
        <v>2047</v>
      </c>
      <c r="G45" s="587"/>
    </row>
    <row r="46" spans="1:7" ht="15.75">
      <c r="A46" s="581">
        <v>21</v>
      </c>
      <c r="B46" s="582" t="e">
        <f t="shared" si="0"/>
        <v>#DIV/0!</v>
      </c>
      <c r="C46" s="582"/>
      <c r="D46" s="582" t="e">
        <f>+B46*$B$3*0.5</f>
        <v>#DIV/0!</v>
      </c>
      <c r="E46" s="583"/>
      <c r="F46" s="586">
        <f>+F44+1</f>
        <v>2048</v>
      </c>
    </row>
    <row r="47" spans="1:7" ht="15.75">
      <c r="A47" s="571"/>
      <c r="B47" s="571" t="e">
        <f t="shared" si="0"/>
        <v>#DIV/0!</v>
      </c>
      <c r="C47" s="571" t="e">
        <f>IF($B$4=20,0,+C45)</f>
        <v>#DIV/0!</v>
      </c>
      <c r="D47" s="571" t="e">
        <f>+D46</f>
        <v>#DIV/0!</v>
      </c>
      <c r="E47" s="571">
        <f>IF($B$4&gt;20,SUM(C46:D47),0)</f>
        <v>0</v>
      </c>
      <c r="F47" s="585">
        <f>+F46</f>
        <v>2048</v>
      </c>
    </row>
    <row r="48" spans="1:7" ht="15.75">
      <c r="A48" s="581">
        <v>22</v>
      </c>
      <c r="B48" s="582" t="e">
        <f t="shared" si="0"/>
        <v>#DIV/0!</v>
      </c>
      <c r="C48" s="582"/>
      <c r="D48" s="582" t="e">
        <f>+B48*$B$3*0.5</f>
        <v>#DIV/0!</v>
      </c>
      <c r="E48" s="583"/>
      <c r="F48" s="586">
        <f>+F46+1</f>
        <v>2049</v>
      </c>
    </row>
    <row r="49" spans="1:6" ht="15.75">
      <c r="A49" s="571"/>
      <c r="B49" s="571" t="e">
        <f t="shared" si="0"/>
        <v>#DIV/0!</v>
      </c>
      <c r="C49" s="571" t="e">
        <f>+C47</f>
        <v>#DIV/0!</v>
      </c>
      <c r="D49" s="571" t="e">
        <f>+D48</f>
        <v>#DIV/0!</v>
      </c>
      <c r="E49" s="571">
        <f>IF($B$4&gt;21,SUM(C48:D49),0)</f>
        <v>0</v>
      </c>
      <c r="F49" s="585">
        <f>+F48</f>
        <v>2049</v>
      </c>
    </row>
    <row r="50" spans="1:6" ht="15.75">
      <c r="A50" s="581">
        <v>23</v>
      </c>
      <c r="B50" s="582" t="e">
        <f t="shared" si="0"/>
        <v>#DIV/0!</v>
      </c>
      <c r="C50" s="582"/>
      <c r="D50" s="582" t="e">
        <f>+B50*$B$3*0.5</f>
        <v>#DIV/0!</v>
      </c>
      <c r="E50" s="583"/>
      <c r="F50" s="586">
        <f>+F48+1</f>
        <v>2050</v>
      </c>
    </row>
    <row r="51" spans="1:6" ht="15.75">
      <c r="A51" s="571"/>
      <c r="B51" s="571" t="e">
        <f t="shared" si="0"/>
        <v>#DIV/0!</v>
      </c>
      <c r="C51" s="571" t="e">
        <f>+C49</f>
        <v>#DIV/0!</v>
      </c>
      <c r="D51" s="571" t="e">
        <f>+D50</f>
        <v>#DIV/0!</v>
      </c>
      <c r="E51" s="571">
        <f>IF($B$4&gt;22,SUM(C50:D51),0)</f>
        <v>0</v>
      </c>
      <c r="F51" s="585">
        <f>+F50</f>
        <v>2050</v>
      </c>
    </row>
    <row r="52" spans="1:6" ht="15.75">
      <c r="A52" s="581">
        <v>24</v>
      </c>
      <c r="B52" s="582" t="e">
        <f t="shared" si="0"/>
        <v>#DIV/0!</v>
      </c>
      <c r="C52" s="582"/>
      <c r="D52" s="582" t="e">
        <f>+B52*$B$3*0.5</f>
        <v>#DIV/0!</v>
      </c>
      <c r="E52" s="583"/>
      <c r="F52" s="586">
        <f>+F50+1</f>
        <v>2051</v>
      </c>
    </row>
    <row r="53" spans="1:6" ht="15.75">
      <c r="A53" s="571"/>
      <c r="B53" s="571" t="e">
        <f t="shared" si="0"/>
        <v>#DIV/0!</v>
      </c>
      <c r="C53" s="571" t="e">
        <f>+C51</f>
        <v>#DIV/0!</v>
      </c>
      <c r="D53" s="571" t="e">
        <f>+D52</f>
        <v>#DIV/0!</v>
      </c>
      <c r="E53" s="571">
        <f>IF($B$4&gt;23,SUM(C52:D53),0)</f>
        <v>0</v>
      </c>
      <c r="F53" s="585">
        <f>+F52</f>
        <v>2051</v>
      </c>
    </row>
    <row r="54" spans="1:6" ht="15.75">
      <c r="A54" s="581">
        <v>25</v>
      </c>
      <c r="B54" s="582" t="e">
        <f t="shared" si="0"/>
        <v>#DIV/0!</v>
      </c>
      <c r="C54" s="582"/>
      <c r="D54" s="582" t="e">
        <f>+B54*$B$3*0.5</f>
        <v>#DIV/0!</v>
      </c>
      <c r="E54" s="583"/>
      <c r="F54" s="586">
        <f>+F52+1</f>
        <v>2052</v>
      </c>
    </row>
    <row r="55" spans="1:6" ht="15.75">
      <c r="A55" s="571"/>
      <c r="B55" s="571" t="e">
        <f t="shared" si="0"/>
        <v>#DIV/0!</v>
      </c>
      <c r="C55" s="571" t="e">
        <f>+C53</f>
        <v>#DIV/0!</v>
      </c>
      <c r="D55" s="571" t="e">
        <f>+D54</f>
        <v>#DIV/0!</v>
      </c>
      <c r="E55" s="571">
        <f>IF($B$4&gt;24,SUM(C54:D55),0)</f>
        <v>0</v>
      </c>
      <c r="F55" s="585">
        <f>+F54</f>
        <v>2052</v>
      </c>
    </row>
    <row r="56" spans="1:6" ht="15.75">
      <c r="A56" s="581">
        <v>26</v>
      </c>
      <c r="B56" s="582" t="e">
        <f t="shared" si="0"/>
        <v>#DIV/0!</v>
      </c>
      <c r="C56" s="582"/>
      <c r="D56" s="582" t="e">
        <f>+B56*$B$3*0.5</f>
        <v>#DIV/0!</v>
      </c>
      <c r="E56" s="583"/>
      <c r="F56" s="586">
        <f>+F54+1</f>
        <v>2053</v>
      </c>
    </row>
    <row r="57" spans="1:6" ht="15.75">
      <c r="A57" s="571"/>
      <c r="B57" s="571" t="e">
        <f t="shared" si="0"/>
        <v>#DIV/0!</v>
      </c>
      <c r="C57" s="571" t="e">
        <f>+C55</f>
        <v>#DIV/0!</v>
      </c>
      <c r="D57" s="571" t="e">
        <f>+D56</f>
        <v>#DIV/0!</v>
      </c>
      <c r="E57" s="571">
        <f>IF($B$4&gt;25,SUM(C56:D57),0)</f>
        <v>0</v>
      </c>
      <c r="F57" s="585">
        <f>+F56</f>
        <v>2053</v>
      </c>
    </row>
    <row r="58" spans="1:6" ht="15.75">
      <c r="A58" s="581">
        <v>27</v>
      </c>
      <c r="B58" s="582" t="e">
        <f>B57-C57</f>
        <v>#DIV/0!</v>
      </c>
      <c r="C58" s="582"/>
      <c r="D58" s="582" t="e">
        <f>+B58*$B$3*0.5</f>
        <v>#DIV/0!</v>
      </c>
      <c r="E58" s="583"/>
      <c r="F58" s="586">
        <f>+F56+1</f>
        <v>2054</v>
      </c>
    </row>
    <row r="59" spans="1:6" ht="15.75">
      <c r="A59" s="571"/>
      <c r="B59" s="571" t="e">
        <f t="shared" si="0"/>
        <v>#DIV/0!</v>
      </c>
      <c r="C59" s="571" t="e">
        <f>+C57</f>
        <v>#DIV/0!</v>
      </c>
      <c r="D59" s="571" t="e">
        <f>+D58</f>
        <v>#DIV/0!</v>
      </c>
      <c r="E59" s="571">
        <f>IF($B$4&gt;26,SUM(C58:D59),0)</f>
        <v>0</v>
      </c>
      <c r="F59" s="585">
        <f>+F58</f>
        <v>2054</v>
      </c>
    </row>
    <row r="60" spans="1:6" ht="15.75">
      <c r="A60" s="581">
        <v>28</v>
      </c>
      <c r="B60" s="582" t="e">
        <f t="shared" si="0"/>
        <v>#DIV/0!</v>
      </c>
      <c r="C60" s="582"/>
      <c r="D60" s="582" t="e">
        <f>+B60*$B$3*0.5</f>
        <v>#DIV/0!</v>
      </c>
      <c r="E60" s="583"/>
      <c r="F60" s="586">
        <f>+F58+1</f>
        <v>2055</v>
      </c>
    </row>
    <row r="61" spans="1:6" ht="15.75">
      <c r="A61" s="571"/>
      <c r="B61" s="571" t="e">
        <f t="shared" si="0"/>
        <v>#DIV/0!</v>
      </c>
      <c r="C61" s="571" t="e">
        <f>+C59</f>
        <v>#DIV/0!</v>
      </c>
      <c r="D61" s="571" t="e">
        <f>+D60</f>
        <v>#DIV/0!</v>
      </c>
      <c r="E61" s="571">
        <f>IF($B$4&gt;27,SUM(C60:D61),0)</f>
        <v>0</v>
      </c>
      <c r="F61" s="585">
        <f>+F60</f>
        <v>2055</v>
      </c>
    </row>
    <row r="62" spans="1:6" ht="15.75">
      <c r="A62" s="581">
        <v>29</v>
      </c>
      <c r="B62" s="582" t="e">
        <f t="shared" si="0"/>
        <v>#DIV/0!</v>
      </c>
      <c r="C62" s="582"/>
      <c r="D62" s="582" t="e">
        <f>+B62*$B$3*0.5</f>
        <v>#DIV/0!</v>
      </c>
      <c r="E62" s="583"/>
      <c r="F62" s="586">
        <f>+F60+1</f>
        <v>2056</v>
      </c>
    </row>
    <row r="63" spans="1:6" ht="15.75">
      <c r="A63" s="571"/>
      <c r="B63" s="571" t="e">
        <f t="shared" si="0"/>
        <v>#DIV/0!</v>
      </c>
      <c r="C63" s="571" t="e">
        <f>+C61</f>
        <v>#DIV/0!</v>
      </c>
      <c r="D63" s="571" t="e">
        <f>+D62</f>
        <v>#DIV/0!</v>
      </c>
      <c r="E63" s="571">
        <f>IF($B$4&gt;28,SUM(C62:D63),0)</f>
        <v>0</v>
      </c>
      <c r="F63" s="585">
        <f>+F62</f>
        <v>2056</v>
      </c>
    </row>
    <row r="64" spans="1:6" ht="15.75">
      <c r="A64" s="581">
        <v>30</v>
      </c>
      <c r="B64" s="582" t="e">
        <f>IF($B$4=29,0,B63-C63)</f>
        <v>#DIV/0!</v>
      </c>
      <c r="C64" s="582"/>
      <c r="D64" s="582" t="e">
        <f>+B64*$B$3*0.5</f>
        <v>#DIV/0!</v>
      </c>
      <c r="E64" s="583"/>
      <c r="F64" s="586">
        <f>+F62+1</f>
        <v>2057</v>
      </c>
    </row>
    <row r="65" spans="1:7" ht="15.75">
      <c r="A65" s="571"/>
      <c r="B65" s="571" t="e">
        <f>B64-C64</f>
        <v>#DIV/0!</v>
      </c>
      <c r="C65" s="571" t="e">
        <f>IF($B$4=29,0,C63)</f>
        <v>#DIV/0!</v>
      </c>
      <c r="D65" s="571" t="e">
        <f>+D64</f>
        <v>#DIV/0!</v>
      </c>
      <c r="E65" s="571">
        <f>IF($B$4&gt;29,SUM(C64:D65),0)</f>
        <v>0</v>
      </c>
      <c r="F65" s="585">
        <f>+F64</f>
        <v>2057</v>
      </c>
    </row>
    <row r="66" spans="1:7" ht="15.75">
      <c r="A66" s="581">
        <v>31</v>
      </c>
      <c r="B66" s="582" t="e">
        <f>B65-C65</f>
        <v>#DIV/0!</v>
      </c>
      <c r="C66" s="582"/>
      <c r="D66" s="582" t="e">
        <f>+B66*$B$3*0.5</f>
        <v>#DIV/0!</v>
      </c>
      <c r="E66" s="583"/>
      <c r="F66" s="586">
        <f>+F64+1</f>
        <v>2058</v>
      </c>
    </row>
    <row r="67" spans="1:7" ht="15.75">
      <c r="A67" s="571"/>
      <c r="B67" s="588" t="e">
        <f t="shared" si="0"/>
        <v>#DIV/0!</v>
      </c>
      <c r="C67" s="588"/>
      <c r="D67" s="588" t="e">
        <f>+D66</f>
        <v>#DIV/0!</v>
      </c>
      <c r="E67" s="588">
        <f>IF($B$4&gt;30,SUM(C66:D67),0)</f>
        <v>0</v>
      </c>
      <c r="F67" s="589">
        <f>+F66</f>
        <v>2058</v>
      </c>
      <c r="G67" s="590"/>
    </row>
    <row r="68" spans="1:7" ht="15.75">
      <c r="A68" s="571"/>
      <c r="B68" s="571"/>
      <c r="C68" s="570" t="e">
        <f>SUM(C6:C67)</f>
        <v>#DIV/0!</v>
      </c>
      <c r="D68" s="570" t="e">
        <f>SUM(D6:D67)</f>
        <v>#DIV/0!</v>
      </c>
      <c r="E68" s="598">
        <f>SUM(E26:E65)</f>
        <v>0</v>
      </c>
      <c r="F68" s="571"/>
    </row>
    <row r="69" spans="1:7" ht="15.75">
      <c r="A69" s="571"/>
      <c r="B69" s="571"/>
      <c r="C69" s="570"/>
      <c r="D69" s="570"/>
      <c r="E69" s="598"/>
      <c r="F69" s="571"/>
    </row>
    <row r="70" spans="1:7" ht="18.75">
      <c r="C70" s="599"/>
      <c r="D70" s="600" t="s">
        <v>718</v>
      </c>
      <c r="E70" s="601">
        <f>SUM(E16:E67)</f>
        <v>0</v>
      </c>
    </row>
    <row r="71" spans="1:7">
      <c r="D71" s="591"/>
      <c r="E71" s="592"/>
    </row>
  </sheetData>
  <sheetProtection algorithmName="SHA-512" hashValue="LYRGaZLl6kZE1HBmOVvly/Y0eH/Js1ZWKCmjL9PmMe1IDM6HGUt9AZ39lrVUpRSD7AlhJNYXWGvW4plEnpFx6g==" saltValue="b2SKBryIDTgGbIBtchUqBA==" spinCount="100000" sheet="1" objects="1" scenarios="1"/>
  <printOptions headings="1" gridLines="1"/>
  <pageMargins left="0.7" right="0.7" top="0.75" bottom="0.75" header="0.3" footer="0.3"/>
  <pageSetup scale="79" orientation="portrait" r:id="rId1"/>
  <headerFooter>
    <oddHeader>&amp;L&amp;F&amp;RPage &amp;P of &amp;N</oddHeader>
    <oddFooter>&amp;L&amp;A&amp;R&amp;D &amp;T</oddFooter>
  </headerFooter>
  <rowBreaks count="1" manualBreakCount="1">
    <brk id="45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L841"/>
  <sheetViews>
    <sheetView showGridLines="0" view="pageBreakPreview" zoomScaleNormal="100" zoomScaleSheetLayoutView="100" workbookViewId="0">
      <selection activeCell="B1" sqref="B1"/>
    </sheetView>
  </sheetViews>
  <sheetFormatPr defaultColWidth="9.140625" defaultRowHeight="12.75"/>
  <cols>
    <col min="1" max="1" width="10.28515625" style="510" customWidth="1"/>
    <col min="2" max="2" width="6.42578125" style="510" customWidth="1"/>
    <col min="3" max="3" width="9.42578125" style="510" customWidth="1"/>
    <col min="4" max="4" width="12.140625" style="510" customWidth="1"/>
    <col min="5" max="5" width="18.7109375" style="510" customWidth="1"/>
    <col min="6" max="6" width="5.28515625" style="510" customWidth="1"/>
    <col min="7" max="7" width="10.7109375" style="510" customWidth="1"/>
    <col min="8" max="8" width="11.85546875" style="510" customWidth="1"/>
    <col min="9" max="9" width="16.5703125" style="510" customWidth="1"/>
    <col min="10" max="10" width="16.42578125" style="510" hidden="1" customWidth="1"/>
    <col min="11" max="11" width="19" style="510" customWidth="1"/>
    <col min="12" max="12" width="13.7109375" style="510" customWidth="1"/>
    <col min="13" max="16384" width="9.140625" style="510"/>
  </cols>
  <sheetData>
    <row r="1" spans="2:10" ht="22.9" customHeight="1">
      <c r="B1" s="593" t="s">
        <v>725</v>
      </c>
      <c r="C1" s="508"/>
      <c r="D1" s="594"/>
      <c r="E1" s="508"/>
      <c r="F1" s="508"/>
      <c r="G1" s="508"/>
      <c r="H1" s="509"/>
      <c r="I1" s="509"/>
    </row>
    <row r="2" spans="2:10" ht="12.75" customHeight="1">
      <c r="B2" s="511"/>
      <c r="C2" s="512"/>
      <c r="D2" s="512"/>
      <c r="E2" s="512"/>
      <c r="F2" s="512"/>
      <c r="G2" s="512"/>
      <c r="H2" s="512"/>
      <c r="I2" s="513" t="str">
        <f ca="1">"© 2008-" &amp; YEAR(TODAY()) &amp; " Vertex42 LLC"</f>
        <v>© 2008-2022 Vertex42 LLC</v>
      </c>
    </row>
    <row r="5" spans="2:10" ht="14.25">
      <c r="B5" s="514" t="s">
        <v>670</v>
      </c>
      <c r="C5" s="515"/>
      <c r="D5" s="515"/>
      <c r="E5" s="515"/>
      <c r="G5" s="514" t="s">
        <v>671</v>
      </c>
      <c r="H5" s="516"/>
      <c r="I5" s="516"/>
      <c r="J5" s="517" t="s">
        <v>672</v>
      </c>
    </row>
    <row r="6" spans="2:10" ht="15" customHeight="1">
      <c r="B6" s="512"/>
      <c r="C6" s="512"/>
      <c r="D6" s="518" t="s">
        <v>673</v>
      </c>
      <c r="E6" s="595">
        <f>Dashboard!I28</f>
        <v>0</v>
      </c>
      <c r="H6" s="519" t="s">
        <v>674</v>
      </c>
      <c r="I6" s="520">
        <f>((1+E7/E15)^(E15/E14))-1</f>
        <v>3.499999999999992E-2</v>
      </c>
      <c r="J6" s="510" t="s">
        <v>152</v>
      </c>
    </row>
    <row r="7" spans="2:10" ht="15" customHeight="1">
      <c r="B7" s="512"/>
      <c r="C7" s="512"/>
      <c r="D7" s="518" t="s">
        <v>675</v>
      </c>
      <c r="E7" s="521">
        <f>Dashboard!F11</f>
        <v>3.5000000000000003E-2</v>
      </c>
      <c r="H7" s="519" t="s">
        <v>676</v>
      </c>
      <c r="I7" s="522">
        <f>SUM(G61:G840)+SUM(H61:H840)</f>
        <v>0</v>
      </c>
      <c r="J7" s="510" t="s">
        <v>677</v>
      </c>
    </row>
    <row r="8" spans="2:10" ht="15" customHeight="1">
      <c r="B8" s="512"/>
      <c r="C8" s="512"/>
      <c r="D8" s="518" t="s">
        <v>678</v>
      </c>
      <c r="E8" s="523">
        <f>Dashboard!I33</f>
        <v>30</v>
      </c>
      <c r="H8" s="519" t="s">
        <v>679</v>
      </c>
      <c r="I8" s="524">
        <f>SUM(G60:G840)</f>
        <v>0</v>
      </c>
      <c r="J8" s="510" t="s">
        <v>680</v>
      </c>
    </row>
    <row r="9" spans="2:10" ht="15" customHeight="1">
      <c r="B9" s="512"/>
      <c r="C9" s="512"/>
      <c r="D9" s="518" t="s">
        <v>681</v>
      </c>
      <c r="E9" s="525">
        <v>46569</v>
      </c>
      <c r="H9" s="519" t="s">
        <v>682</v>
      </c>
      <c r="I9" s="526" t="str">
        <f>IF(AND(SUM(E61:E840)=0,roundOpt)," - ",(nper*(-PMT(rate,nper,loan_amount,,pmtType))-loan_amount)-I8)</f>
        <v xml:space="preserve"> - </v>
      </c>
      <c r="J9" s="510" t="s">
        <v>683</v>
      </c>
    </row>
    <row r="10" spans="2:10" ht="15" customHeight="1">
      <c r="B10" s="512" t="e">
        <f>+#REF!</f>
        <v>#REF!</v>
      </c>
      <c r="C10" s="512"/>
      <c r="D10" s="518" t="s">
        <v>684</v>
      </c>
      <c r="E10" s="525" t="s">
        <v>685</v>
      </c>
      <c r="I10" s="527" t="str">
        <f ca="1">IF(AND(NOT(I840=""),I840&gt;0.004),"ERROR: Limit is "&amp;OFFSET(B841,-1,0,1,1)&amp;" payments",".")</f>
        <v>.</v>
      </c>
      <c r="J10" s="510" t="s">
        <v>686</v>
      </c>
    </row>
    <row r="11" spans="2:10" ht="15" customHeight="1">
      <c r="B11" s="512"/>
      <c r="C11" s="512"/>
      <c r="D11" s="518" t="s">
        <v>687</v>
      </c>
      <c r="E11" s="528" t="str">
        <f>E10</f>
        <v>annual</v>
      </c>
      <c r="I11" s="529" t="str">
        <f>IF(E15&gt;E14,"Warning: negative amortization",".")</f>
        <v>.</v>
      </c>
      <c r="J11" s="510" t="s">
        <v>688</v>
      </c>
    </row>
    <row r="12" spans="2:10" ht="15" customHeight="1">
      <c r="B12" s="512"/>
      <c r="C12" s="512"/>
      <c r="D12" s="518" t="s">
        <v>689</v>
      </c>
      <c r="E12" s="528" t="s">
        <v>690</v>
      </c>
      <c r="J12" s="510" t="s">
        <v>691</v>
      </c>
    </row>
    <row r="13" spans="2:10" ht="15" customHeight="1">
      <c r="B13" s="512"/>
      <c r="C13" s="512"/>
      <c r="D13" s="518" t="s">
        <v>692</v>
      </c>
      <c r="E13" s="528" t="s">
        <v>693</v>
      </c>
      <c r="I13" s="529"/>
      <c r="J13" s="510" t="s">
        <v>694</v>
      </c>
    </row>
    <row r="14" spans="2:10" ht="15" customHeight="1">
      <c r="B14" s="512"/>
      <c r="C14" s="512"/>
      <c r="D14" s="530" t="s">
        <v>695</v>
      </c>
      <c r="E14" s="512">
        <f>INDEX({1;2;4;6;12;24;26;52},MATCH('FY28 Level-Payment'!$E$10,$J$6:$J$13,0))</f>
        <v>1</v>
      </c>
    </row>
    <row r="15" spans="2:10" ht="15" customHeight="1">
      <c r="B15" s="512"/>
      <c r="C15" s="512"/>
      <c r="D15" s="530" t="s">
        <v>687</v>
      </c>
      <c r="E15" s="512">
        <f>INDEX({1;2;4;6;12;24;26;52},MATCH('FY28 Level-Payment'!$E$11,$J$6:$J$13,0))</f>
        <v>1</v>
      </c>
    </row>
    <row r="16" spans="2:10" ht="15" customHeight="1">
      <c r="B16" s="512"/>
      <c r="C16" s="512"/>
      <c r="D16" s="530" t="s">
        <v>689</v>
      </c>
      <c r="E16" s="512">
        <f>IF('FY28 Level-Payment'!$E$12="End of Period",0,1)</f>
        <v>1</v>
      </c>
    </row>
    <row r="17" spans="2:12" ht="15" customHeight="1">
      <c r="B17" s="512"/>
      <c r="C17" s="512"/>
      <c r="D17" s="530" t="s">
        <v>696</v>
      </c>
      <c r="E17" s="512">
        <f>12/$E$14</f>
        <v>12</v>
      </c>
    </row>
    <row r="18" spans="2:12" ht="15" customHeight="1">
      <c r="B18" s="512"/>
      <c r="C18" s="512"/>
      <c r="D18" s="530" t="s">
        <v>697</v>
      </c>
      <c r="E18" s="512">
        <f>$E$8*$E$14</f>
        <v>30</v>
      </c>
    </row>
    <row r="19" spans="2:12" ht="15" customHeight="1">
      <c r="B19" s="512"/>
      <c r="C19" s="512"/>
      <c r="D19" s="530" t="s">
        <v>698</v>
      </c>
      <c r="E19" s="513" t="b">
        <f>(E13="On")</f>
        <v>1</v>
      </c>
    </row>
    <row r="20" spans="2:12">
      <c r="I20" s="531" t="s">
        <v>699</v>
      </c>
    </row>
    <row r="21" spans="2:12" ht="15.75">
      <c r="D21" s="532" t="str">
        <f>E10&amp;" Payment"</f>
        <v>annual Payment</v>
      </c>
      <c r="E21" s="533">
        <f>IF(roundOpt,ROUND(-PMT(rate,nper,$E$6,,pmtType),2),-PMT(rate,nper,$E$6,,pmtType))</f>
        <v>0</v>
      </c>
      <c r="I21" s="531"/>
    </row>
    <row r="22" spans="2:12">
      <c r="I22" s="531"/>
    </row>
    <row r="23" spans="2:12" ht="15">
      <c r="B23" s="534" t="s">
        <v>700</v>
      </c>
      <c r="C23" s="534"/>
      <c r="D23" s="534"/>
      <c r="E23" s="534"/>
      <c r="F23" s="534"/>
      <c r="G23" s="534"/>
      <c r="H23" s="534"/>
      <c r="I23" s="534"/>
    </row>
    <row r="24" spans="2:12" ht="26.25" thickBot="1">
      <c r="B24" s="535"/>
      <c r="C24" s="536" t="s">
        <v>42</v>
      </c>
      <c r="D24" s="537" t="s">
        <v>701</v>
      </c>
      <c r="E24" s="537" t="s">
        <v>702</v>
      </c>
      <c r="F24" s="537"/>
      <c r="G24" s="537" t="s">
        <v>703</v>
      </c>
      <c r="H24" s="537" t="s">
        <v>704</v>
      </c>
      <c r="I24" s="537" t="s">
        <v>705</v>
      </c>
      <c r="K24" s="538" t="s">
        <v>706</v>
      </c>
    </row>
    <row r="25" spans="2:12">
      <c r="B25" s="539"/>
      <c r="C25" s="540"/>
      <c r="D25" s="539"/>
      <c r="E25" s="539"/>
      <c r="F25" s="539"/>
      <c r="G25" s="539"/>
      <c r="H25" s="541"/>
      <c r="I25" s="542">
        <f>loan_amount</f>
        <v>0</v>
      </c>
      <c r="K25" s="543">
        <f>loan_amount</f>
        <v>0</v>
      </c>
    </row>
    <row r="26" spans="2:12">
      <c r="B26" s="544"/>
      <c r="C26" s="544">
        <f>YEAR(fpdate)</f>
        <v>2027</v>
      </c>
      <c r="D26" s="545">
        <f>SUMIF($C$60:$C$841,"&lt;="&amp;DATE($C26,12,31),$D$60:$D$841)-SUM(D$25:D25)</f>
        <v>0</v>
      </c>
      <c r="E26" s="545">
        <f>SUMIF($C$60:$C$841,"&lt;="&amp;DATE($C26,12,31),$E$60:$E$841)-SUM(E$25:E25)</f>
        <v>0</v>
      </c>
      <c r="F26" s="546"/>
      <c r="G26" s="545">
        <f>SUMIF($C$60:$C$841,"&lt;="&amp;DATE($C26,12,31),$G$60:$G$841)-SUM(G$25:G25)</f>
        <v>0</v>
      </c>
      <c r="H26" s="545">
        <f>SUMIF($C$60:$C$841,"&lt;="&amp;DATE($C26,12,31),$H$60:$H$841)-SUM(H$25:H25)</f>
        <v>0</v>
      </c>
      <c r="I26" s="545">
        <f>I25-H26</f>
        <v>0</v>
      </c>
      <c r="K26" s="547">
        <f t="shared" ref="K26:K54" si="0">K25-H26</f>
        <v>0</v>
      </c>
    </row>
    <row r="27" spans="2:12">
      <c r="B27" s="548"/>
      <c r="C27" s="544">
        <f>C26+1</f>
        <v>2028</v>
      </c>
      <c r="D27" s="545">
        <f>SUMIF($C$60:$C$841,"&lt;="&amp;DATE($C27,12,31),$D$60:$D$841)-SUM(D$25:D26)</f>
        <v>0</v>
      </c>
      <c r="E27" s="545">
        <f>SUMIF($C$60:$C$841,"&lt;="&amp;DATE($C27,12,31),$E$60:$E$841)-SUM(E$25:E26)</f>
        <v>0</v>
      </c>
      <c r="F27" s="546"/>
      <c r="G27" s="545">
        <f>SUMIF($C$60:$C$841,"&lt;="&amp;DATE($C27,12,31),$G$60:$G$841)-SUM(G$25:G26)</f>
        <v>0</v>
      </c>
      <c r="H27" s="545">
        <f>SUMIF($C$60:$C$841,"&lt;="&amp;DATE($C27,12,31),$H$60:$H$841)-SUM(H$25:H26)</f>
        <v>0</v>
      </c>
      <c r="I27" s="545">
        <f>I26-H27</f>
        <v>0</v>
      </c>
      <c r="K27" s="547">
        <f t="shared" si="0"/>
        <v>0</v>
      </c>
    </row>
    <row r="28" spans="2:12">
      <c r="B28" s="548"/>
      <c r="C28" s="544">
        <f>C27+1</f>
        <v>2029</v>
      </c>
      <c r="D28" s="545">
        <f>SUMIF($C$60:$C$841,"&lt;="&amp;DATE($C28,12,31),$D$60:$D$841)-SUM(D$25:D27)</f>
        <v>0</v>
      </c>
      <c r="E28" s="545">
        <f>SUMIF($C$60:$C$841,"&lt;="&amp;DATE($C28,12,31),$E$60:$E$841)-SUM(E$25:E27)</f>
        <v>0</v>
      </c>
      <c r="F28" s="546"/>
      <c r="G28" s="545">
        <f>SUMIF($C$60:$C$841,"&lt;="&amp;DATE($C28,12,31),$G$60:$G$841)-SUM(G$25:G27)</f>
        <v>0</v>
      </c>
      <c r="H28" s="545">
        <f>SUMIF($C$60:$C$841,"&lt;="&amp;DATE($C28,12,31),$H$60:$H$841)-SUM(H$25:H27)</f>
        <v>0</v>
      </c>
      <c r="I28" s="545">
        <f>I27-H28</f>
        <v>0</v>
      </c>
      <c r="K28" s="547">
        <f t="shared" si="0"/>
        <v>0</v>
      </c>
    </row>
    <row r="29" spans="2:12">
      <c r="B29" s="548"/>
      <c r="C29" s="544">
        <f>C28+1</f>
        <v>2030</v>
      </c>
      <c r="D29" s="545">
        <f>SUMIF($C$60:$C$841,"&lt;="&amp;DATE($C29,12,31),$D$60:$D$841)-SUM(D$25:D28)</f>
        <v>0</v>
      </c>
      <c r="E29" s="545">
        <f>SUMIF($C$60:$C$841,"&lt;="&amp;DATE($C29,12,31),$E$60:$E$841)-SUM(E$25:E28)</f>
        <v>0</v>
      </c>
      <c r="F29" s="546"/>
      <c r="G29" s="545">
        <f>SUMIF($C$60:$C$841,"&lt;="&amp;DATE($C29,12,31),$G$60:$G$841)-SUM(G$25:G28)</f>
        <v>0</v>
      </c>
      <c r="H29" s="545">
        <f>SUMIF($C$60:$C$841,"&lt;="&amp;DATE($C29,12,31),$H$60:$H$841)-SUM(H$25:H28)</f>
        <v>0</v>
      </c>
      <c r="I29" s="545">
        <f>I28-H29</f>
        <v>0</v>
      </c>
      <c r="K29" s="547">
        <f t="shared" si="0"/>
        <v>0</v>
      </c>
      <c r="L29" s="538" t="s">
        <v>719</v>
      </c>
    </row>
    <row r="30" spans="2:12">
      <c r="B30" s="548"/>
      <c r="C30" s="544">
        <f t="shared" ref="C30:C56" si="1">C29+1</f>
        <v>2031</v>
      </c>
      <c r="D30" s="545">
        <f>SUMIF($C$60:$C$841,"&lt;="&amp;DATE($C30,12,31),$D$60:$D$841)-SUM(D$25:D29)</f>
        <v>0</v>
      </c>
      <c r="E30" s="545">
        <f>SUMIF($C$60:$C$841,"&lt;="&amp;DATE($C30,12,31),$E$60:$E$841)-SUM(E$25:E29)</f>
        <v>0</v>
      </c>
      <c r="F30" s="546"/>
      <c r="G30" s="545">
        <f>SUMIF($C$60:$C$841,"&lt;="&amp;DATE($C30,12,31),$G$60:$G$841)-SUM(G$25:G29)</f>
        <v>0</v>
      </c>
      <c r="H30" s="545">
        <f>SUMIF($C$60:$C$841,"&lt;="&amp;DATE($C30,12,31),$H$60:$H$841)-SUM(H$25:H29)</f>
        <v>0</v>
      </c>
      <c r="I30" s="545">
        <f t="shared" ref="I30:I56" si="2">I29-H30</f>
        <v>0</v>
      </c>
      <c r="K30" s="547">
        <f t="shared" si="0"/>
        <v>0</v>
      </c>
      <c r="L30" s="604">
        <f>SUM(D26:D30)</f>
        <v>0</v>
      </c>
    </row>
    <row r="31" spans="2:12">
      <c r="B31" s="548"/>
      <c r="C31" s="544">
        <f t="shared" si="1"/>
        <v>2032</v>
      </c>
      <c r="D31" s="545">
        <f>SUMIF($C$60:$C$841,"&lt;="&amp;DATE($C31,12,31),$D$60:$D$841)-SUM(D$25:D30)</f>
        <v>0</v>
      </c>
      <c r="E31" s="545">
        <f>SUMIF($C$60:$C$841,"&lt;="&amp;DATE($C31,12,31),$E$60:$E$841)-SUM(E$25:E30)</f>
        <v>0</v>
      </c>
      <c r="F31" s="546"/>
      <c r="G31" s="545">
        <f>SUMIF($C$60:$C$841,"&lt;="&amp;DATE($C31,12,31),$G$60:$G$841)-SUM(G$25:G30)</f>
        <v>0</v>
      </c>
      <c r="H31" s="545">
        <f>SUMIF($C$60:$C$841,"&lt;="&amp;DATE($C31,12,31),$H$60:$H$841)-SUM(H$25:H30)</f>
        <v>0</v>
      </c>
      <c r="I31" s="545">
        <f t="shared" si="2"/>
        <v>0</v>
      </c>
      <c r="K31" s="547">
        <f t="shared" si="0"/>
        <v>0</v>
      </c>
    </row>
    <row r="32" spans="2:12">
      <c r="B32" s="548"/>
      <c r="C32" s="544">
        <f t="shared" si="1"/>
        <v>2033</v>
      </c>
      <c r="D32" s="545">
        <f>SUMIF($C$60:$C$841,"&lt;="&amp;DATE($C32,12,31),$D$60:$D$841)-SUM(D$25:D31)</f>
        <v>0</v>
      </c>
      <c r="E32" s="545">
        <f>SUMIF($C$60:$C$841,"&lt;="&amp;DATE($C32,12,31),$E$60:$E$841)-SUM(E$25:E31)</f>
        <v>0</v>
      </c>
      <c r="F32" s="546"/>
      <c r="G32" s="545">
        <f>SUMIF($C$60:$C$841,"&lt;="&amp;DATE($C32,12,31),$G$60:$G$841)-SUM(G$25:G31)</f>
        <v>0</v>
      </c>
      <c r="H32" s="545">
        <f>SUMIF($C$60:$C$841,"&lt;="&amp;DATE($C32,12,31),$H$60:$H$841)-SUM(H$25:H31)</f>
        <v>0</v>
      </c>
      <c r="I32" s="545">
        <f t="shared" si="2"/>
        <v>0</v>
      </c>
      <c r="K32" s="547">
        <f t="shared" si="0"/>
        <v>0</v>
      </c>
    </row>
    <row r="33" spans="2:11">
      <c r="B33" s="548"/>
      <c r="C33" s="544">
        <f t="shared" si="1"/>
        <v>2034</v>
      </c>
      <c r="D33" s="545">
        <f>SUMIF($C$60:$C$841,"&lt;="&amp;DATE($C33,12,31),$D$60:$D$841)-SUM(D$25:D32)</f>
        <v>0</v>
      </c>
      <c r="E33" s="545">
        <f>SUMIF($C$60:$C$841,"&lt;="&amp;DATE($C33,12,31),$E$60:$E$841)-SUM(E$25:E32)</f>
        <v>0</v>
      </c>
      <c r="F33" s="546"/>
      <c r="G33" s="545">
        <f>SUMIF($C$60:$C$841,"&lt;="&amp;DATE($C33,12,31),$G$60:$G$841)-SUM(G$25:G32)</f>
        <v>0</v>
      </c>
      <c r="H33" s="545">
        <f>SUMIF($C$60:$C$841,"&lt;="&amp;DATE($C33,12,31),$H$60:$H$841)-SUM(H$25:H32)</f>
        <v>0</v>
      </c>
      <c r="I33" s="545">
        <f t="shared" si="2"/>
        <v>0</v>
      </c>
      <c r="K33" s="547">
        <f t="shared" si="0"/>
        <v>0</v>
      </c>
    </row>
    <row r="34" spans="2:11">
      <c r="B34" s="548"/>
      <c r="C34" s="544">
        <f t="shared" si="1"/>
        <v>2035</v>
      </c>
      <c r="D34" s="545">
        <f>SUMIF($C$60:$C$841,"&lt;="&amp;DATE($C34,12,31),$D$60:$D$841)-SUM(D$25:D33)</f>
        <v>0</v>
      </c>
      <c r="E34" s="545">
        <f>SUMIF($C$60:$C$841,"&lt;="&amp;DATE($C34,12,31),$E$60:$E$841)-SUM(E$25:E33)</f>
        <v>0</v>
      </c>
      <c r="F34" s="546"/>
      <c r="G34" s="545">
        <f>SUMIF($C$60:$C$841,"&lt;="&amp;DATE($C34,12,31),$G$60:$G$841)-SUM(G$25:G33)</f>
        <v>0</v>
      </c>
      <c r="H34" s="545">
        <f>SUMIF($C$60:$C$841,"&lt;="&amp;DATE($C34,12,31),$H$60:$H$841)-SUM(H$25:H33)</f>
        <v>0</v>
      </c>
      <c r="I34" s="545">
        <f t="shared" si="2"/>
        <v>0</v>
      </c>
      <c r="K34" s="547">
        <f t="shared" si="0"/>
        <v>0</v>
      </c>
    </row>
    <row r="35" spans="2:11">
      <c r="B35" s="548"/>
      <c r="C35" s="544">
        <f t="shared" si="1"/>
        <v>2036</v>
      </c>
      <c r="D35" s="545">
        <f>SUMIF($C$60:$C$841,"&lt;="&amp;DATE($C35,12,31),$D$60:$D$841)-SUM(D$25:D34)</f>
        <v>0</v>
      </c>
      <c r="E35" s="545">
        <f>SUMIF($C$60:$C$841,"&lt;="&amp;DATE($C35,12,31),$E$60:$E$841)-SUM(E$25:E34)</f>
        <v>0</v>
      </c>
      <c r="F35" s="546"/>
      <c r="G35" s="545">
        <f>SUMIF($C$60:$C$841,"&lt;="&amp;DATE($C35,12,31),$G$60:$G$841)-SUM(G$25:G34)</f>
        <v>0</v>
      </c>
      <c r="H35" s="545">
        <f>SUMIF($C$60:$C$841,"&lt;="&amp;DATE($C35,12,31),$H$60:$H$841)-SUM(H$25:H34)</f>
        <v>0</v>
      </c>
      <c r="I35" s="545">
        <f t="shared" si="2"/>
        <v>0</v>
      </c>
      <c r="K35" s="547">
        <f t="shared" si="0"/>
        <v>0</v>
      </c>
    </row>
    <row r="36" spans="2:11">
      <c r="B36" s="548"/>
      <c r="C36" s="544">
        <f t="shared" si="1"/>
        <v>2037</v>
      </c>
      <c r="D36" s="545">
        <f>SUMIF($C$60:$C$841,"&lt;="&amp;DATE($C36,12,31),$D$60:$D$841)-SUM(D$25:D35)</f>
        <v>0</v>
      </c>
      <c r="E36" s="545">
        <f>SUMIF($C$60:$C$841,"&lt;="&amp;DATE($C36,12,31),$E$60:$E$841)-SUM(E$25:E35)</f>
        <v>0</v>
      </c>
      <c r="F36" s="546"/>
      <c r="G36" s="545">
        <f>SUMIF($C$60:$C$841,"&lt;="&amp;DATE($C36,12,31),$G$60:$G$841)-SUM(G$25:G35)</f>
        <v>0</v>
      </c>
      <c r="H36" s="545">
        <f>SUMIF($C$60:$C$841,"&lt;="&amp;DATE($C36,12,31),$H$60:$H$841)-SUM(H$25:H35)</f>
        <v>0</v>
      </c>
      <c r="I36" s="545">
        <f t="shared" si="2"/>
        <v>0</v>
      </c>
      <c r="K36" s="547">
        <f t="shared" si="0"/>
        <v>0</v>
      </c>
    </row>
    <row r="37" spans="2:11">
      <c r="B37" s="548"/>
      <c r="C37" s="544">
        <f t="shared" si="1"/>
        <v>2038</v>
      </c>
      <c r="D37" s="545">
        <f>SUMIF($C$60:$C$841,"&lt;="&amp;DATE($C37,12,31),$D$60:$D$841)-SUM(D$25:D36)</f>
        <v>0</v>
      </c>
      <c r="E37" s="545">
        <f>SUMIF($C$60:$C$841,"&lt;="&amp;DATE($C37,12,31),$E$60:$E$841)-SUM(E$25:E36)</f>
        <v>0</v>
      </c>
      <c r="F37" s="546"/>
      <c r="G37" s="545">
        <f>SUMIF($C$60:$C$841,"&lt;="&amp;DATE($C37,12,31),$G$60:$G$841)-SUM(G$25:G36)</f>
        <v>0</v>
      </c>
      <c r="H37" s="545">
        <f>SUMIF($C$60:$C$841,"&lt;="&amp;DATE($C37,12,31),$H$60:$H$841)-SUM(H$25:H36)</f>
        <v>0</v>
      </c>
      <c r="I37" s="545">
        <f t="shared" si="2"/>
        <v>0</v>
      </c>
      <c r="K37" s="547">
        <f t="shared" si="0"/>
        <v>0</v>
      </c>
    </row>
    <row r="38" spans="2:11">
      <c r="B38" s="548"/>
      <c r="C38" s="544">
        <f t="shared" si="1"/>
        <v>2039</v>
      </c>
      <c r="D38" s="545">
        <f>SUMIF($C$60:$C$841,"&lt;="&amp;DATE($C38,12,31),$D$60:$D$841)-SUM(D$25:D37)</f>
        <v>0</v>
      </c>
      <c r="E38" s="545">
        <f>SUMIF($C$60:$C$841,"&lt;="&amp;DATE($C38,12,31),$E$60:$E$841)-SUM(E$25:E37)</f>
        <v>0</v>
      </c>
      <c r="F38" s="546"/>
      <c r="G38" s="545">
        <f>SUMIF($C$60:$C$841,"&lt;="&amp;DATE($C38,12,31),$G$60:$G$841)-SUM(G$25:G37)</f>
        <v>0</v>
      </c>
      <c r="H38" s="545">
        <f>SUMIF($C$60:$C$841,"&lt;="&amp;DATE($C38,12,31),$H$60:$H$841)-SUM(H$25:H37)</f>
        <v>0</v>
      </c>
      <c r="I38" s="545">
        <f t="shared" si="2"/>
        <v>0</v>
      </c>
      <c r="K38" s="547">
        <f t="shared" si="0"/>
        <v>0</v>
      </c>
    </row>
    <row r="39" spans="2:11">
      <c r="B39" s="548"/>
      <c r="C39" s="544">
        <f t="shared" si="1"/>
        <v>2040</v>
      </c>
      <c r="D39" s="545">
        <f>SUMIF($C$60:$C$841,"&lt;="&amp;DATE($C39,12,31),$D$60:$D$841)-SUM(D$25:D38)</f>
        <v>0</v>
      </c>
      <c r="E39" s="545">
        <f>SUMIF($C$60:$C$841,"&lt;="&amp;DATE($C39,12,31),$E$60:$E$841)-SUM(E$25:E38)</f>
        <v>0</v>
      </c>
      <c r="F39" s="546"/>
      <c r="G39" s="545">
        <f>SUMIF($C$60:$C$841,"&lt;="&amp;DATE($C39,12,31),$G$60:$G$841)-SUM(G$25:G38)</f>
        <v>0</v>
      </c>
      <c r="H39" s="545">
        <f>SUMIF($C$60:$C$841,"&lt;="&amp;DATE($C39,12,31),$H$60:$H$841)-SUM(H$25:H38)</f>
        <v>0</v>
      </c>
      <c r="I39" s="545">
        <f t="shared" si="2"/>
        <v>0</v>
      </c>
      <c r="K39" s="547">
        <f t="shared" si="0"/>
        <v>0</v>
      </c>
    </row>
    <row r="40" spans="2:11">
      <c r="B40" s="548"/>
      <c r="C40" s="544">
        <f t="shared" si="1"/>
        <v>2041</v>
      </c>
      <c r="D40" s="545">
        <f>SUMIF($C$60:$C$841,"&lt;="&amp;DATE($C40,12,31),$D$60:$D$841)-SUM(D$25:D39)</f>
        <v>0</v>
      </c>
      <c r="E40" s="545">
        <f>SUMIF($C$60:$C$841,"&lt;="&amp;DATE($C40,12,31),$E$60:$E$841)-SUM(E$25:E39)</f>
        <v>0</v>
      </c>
      <c r="F40" s="546"/>
      <c r="G40" s="545">
        <f>SUMIF($C$60:$C$841,"&lt;="&amp;DATE($C40,12,31),$G$60:$G$841)-SUM(G$25:G39)</f>
        <v>0</v>
      </c>
      <c r="H40" s="545">
        <f>SUMIF($C$60:$C$841,"&lt;="&amp;DATE($C40,12,31),$H$60:$H$841)-SUM(H$25:H39)</f>
        <v>0</v>
      </c>
      <c r="I40" s="545">
        <f t="shared" si="2"/>
        <v>0</v>
      </c>
      <c r="K40" s="547">
        <f t="shared" si="0"/>
        <v>0</v>
      </c>
    </row>
    <row r="41" spans="2:11">
      <c r="B41" s="548"/>
      <c r="C41" s="544">
        <f t="shared" si="1"/>
        <v>2042</v>
      </c>
      <c r="D41" s="545">
        <f>SUMIF($C$60:$C$841,"&lt;="&amp;DATE($C41,12,31),$D$60:$D$841)-SUM(D$25:D40)</f>
        <v>0</v>
      </c>
      <c r="E41" s="545">
        <f>SUMIF($C$60:$C$841,"&lt;="&amp;DATE($C41,12,31),$E$60:$E$841)-SUM(E$25:E40)</f>
        <v>0</v>
      </c>
      <c r="F41" s="546"/>
      <c r="G41" s="545">
        <f>SUMIF($C$60:$C$841,"&lt;="&amp;DATE($C41,12,31),$G$60:$G$841)-SUM(G$25:G40)</f>
        <v>0</v>
      </c>
      <c r="H41" s="545">
        <f>SUMIF($C$60:$C$841,"&lt;="&amp;DATE($C41,12,31),$H$60:$H$841)-SUM(H$25:H40)</f>
        <v>0</v>
      </c>
      <c r="I41" s="545">
        <f t="shared" si="2"/>
        <v>0</v>
      </c>
      <c r="K41" s="547">
        <f t="shared" si="0"/>
        <v>0</v>
      </c>
    </row>
    <row r="42" spans="2:11">
      <c r="B42" s="548"/>
      <c r="C42" s="544">
        <f t="shared" si="1"/>
        <v>2043</v>
      </c>
      <c r="D42" s="545">
        <f>SUMIF($C$60:$C$841,"&lt;="&amp;DATE($C42,12,31),$D$60:$D$841)-SUM(D$25:D41)</f>
        <v>0</v>
      </c>
      <c r="E42" s="545">
        <f>SUMIF($C$60:$C$841,"&lt;="&amp;DATE($C42,12,31),$E$60:$E$841)-SUM(E$25:E41)</f>
        <v>0</v>
      </c>
      <c r="F42" s="546"/>
      <c r="G42" s="545">
        <f>SUMIF($C$60:$C$841,"&lt;="&amp;DATE($C42,12,31),$G$60:$G$841)-SUM(G$25:G41)</f>
        <v>0</v>
      </c>
      <c r="H42" s="545">
        <f>SUMIF($C$60:$C$841,"&lt;="&amp;DATE($C42,12,31),$H$60:$H$841)-SUM(H$25:H41)</f>
        <v>0</v>
      </c>
      <c r="I42" s="545">
        <f t="shared" si="2"/>
        <v>0</v>
      </c>
      <c r="K42" s="547">
        <f t="shared" si="0"/>
        <v>0</v>
      </c>
    </row>
    <row r="43" spans="2:11">
      <c r="B43" s="548"/>
      <c r="C43" s="544">
        <f t="shared" si="1"/>
        <v>2044</v>
      </c>
      <c r="D43" s="545">
        <f>SUMIF($C$60:$C$841,"&lt;="&amp;DATE($C43,12,31),$D$60:$D$841)-SUM(D$25:D42)</f>
        <v>0</v>
      </c>
      <c r="E43" s="545">
        <f>SUMIF($C$60:$C$841,"&lt;="&amp;DATE($C43,12,31),$E$60:$E$841)-SUM(E$25:E42)</f>
        <v>0</v>
      </c>
      <c r="F43" s="546"/>
      <c r="G43" s="545">
        <f>SUMIF($C$60:$C$841,"&lt;="&amp;DATE($C43,12,31),$G$60:$G$841)-SUM(G$25:G42)</f>
        <v>0</v>
      </c>
      <c r="H43" s="545">
        <f>SUMIF($C$60:$C$841,"&lt;="&amp;DATE($C43,12,31),$H$60:$H$841)-SUM(H$25:H42)</f>
        <v>0</v>
      </c>
      <c r="I43" s="545">
        <f t="shared" si="2"/>
        <v>0</v>
      </c>
      <c r="K43" s="547">
        <f t="shared" si="0"/>
        <v>0</v>
      </c>
    </row>
    <row r="44" spans="2:11">
      <c r="B44" s="548"/>
      <c r="C44" s="544">
        <f t="shared" si="1"/>
        <v>2045</v>
      </c>
      <c r="D44" s="545">
        <f>SUMIF($C$60:$C$841,"&lt;="&amp;DATE($C44,12,31),$D$60:$D$841)-SUM(D$25:D43)</f>
        <v>0</v>
      </c>
      <c r="E44" s="545">
        <f>SUMIF($C$60:$C$841,"&lt;="&amp;DATE($C44,12,31),$E$60:$E$841)-SUM(E$25:E43)</f>
        <v>0</v>
      </c>
      <c r="F44" s="546"/>
      <c r="G44" s="545">
        <f>SUMIF($C$60:$C$841,"&lt;="&amp;DATE($C44,12,31),$G$60:$G$841)-SUM(G$25:G43)</f>
        <v>0</v>
      </c>
      <c r="H44" s="545">
        <f>SUMIF($C$60:$C$841,"&lt;="&amp;DATE($C44,12,31),$H$60:$H$841)-SUM(H$25:H43)</f>
        <v>0</v>
      </c>
      <c r="I44" s="545">
        <f t="shared" si="2"/>
        <v>0</v>
      </c>
      <c r="K44" s="547">
        <f t="shared" si="0"/>
        <v>0</v>
      </c>
    </row>
    <row r="45" spans="2:11">
      <c r="B45" s="548"/>
      <c r="C45" s="544">
        <f t="shared" si="1"/>
        <v>2046</v>
      </c>
      <c r="D45" s="545">
        <f>SUMIF($C$60:$C$841,"&lt;="&amp;DATE($C45,12,31),$D$60:$D$841)-SUM(D$25:D44)</f>
        <v>0</v>
      </c>
      <c r="E45" s="545">
        <f>SUMIF($C$60:$C$841,"&lt;="&amp;DATE($C45,12,31),$E$60:$E$841)-SUM(E$25:E44)</f>
        <v>0</v>
      </c>
      <c r="F45" s="546"/>
      <c r="G45" s="545">
        <f>SUMIF($C$60:$C$841,"&lt;="&amp;DATE($C45,12,31),$G$60:$G$841)-SUM(G$25:G44)</f>
        <v>0</v>
      </c>
      <c r="H45" s="545">
        <f>SUMIF($C$60:$C$841,"&lt;="&amp;DATE($C45,12,31),$H$60:$H$841)-SUM(H$25:H44)</f>
        <v>0</v>
      </c>
      <c r="I45" s="545">
        <f t="shared" si="2"/>
        <v>0</v>
      </c>
      <c r="K45" s="547">
        <f t="shared" si="0"/>
        <v>0</v>
      </c>
    </row>
    <row r="46" spans="2:11">
      <c r="B46" s="548"/>
      <c r="C46" s="544">
        <f t="shared" si="1"/>
        <v>2047</v>
      </c>
      <c r="D46" s="545">
        <f>SUMIF($C$60:$C$841,"&lt;="&amp;DATE($C46,12,31),$D$60:$D$841)-SUM(D$25:D45)</f>
        <v>0</v>
      </c>
      <c r="E46" s="545">
        <f>SUMIF($C$60:$C$841,"&lt;="&amp;DATE($C46,12,31),$E$60:$E$841)-SUM(E$25:E45)</f>
        <v>0</v>
      </c>
      <c r="F46" s="546"/>
      <c r="G46" s="545">
        <f>SUMIF($C$60:$C$841,"&lt;="&amp;DATE($C46,12,31),$G$60:$G$841)-SUM(G$25:G45)</f>
        <v>0</v>
      </c>
      <c r="H46" s="545">
        <f>SUMIF($C$60:$C$841,"&lt;="&amp;DATE($C46,12,31),$H$60:$H$841)-SUM(H$25:H45)</f>
        <v>0</v>
      </c>
      <c r="I46" s="545">
        <f t="shared" si="2"/>
        <v>0</v>
      </c>
      <c r="K46" s="547">
        <f t="shared" si="0"/>
        <v>0</v>
      </c>
    </row>
    <row r="47" spans="2:11">
      <c r="B47" s="548"/>
      <c r="C47" s="544">
        <f t="shared" si="1"/>
        <v>2048</v>
      </c>
      <c r="D47" s="545">
        <f>SUMIF($C$60:$C$841,"&lt;="&amp;DATE($C47,12,31),$D$60:$D$841)-SUM(D$25:D46)</f>
        <v>0</v>
      </c>
      <c r="E47" s="545">
        <f>SUMIF($C$60:$C$841,"&lt;="&amp;DATE($C47,12,31),$E$60:$E$841)-SUM(E$25:E46)</f>
        <v>0</v>
      </c>
      <c r="F47" s="546"/>
      <c r="G47" s="545">
        <f>SUMIF($C$60:$C$841,"&lt;="&amp;DATE($C47,12,31),$G$60:$G$841)-SUM(G$25:G46)</f>
        <v>0</v>
      </c>
      <c r="H47" s="545">
        <f>SUMIF($C$60:$C$841,"&lt;="&amp;DATE($C47,12,31),$H$60:$H$841)-SUM(H$25:H46)</f>
        <v>0</v>
      </c>
      <c r="I47" s="545">
        <f t="shared" si="2"/>
        <v>0</v>
      </c>
      <c r="K47" s="547">
        <f t="shared" si="0"/>
        <v>0</v>
      </c>
    </row>
    <row r="48" spans="2:11">
      <c r="B48" s="548"/>
      <c r="C48" s="544">
        <f t="shared" si="1"/>
        <v>2049</v>
      </c>
      <c r="D48" s="545">
        <f>SUMIF($C$60:$C$841,"&lt;="&amp;DATE($C48,12,31),$D$60:$D$841)-SUM(D$25:D47)</f>
        <v>0</v>
      </c>
      <c r="E48" s="545">
        <f>SUMIF($C$60:$C$841,"&lt;="&amp;DATE($C48,12,31),$E$60:$E$841)-SUM(E$25:E47)</f>
        <v>0</v>
      </c>
      <c r="F48" s="546"/>
      <c r="G48" s="545">
        <f>SUMIF($C$60:$C$841,"&lt;="&amp;DATE($C48,12,31),$G$60:$G$841)-SUM(G$25:G47)</f>
        <v>0</v>
      </c>
      <c r="H48" s="545">
        <f>SUMIF($C$60:$C$841,"&lt;="&amp;DATE($C48,12,31),$H$60:$H$841)-SUM(H$25:H47)</f>
        <v>0</v>
      </c>
      <c r="I48" s="545">
        <f t="shared" si="2"/>
        <v>0</v>
      </c>
      <c r="K48" s="547">
        <f t="shared" si="0"/>
        <v>0</v>
      </c>
    </row>
    <row r="49" spans="2:11">
      <c r="B49" s="548"/>
      <c r="C49" s="544">
        <f t="shared" si="1"/>
        <v>2050</v>
      </c>
      <c r="D49" s="545">
        <f>SUMIF($C$60:$C$841,"&lt;="&amp;DATE($C49,12,31),$D$60:$D$841)-SUM(D$25:D48)</f>
        <v>0</v>
      </c>
      <c r="E49" s="545">
        <f>SUMIF($C$60:$C$841,"&lt;="&amp;DATE($C49,12,31),$E$60:$E$841)-SUM(E$25:E48)</f>
        <v>0</v>
      </c>
      <c r="F49" s="546"/>
      <c r="G49" s="545">
        <f>SUMIF($C$60:$C$841,"&lt;="&amp;DATE($C49,12,31),$G$60:$G$841)-SUM(G$25:G48)</f>
        <v>0</v>
      </c>
      <c r="H49" s="545">
        <f>SUMIF($C$60:$C$841,"&lt;="&amp;DATE($C49,12,31),$H$60:$H$841)-SUM(H$25:H48)</f>
        <v>0</v>
      </c>
      <c r="I49" s="545">
        <f t="shared" si="2"/>
        <v>0</v>
      </c>
      <c r="K49" s="547">
        <f t="shared" si="0"/>
        <v>0</v>
      </c>
    </row>
    <row r="50" spans="2:11">
      <c r="B50" s="548"/>
      <c r="C50" s="544">
        <f t="shared" si="1"/>
        <v>2051</v>
      </c>
      <c r="D50" s="545">
        <f>SUMIF($C$60:$C$841,"&lt;="&amp;DATE($C50,12,31),$D$60:$D$841)-SUM(D$25:D49)</f>
        <v>0</v>
      </c>
      <c r="E50" s="545">
        <f>SUMIF($C$60:$C$841,"&lt;="&amp;DATE($C50,12,31),$E$60:$E$841)-SUM(E$25:E49)</f>
        <v>0</v>
      </c>
      <c r="F50" s="546"/>
      <c r="G50" s="545">
        <f>SUMIF($C$60:$C$841,"&lt;="&amp;DATE($C50,12,31),$G$60:$G$841)-SUM(G$25:G49)</f>
        <v>0</v>
      </c>
      <c r="H50" s="545">
        <f>SUMIF($C$60:$C$841,"&lt;="&amp;DATE($C50,12,31),$H$60:$H$841)-SUM(H$25:H49)</f>
        <v>0</v>
      </c>
      <c r="I50" s="545">
        <f t="shared" si="2"/>
        <v>0</v>
      </c>
      <c r="K50" s="547">
        <f t="shared" si="0"/>
        <v>0</v>
      </c>
    </row>
    <row r="51" spans="2:11">
      <c r="B51" s="548"/>
      <c r="C51" s="544">
        <f t="shared" si="1"/>
        <v>2052</v>
      </c>
      <c r="D51" s="545">
        <f>SUMIF($C$60:$C$841,"&lt;="&amp;DATE($C51,12,31),$D$60:$D$841)-SUM(D$25:D50)</f>
        <v>0</v>
      </c>
      <c r="E51" s="545">
        <f>SUMIF($C$60:$C$841,"&lt;="&amp;DATE($C51,12,31),$E$60:$E$841)-SUM(E$25:E50)</f>
        <v>0</v>
      </c>
      <c r="F51" s="546"/>
      <c r="G51" s="545">
        <f>SUMIF($C$60:$C$841,"&lt;="&amp;DATE($C51,12,31),$G$60:$G$841)-SUM(G$25:G50)</f>
        <v>0</v>
      </c>
      <c r="H51" s="545">
        <f>SUMIF($C$60:$C$841,"&lt;="&amp;DATE($C51,12,31),$H$60:$H$841)-SUM(H$25:H50)</f>
        <v>0</v>
      </c>
      <c r="I51" s="545">
        <f t="shared" si="2"/>
        <v>0</v>
      </c>
      <c r="K51" s="547">
        <f t="shared" si="0"/>
        <v>0</v>
      </c>
    </row>
    <row r="52" spans="2:11">
      <c r="B52" s="548"/>
      <c r="C52" s="544">
        <f t="shared" si="1"/>
        <v>2053</v>
      </c>
      <c r="D52" s="545">
        <f>SUMIF($C$60:$C$841,"&lt;="&amp;DATE($C52,12,31),$D$60:$D$841)-SUM(D$25:D51)</f>
        <v>0</v>
      </c>
      <c r="E52" s="545">
        <f>SUMIF($C$60:$C$841,"&lt;="&amp;DATE($C52,12,31),$E$60:$E$841)-SUM(E$25:E51)</f>
        <v>0</v>
      </c>
      <c r="F52" s="546"/>
      <c r="G52" s="545">
        <f>SUMIF($C$60:$C$841,"&lt;="&amp;DATE($C52,12,31),$G$60:$G$841)-SUM(G$25:G51)</f>
        <v>0</v>
      </c>
      <c r="H52" s="545">
        <f>SUMIF($C$60:$C$841,"&lt;="&amp;DATE($C52,12,31),$H$60:$H$841)-SUM(H$25:H51)</f>
        <v>0</v>
      </c>
      <c r="I52" s="545">
        <f t="shared" si="2"/>
        <v>0</v>
      </c>
      <c r="K52" s="547">
        <f t="shared" si="0"/>
        <v>0</v>
      </c>
    </row>
    <row r="53" spans="2:11">
      <c r="B53" s="548"/>
      <c r="C53" s="544">
        <f t="shared" si="1"/>
        <v>2054</v>
      </c>
      <c r="D53" s="545">
        <f>SUMIF($C$60:$C$841,"&lt;="&amp;DATE($C53,12,31),$D$60:$D$841)-SUM(D$25:D52)</f>
        <v>0</v>
      </c>
      <c r="E53" s="545">
        <f>SUMIF($C$60:$C$841,"&lt;="&amp;DATE($C53,12,31),$E$60:$E$841)-SUM(E$25:E52)</f>
        <v>0</v>
      </c>
      <c r="F53" s="546"/>
      <c r="G53" s="545">
        <f>SUMIF($C$60:$C$841,"&lt;="&amp;DATE($C53,12,31),$G$60:$G$841)-SUM(G$25:G52)</f>
        <v>0</v>
      </c>
      <c r="H53" s="545">
        <f>SUMIF($C$60:$C$841,"&lt;="&amp;DATE($C53,12,31),$H$60:$H$841)-SUM(H$25:H52)</f>
        <v>0</v>
      </c>
      <c r="I53" s="545">
        <f t="shared" si="2"/>
        <v>0</v>
      </c>
      <c r="K53" s="547">
        <f t="shared" si="0"/>
        <v>0</v>
      </c>
    </row>
    <row r="54" spans="2:11">
      <c r="B54" s="548"/>
      <c r="C54" s="544">
        <f t="shared" si="1"/>
        <v>2055</v>
      </c>
      <c r="D54" s="545">
        <f>SUMIF($C$60:$C$841,"&lt;="&amp;DATE($C54,12,31),$D$60:$D$841)-SUM(D$25:D53)</f>
        <v>0</v>
      </c>
      <c r="E54" s="545">
        <f>SUMIF($C$60:$C$841,"&lt;="&amp;DATE($C54,12,31),$E$60:$E$841)-SUM(E$25:E53)</f>
        <v>0</v>
      </c>
      <c r="F54" s="546"/>
      <c r="G54" s="545">
        <f>SUMIF($C$60:$C$841,"&lt;="&amp;DATE($C54,12,31),$G$60:$G$841)-SUM(G$25:G53)</f>
        <v>0</v>
      </c>
      <c r="H54" s="545">
        <f>SUMIF($C$60:$C$841,"&lt;="&amp;DATE($C54,12,31),$H$60:$H$841)-SUM(H$25:H53)</f>
        <v>0</v>
      </c>
      <c r="I54" s="545">
        <f t="shared" si="2"/>
        <v>0</v>
      </c>
      <c r="K54" s="547">
        <f t="shared" si="0"/>
        <v>0</v>
      </c>
    </row>
    <row r="55" spans="2:11">
      <c r="B55" s="548"/>
      <c r="C55" s="544">
        <f t="shared" si="1"/>
        <v>2056</v>
      </c>
      <c r="D55" s="545">
        <f>SUMIF($C$60:$C$841,"&lt;="&amp;DATE($C55,12,31),$D$60:$D$841)-SUM(D$25:D54)</f>
        <v>0</v>
      </c>
      <c r="E55" s="545">
        <f>SUMIF($C$60:$C$841,"&lt;="&amp;DATE($C55,12,31),$E$60:$E$841)-SUM(E$25:E54)</f>
        <v>0</v>
      </c>
      <c r="F55" s="546"/>
      <c r="G55" s="545">
        <f>SUMIF($C$60:$C$841,"&lt;="&amp;DATE($C55,12,31),$G$60:$G$841)-SUM(G$25:G54)</f>
        <v>0</v>
      </c>
      <c r="H55" s="545">
        <f>SUMIF($C$60:$C$841,"&lt;="&amp;DATE($C55,12,31),$H$60:$H$841)-SUM(H$25:H54)</f>
        <v>0</v>
      </c>
      <c r="I55" s="545">
        <f t="shared" si="2"/>
        <v>0</v>
      </c>
      <c r="K55" s="547"/>
    </row>
    <row r="56" spans="2:11">
      <c r="B56" s="548"/>
      <c r="C56" s="544">
        <f t="shared" si="1"/>
        <v>2057</v>
      </c>
      <c r="D56" s="545">
        <f>SUMIF($C$60:$C$841,"&lt;="&amp;DATE($C56,12,31),$D$60:$D$841)-SUM(D$25:D55)</f>
        <v>0</v>
      </c>
      <c r="E56" s="545">
        <f>SUMIF($C$60:$C$841,"&lt;="&amp;DATE($C56,12,31),$E$60:$E$841)-SUM(E$25:E55)</f>
        <v>0</v>
      </c>
      <c r="F56" s="546"/>
      <c r="G56" s="545">
        <f>SUMIF($C$60:$C$841,"&lt;="&amp;DATE($C56,12,31),$G$60:$G$841)-SUM(G$25:G55)</f>
        <v>0</v>
      </c>
      <c r="H56" s="545">
        <f>SUMIF($C$60:$C$841,"&lt;="&amp;DATE($C56,12,31),$H$60:$H$841)-SUM(H$25:H55)</f>
        <v>0</v>
      </c>
      <c r="I56" s="545">
        <f t="shared" si="2"/>
        <v>0</v>
      </c>
    </row>
    <row r="57" spans="2:11">
      <c r="I57" s="531"/>
    </row>
    <row r="58" spans="2:11" ht="15">
      <c r="B58" s="534" t="s">
        <v>707</v>
      </c>
      <c r="C58" s="534"/>
      <c r="D58" s="534"/>
      <c r="E58" s="534"/>
      <c r="F58" s="534"/>
      <c r="G58" s="534"/>
      <c r="H58" s="534"/>
    </row>
    <row r="59" spans="2:11" ht="26.25" thickBot="1">
      <c r="B59" s="549" t="s">
        <v>708</v>
      </c>
      <c r="C59" s="550" t="s">
        <v>709</v>
      </c>
      <c r="D59" s="550" t="s">
        <v>710</v>
      </c>
      <c r="E59" s="550" t="s">
        <v>711</v>
      </c>
      <c r="F59" s="537"/>
      <c r="G59" s="551" t="s">
        <v>45</v>
      </c>
      <c r="H59" s="551" t="s">
        <v>44</v>
      </c>
      <c r="I59" s="551" t="s">
        <v>492</v>
      </c>
    </row>
    <row r="60" spans="2:11">
      <c r="B60" s="552"/>
      <c r="C60" s="553"/>
      <c r="D60" s="552"/>
      <c r="E60" s="552"/>
      <c r="F60" s="552"/>
      <c r="G60" s="554"/>
      <c r="H60" s="554"/>
      <c r="I60" s="554">
        <f>$E$6</f>
        <v>0</v>
      </c>
    </row>
    <row r="61" spans="2:11">
      <c r="B61" s="555" t="str">
        <f t="shared" ref="B61:B124" si="3">IF(I60="","",IF(roundOpt,IF(OR(B60&gt;=nper,ROUND(I60,2)&lt;=0),"",B60+1),IF(OR(B60&gt;=nper,I60&lt;=0),"",B60+1)))</f>
        <v/>
      </c>
      <c r="C61" s="556" t="str">
        <f t="shared" ref="C61:C124" si="4">IF(B61="","",IF(OR(periods_per_year=26,periods_per_year=52),IF(periods_per_year=26,IF(B61=1,fpdate,C60+14),IF(periods_per_year=52,IF(B61=1,fpdate,C60+7),"n/a")),IF(periods_per_year=24,DATE(YEAR(fpdate),MONTH(fpdate)+(B61-1)/2+IF(AND(DAY(fpdate)&gt;=15,MOD(B61,2)=0),1,0),IF(MOD(B61,2)=0,IF(DAY(fpdate)&gt;=15,DAY(fpdate)-14,DAY(fpdate)+14),DAY(fpdate))),IF(DAY(DATE(YEAR(fpdate),MONTH(fpdate)+(B61-1)*months_per_period,DAY(fpdate)))&lt;&gt;DAY(fpdate),DATE(YEAR(fpdate),MONTH(fpdate)+(B61-1)*months_per_period+1,0),DATE(YEAR(fpdate),MONTH(fpdate)+(B61-1)*months_per_period,DAY(fpdate))))))</f>
        <v/>
      </c>
      <c r="D61" s="557" t="str">
        <f t="shared" ref="D61:D124" si="5">IF(B61="","",IF(roundOpt,IF(OR(B61=nper,payment&gt;ROUND((1+rate)*I60,2)),ROUND((1+rate)*I60,2),payment),IF(OR(B61=nper,payment&gt;(1+rate)*I60),(1+rate)*I60,payment)))</f>
        <v/>
      </c>
      <c r="E61" s="558"/>
      <c r="F61" s="559"/>
      <c r="G61" s="559" t="str">
        <f t="shared" ref="G61:G124" si="6">IF(B61="","",IF(AND(B61=1,pmtType=1),0,IF(roundOpt,ROUND(rate*I60,2),rate*I60)))</f>
        <v/>
      </c>
      <c r="H61" s="559" t="str">
        <f t="shared" ref="H61:H124" si="7">IF(B61="","",D61-G61+E61)</f>
        <v/>
      </c>
      <c r="I61" s="559" t="str">
        <f t="shared" ref="I61:I124" si="8">IF(B61="","",I60-H61)</f>
        <v/>
      </c>
    </row>
    <row r="62" spans="2:11">
      <c r="B62" s="555" t="str">
        <f t="shared" si="3"/>
        <v/>
      </c>
      <c r="C62" s="556" t="str">
        <f t="shared" si="4"/>
        <v/>
      </c>
      <c r="D62" s="557" t="str">
        <f t="shared" si="5"/>
        <v/>
      </c>
      <c r="E62" s="560"/>
      <c r="F62" s="559"/>
      <c r="G62" s="559" t="str">
        <f t="shared" si="6"/>
        <v/>
      </c>
      <c r="H62" s="559" t="str">
        <f t="shared" si="7"/>
        <v/>
      </c>
      <c r="I62" s="559" t="str">
        <f t="shared" si="8"/>
        <v/>
      </c>
    </row>
    <row r="63" spans="2:11">
      <c r="B63" s="555" t="str">
        <f t="shared" si="3"/>
        <v/>
      </c>
      <c r="C63" s="556" t="str">
        <f t="shared" si="4"/>
        <v/>
      </c>
      <c r="D63" s="557" t="str">
        <f t="shared" si="5"/>
        <v/>
      </c>
      <c r="E63" s="560"/>
      <c r="F63" s="559"/>
      <c r="G63" s="559" t="str">
        <f t="shared" si="6"/>
        <v/>
      </c>
      <c r="H63" s="559" t="str">
        <f t="shared" si="7"/>
        <v/>
      </c>
      <c r="I63" s="559" t="str">
        <f t="shared" si="8"/>
        <v/>
      </c>
    </row>
    <row r="64" spans="2:11">
      <c r="B64" s="555" t="str">
        <f t="shared" si="3"/>
        <v/>
      </c>
      <c r="C64" s="556" t="str">
        <f t="shared" si="4"/>
        <v/>
      </c>
      <c r="D64" s="557" t="str">
        <f t="shared" si="5"/>
        <v/>
      </c>
      <c r="E64" s="560"/>
      <c r="F64" s="559"/>
      <c r="G64" s="559" t="str">
        <f t="shared" si="6"/>
        <v/>
      </c>
      <c r="H64" s="559" t="str">
        <f t="shared" si="7"/>
        <v/>
      </c>
      <c r="I64" s="559" t="str">
        <f t="shared" si="8"/>
        <v/>
      </c>
    </row>
    <row r="65" spans="2:10" ht="15">
      <c r="B65" s="555" t="str">
        <f t="shared" si="3"/>
        <v/>
      </c>
      <c r="C65" s="556" t="str">
        <f t="shared" si="4"/>
        <v/>
      </c>
      <c r="D65" s="557" t="str">
        <f t="shared" si="5"/>
        <v/>
      </c>
      <c r="E65" s="560"/>
      <c r="F65" s="559"/>
      <c r="G65" s="559" t="str">
        <f t="shared" si="6"/>
        <v/>
      </c>
      <c r="H65" s="559" t="str">
        <f t="shared" si="7"/>
        <v/>
      </c>
      <c r="I65" s="559" t="str">
        <f t="shared" si="8"/>
        <v/>
      </c>
      <c r="J65" s="561"/>
    </row>
    <row r="66" spans="2:10" ht="15">
      <c r="B66" s="555" t="str">
        <f t="shared" si="3"/>
        <v/>
      </c>
      <c r="C66" s="556" t="str">
        <f t="shared" si="4"/>
        <v/>
      </c>
      <c r="D66" s="557" t="str">
        <f t="shared" si="5"/>
        <v/>
      </c>
      <c r="E66" s="560"/>
      <c r="F66" s="559"/>
      <c r="G66" s="559" t="str">
        <f t="shared" si="6"/>
        <v/>
      </c>
      <c r="H66" s="559" t="str">
        <f t="shared" si="7"/>
        <v/>
      </c>
      <c r="I66" s="559" t="str">
        <f t="shared" si="8"/>
        <v/>
      </c>
      <c r="J66" s="561"/>
    </row>
    <row r="67" spans="2:10" ht="15">
      <c r="B67" s="555" t="str">
        <f t="shared" si="3"/>
        <v/>
      </c>
      <c r="C67" s="556" t="str">
        <f t="shared" si="4"/>
        <v/>
      </c>
      <c r="D67" s="557" t="str">
        <f t="shared" si="5"/>
        <v/>
      </c>
      <c r="E67" s="560"/>
      <c r="F67" s="559"/>
      <c r="G67" s="559" t="str">
        <f t="shared" si="6"/>
        <v/>
      </c>
      <c r="H67" s="559" t="str">
        <f t="shared" si="7"/>
        <v/>
      </c>
      <c r="I67" s="559" t="str">
        <f t="shared" si="8"/>
        <v/>
      </c>
      <c r="J67" s="562"/>
    </row>
    <row r="68" spans="2:10">
      <c r="B68" s="555" t="str">
        <f t="shared" si="3"/>
        <v/>
      </c>
      <c r="C68" s="556" t="str">
        <f t="shared" si="4"/>
        <v/>
      </c>
      <c r="D68" s="557" t="str">
        <f t="shared" si="5"/>
        <v/>
      </c>
      <c r="E68" s="560"/>
      <c r="F68" s="559"/>
      <c r="G68" s="559" t="str">
        <f t="shared" si="6"/>
        <v/>
      </c>
      <c r="H68" s="559" t="str">
        <f t="shared" si="7"/>
        <v/>
      </c>
      <c r="I68" s="559" t="str">
        <f t="shared" si="8"/>
        <v/>
      </c>
    </row>
    <row r="69" spans="2:10">
      <c r="B69" s="555" t="str">
        <f t="shared" si="3"/>
        <v/>
      </c>
      <c r="C69" s="556" t="str">
        <f t="shared" si="4"/>
        <v/>
      </c>
      <c r="D69" s="557" t="str">
        <f t="shared" si="5"/>
        <v/>
      </c>
      <c r="E69" s="560"/>
      <c r="F69" s="559"/>
      <c r="G69" s="559" t="str">
        <f t="shared" si="6"/>
        <v/>
      </c>
      <c r="H69" s="559" t="str">
        <f t="shared" si="7"/>
        <v/>
      </c>
      <c r="I69" s="559" t="str">
        <f t="shared" si="8"/>
        <v/>
      </c>
    </row>
    <row r="70" spans="2:10">
      <c r="B70" s="555" t="str">
        <f t="shared" si="3"/>
        <v/>
      </c>
      <c r="C70" s="556" t="str">
        <f t="shared" si="4"/>
        <v/>
      </c>
      <c r="D70" s="557" t="str">
        <f t="shared" si="5"/>
        <v/>
      </c>
      <c r="E70" s="560"/>
      <c r="F70" s="559"/>
      <c r="G70" s="559" t="str">
        <f t="shared" si="6"/>
        <v/>
      </c>
      <c r="H70" s="559" t="str">
        <f t="shared" si="7"/>
        <v/>
      </c>
      <c r="I70" s="559" t="str">
        <f t="shared" si="8"/>
        <v/>
      </c>
    </row>
    <row r="71" spans="2:10">
      <c r="B71" s="555" t="str">
        <f t="shared" si="3"/>
        <v/>
      </c>
      <c r="C71" s="556" t="str">
        <f t="shared" si="4"/>
        <v/>
      </c>
      <c r="D71" s="557" t="str">
        <f t="shared" si="5"/>
        <v/>
      </c>
      <c r="E71" s="560"/>
      <c r="F71" s="559"/>
      <c r="G71" s="559" t="str">
        <f t="shared" si="6"/>
        <v/>
      </c>
      <c r="H71" s="559" t="str">
        <f t="shared" si="7"/>
        <v/>
      </c>
      <c r="I71" s="559" t="str">
        <f t="shared" si="8"/>
        <v/>
      </c>
    </row>
    <row r="72" spans="2:10">
      <c r="B72" s="555" t="str">
        <f t="shared" si="3"/>
        <v/>
      </c>
      <c r="C72" s="556" t="str">
        <f t="shared" si="4"/>
        <v/>
      </c>
      <c r="D72" s="557" t="str">
        <f t="shared" si="5"/>
        <v/>
      </c>
      <c r="E72" s="560"/>
      <c r="F72" s="559"/>
      <c r="G72" s="559" t="str">
        <f t="shared" si="6"/>
        <v/>
      </c>
      <c r="H72" s="559" t="str">
        <f t="shared" si="7"/>
        <v/>
      </c>
      <c r="I72" s="559" t="str">
        <f t="shared" si="8"/>
        <v/>
      </c>
    </row>
    <row r="73" spans="2:10">
      <c r="B73" s="555" t="str">
        <f t="shared" si="3"/>
        <v/>
      </c>
      <c r="C73" s="556" t="str">
        <f t="shared" si="4"/>
        <v/>
      </c>
      <c r="D73" s="557" t="str">
        <f t="shared" si="5"/>
        <v/>
      </c>
      <c r="E73" s="560"/>
      <c r="F73" s="559"/>
      <c r="G73" s="559" t="str">
        <f t="shared" si="6"/>
        <v/>
      </c>
      <c r="H73" s="559" t="str">
        <f t="shared" si="7"/>
        <v/>
      </c>
      <c r="I73" s="559" t="str">
        <f t="shared" si="8"/>
        <v/>
      </c>
    </row>
    <row r="74" spans="2:10">
      <c r="B74" s="555" t="str">
        <f t="shared" si="3"/>
        <v/>
      </c>
      <c r="C74" s="556" t="str">
        <f t="shared" si="4"/>
        <v/>
      </c>
      <c r="D74" s="557" t="str">
        <f t="shared" si="5"/>
        <v/>
      </c>
      <c r="E74" s="560"/>
      <c r="F74" s="559"/>
      <c r="G74" s="559" t="str">
        <f t="shared" si="6"/>
        <v/>
      </c>
      <c r="H74" s="559" t="str">
        <f t="shared" si="7"/>
        <v/>
      </c>
      <c r="I74" s="559" t="str">
        <f t="shared" si="8"/>
        <v/>
      </c>
    </row>
    <row r="75" spans="2:10">
      <c r="B75" s="555" t="str">
        <f t="shared" si="3"/>
        <v/>
      </c>
      <c r="C75" s="556" t="str">
        <f t="shared" si="4"/>
        <v/>
      </c>
      <c r="D75" s="557" t="str">
        <f t="shared" si="5"/>
        <v/>
      </c>
      <c r="E75" s="560"/>
      <c r="F75" s="559"/>
      <c r="G75" s="559" t="str">
        <f t="shared" si="6"/>
        <v/>
      </c>
      <c r="H75" s="559" t="str">
        <f t="shared" si="7"/>
        <v/>
      </c>
      <c r="I75" s="559" t="str">
        <f t="shared" si="8"/>
        <v/>
      </c>
    </row>
    <row r="76" spans="2:10">
      <c r="B76" s="555" t="str">
        <f t="shared" si="3"/>
        <v/>
      </c>
      <c r="C76" s="556" t="str">
        <f t="shared" si="4"/>
        <v/>
      </c>
      <c r="D76" s="557" t="str">
        <f t="shared" si="5"/>
        <v/>
      </c>
      <c r="E76" s="560"/>
      <c r="F76" s="559"/>
      <c r="G76" s="559" t="str">
        <f t="shared" si="6"/>
        <v/>
      </c>
      <c r="H76" s="559" t="str">
        <f t="shared" si="7"/>
        <v/>
      </c>
      <c r="I76" s="559" t="str">
        <f t="shared" si="8"/>
        <v/>
      </c>
    </row>
    <row r="77" spans="2:10">
      <c r="B77" s="555" t="str">
        <f t="shared" si="3"/>
        <v/>
      </c>
      <c r="C77" s="556" t="str">
        <f t="shared" si="4"/>
        <v/>
      </c>
      <c r="D77" s="557" t="str">
        <f t="shared" si="5"/>
        <v/>
      </c>
      <c r="E77" s="560"/>
      <c r="F77" s="559"/>
      <c r="G77" s="559" t="str">
        <f t="shared" si="6"/>
        <v/>
      </c>
      <c r="H77" s="559" t="str">
        <f t="shared" si="7"/>
        <v/>
      </c>
      <c r="I77" s="559" t="str">
        <f t="shared" si="8"/>
        <v/>
      </c>
    </row>
    <row r="78" spans="2:10">
      <c r="B78" s="555" t="str">
        <f t="shared" si="3"/>
        <v/>
      </c>
      <c r="C78" s="556" t="str">
        <f t="shared" si="4"/>
        <v/>
      </c>
      <c r="D78" s="557" t="str">
        <f t="shared" si="5"/>
        <v/>
      </c>
      <c r="E78" s="560"/>
      <c r="F78" s="559"/>
      <c r="G78" s="559" t="str">
        <f t="shared" si="6"/>
        <v/>
      </c>
      <c r="H78" s="559" t="str">
        <f t="shared" si="7"/>
        <v/>
      </c>
      <c r="I78" s="559" t="str">
        <f t="shared" si="8"/>
        <v/>
      </c>
    </row>
    <row r="79" spans="2:10">
      <c r="B79" s="555" t="str">
        <f t="shared" si="3"/>
        <v/>
      </c>
      <c r="C79" s="556" t="str">
        <f t="shared" si="4"/>
        <v/>
      </c>
      <c r="D79" s="557" t="str">
        <f t="shared" si="5"/>
        <v/>
      </c>
      <c r="E79" s="560"/>
      <c r="F79" s="559"/>
      <c r="G79" s="559" t="str">
        <f t="shared" si="6"/>
        <v/>
      </c>
      <c r="H79" s="559" t="str">
        <f t="shared" si="7"/>
        <v/>
      </c>
      <c r="I79" s="559" t="str">
        <f t="shared" si="8"/>
        <v/>
      </c>
    </row>
    <row r="80" spans="2:10">
      <c r="B80" s="555" t="str">
        <f t="shared" si="3"/>
        <v/>
      </c>
      <c r="C80" s="556" t="str">
        <f t="shared" si="4"/>
        <v/>
      </c>
      <c r="D80" s="557" t="str">
        <f t="shared" si="5"/>
        <v/>
      </c>
      <c r="E80" s="560"/>
      <c r="F80" s="559"/>
      <c r="G80" s="559" t="str">
        <f t="shared" si="6"/>
        <v/>
      </c>
      <c r="H80" s="559" t="str">
        <f t="shared" si="7"/>
        <v/>
      </c>
      <c r="I80" s="559" t="str">
        <f t="shared" si="8"/>
        <v/>
      </c>
    </row>
    <row r="81" spans="2:9">
      <c r="B81" s="555" t="str">
        <f t="shared" si="3"/>
        <v/>
      </c>
      <c r="C81" s="556" t="str">
        <f t="shared" si="4"/>
        <v/>
      </c>
      <c r="D81" s="557" t="str">
        <f t="shared" si="5"/>
        <v/>
      </c>
      <c r="E81" s="560"/>
      <c r="F81" s="559"/>
      <c r="G81" s="559" t="str">
        <f t="shared" si="6"/>
        <v/>
      </c>
      <c r="H81" s="559" t="str">
        <f t="shared" si="7"/>
        <v/>
      </c>
      <c r="I81" s="559" t="str">
        <f t="shared" si="8"/>
        <v/>
      </c>
    </row>
    <row r="82" spans="2:9">
      <c r="B82" s="555" t="str">
        <f t="shared" si="3"/>
        <v/>
      </c>
      <c r="C82" s="556" t="str">
        <f t="shared" si="4"/>
        <v/>
      </c>
      <c r="D82" s="557" t="str">
        <f t="shared" si="5"/>
        <v/>
      </c>
      <c r="E82" s="560"/>
      <c r="F82" s="559"/>
      <c r="G82" s="559" t="str">
        <f t="shared" si="6"/>
        <v/>
      </c>
      <c r="H82" s="559" t="str">
        <f t="shared" si="7"/>
        <v/>
      </c>
      <c r="I82" s="559" t="str">
        <f t="shared" si="8"/>
        <v/>
      </c>
    </row>
    <row r="83" spans="2:9">
      <c r="B83" s="555" t="str">
        <f t="shared" si="3"/>
        <v/>
      </c>
      <c r="C83" s="556" t="str">
        <f t="shared" si="4"/>
        <v/>
      </c>
      <c r="D83" s="557" t="str">
        <f t="shared" si="5"/>
        <v/>
      </c>
      <c r="E83" s="560"/>
      <c r="F83" s="559"/>
      <c r="G83" s="559" t="str">
        <f t="shared" si="6"/>
        <v/>
      </c>
      <c r="H83" s="559" t="str">
        <f t="shared" si="7"/>
        <v/>
      </c>
      <c r="I83" s="559" t="str">
        <f t="shared" si="8"/>
        <v/>
      </c>
    </row>
    <row r="84" spans="2:9">
      <c r="B84" s="555" t="str">
        <f t="shared" si="3"/>
        <v/>
      </c>
      <c r="C84" s="556" t="str">
        <f t="shared" si="4"/>
        <v/>
      </c>
      <c r="D84" s="557" t="str">
        <f t="shared" si="5"/>
        <v/>
      </c>
      <c r="E84" s="560"/>
      <c r="F84" s="559"/>
      <c r="G84" s="559" t="str">
        <f t="shared" si="6"/>
        <v/>
      </c>
      <c r="H84" s="559" t="str">
        <f t="shared" si="7"/>
        <v/>
      </c>
      <c r="I84" s="559" t="str">
        <f t="shared" si="8"/>
        <v/>
      </c>
    </row>
    <row r="85" spans="2:9">
      <c r="B85" s="555" t="str">
        <f t="shared" si="3"/>
        <v/>
      </c>
      <c r="C85" s="556" t="str">
        <f t="shared" si="4"/>
        <v/>
      </c>
      <c r="D85" s="557" t="str">
        <f t="shared" si="5"/>
        <v/>
      </c>
      <c r="E85" s="560"/>
      <c r="F85" s="559"/>
      <c r="G85" s="559" t="str">
        <f t="shared" si="6"/>
        <v/>
      </c>
      <c r="H85" s="559" t="str">
        <f t="shared" si="7"/>
        <v/>
      </c>
      <c r="I85" s="559" t="str">
        <f t="shared" si="8"/>
        <v/>
      </c>
    </row>
    <row r="86" spans="2:9">
      <c r="B86" s="555" t="str">
        <f t="shared" si="3"/>
        <v/>
      </c>
      <c r="C86" s="556" t="str">
        <f t="shared" si="4"/>
        <v/>
      </c>
      <c r="D86" s="557" t="str">
        <f t="shared" si="5"/>
        <v/>
      </c>
      <c r="E86" s="560"/>
      <c r="F86" s="559"/>
      <c r="G86" s="559" t="str">
        <f t="shared" si="6"/>
        <v/>
      </c>
      <c r="H86" s="559" t="str">
        <f t="shared" si="7"/>
        <v/>
      </c>
      <c r="I86" s="559" t="str">
        <f t="shared" si="8"/>
        <v/>
      </c>
    </row>
    <row r="87" spans="2:9">
      <c r="B87" s="555" t="str">
        <f t="shared" si="3"/>
        <v/>
      </c>
      <c r="C87" s="556" t="str">
        <f t="shared" si="4"/>
        <v/>
      </c>
      <c r="D87" s="557" t="str">
        <f t="shared" si="5"/>
        <v/>
      </c>
      <c r="E87" s="560"/>
      <c r="F87" s="559"/>
      <c r="G87" s="559" t="str">
        <f t="shared" si="6"/>
        <v/>
      </c>
      <c r="H87" s="559" t="str">
        <f t="shared" si="7"/>
        <v/>
      </c>
      <c r="I87" s="559" t="str">
        <f t="shared" si="8"/>
        <v/>
      </c>
    </row>
    <row r="88" spans="2:9">
      <c r="B88" s="555" t="str">
        <f t="shared" si="3"/>
        <v/>
      </c>
      <c r="C88" s="556" t="str">
        <f t="shared" si="4"/>
        <v/>
      </c>
      <c r="D88" s="557" t="str">
        <f t="shared" si="5"/>
        <v/>
      </c>
      <c r="E88" s="560"/>
      <c r="F88" s="559"/>
      <c r="G88" s="559" t="str">
        <f t="shared" si="6"/>
        <v/>
      </c>
      <c r="H88" s="559" t="str">
        <f t="shared" si="7"/>
        <v/>
      </c>
      <c r="I88" s="559" t="str">
        <f t="shared" si="8"/>
        <v/>
      </c>
    </row>
    <row r="89" spans="2:9">
      <c r="B89" s="555" t="str">
        <f t="shared" si="3"/>
        <v/>
      </c>
      <c r="C89" s="556" t="str">
        <f t="shared" si="4"/>
        <v/>
      </c>
      <c r="D89" s="557" t="str">
        <f t="shared" si="5"/>
        <v/>
      </c>
      <c r="E89" s="560"/>
      <c r="F89" s="559"/>
      <c r="G89" s="559" t="str">
        <f t="shared" si="6"/>
        <v/>
      </c>
      <c r="H89" s="559" t="str">
        <f t="shared" si="7"/>
        <v/>
      </c>
      <c r="I89" s="559" t="str">
        <f t="shared" si="8"/>
        <v/>
      </c>
    </row>
    <row r="90" spans="2:9">
      <c r="B90" s="555" t="str">
        <f t="shared" si="3"/>
        <v/>
      </c>
      <c r="C90" s="556" t="str">
        <f t="shared" si="4"/>
        <v/>
      </c>
      <c r="D90" s="557" t="str">
        <f t="shared" si="5"/>
        <v/>
      </c>
      <c r="E90" s="560"/>
      <c r="F90" s="559"/>
      <c r="G90" s="559" t="str">
        <f t="shared" si="6"/>
        <v/>
      </c>
      <c r="H90" s="559" t="str">
        <f t="shared" si="7"/>
        <v/>
      </c>
      <c r="I90" s="559" t="str">
        <f t="shared" si="8"/>
        <v/>
      </c>
    </row>
    <row r="91" spans="2:9">
      <c r="B91" s="555"/>
      <c r="C91" s="556"/>
      <c r="D91" s="557"/>
      <c r="E91" s="560"/>
      <c r="F91" s="559"/>
      <c r="G91" s="559"/>
      <c r="H91" s="559"/>
      <c r="I91" s="559"/>
    </row>
    <row r="92" spans="2:9" ht="15.75">
      <c r="B92" s="555"/>
      <c r="C92" s="556"/>
      <c r="D92" s="596" t="s">
        <v>718</v>
      </c>
      <c r="E92" s="597">
        <f>SUM(D31:D56)</f>
        <v>0</v>
      </c>
      <c r="F92" s="559"/>
      <c r="G92" s="559"/>
      <c r="H92" s="559"/>
      <c r="I92" s="559"/>
    </row>
    <row r="93" spans="2:9">
      <c r="B93" s="555"/>
      <c r="C93" s="556"/>
      <c r="D93" s="557"/>
      <c r="E93" s="560"/>
      <c r="F93" s="559"/>
      <c r="G93" s="559"/>
      <c r="H93" s="559"/>
      <c r="I93" s="559"/>
    </row>
    <row r="94" spans="2:9">
      <c r="B94" s="555"/>
      <c r="C94" s="556"/>
      <c r="D94" s="557"/>
      <c r="E94" s="560"/>
      <c r="F94" s="559"/>
      <c r="G94" s="559"/>
      <c r="H94" s="559"/>
      <c r="I94" s="559"/>
    </row>
    <row r="95" spans="2:9">
      <c r="B95" s="555"/>
      <c r="C95" s="556"/>
      <c r="D95" s="557"/>
      <c r="E95" s="560"/>
      <c r="F95" s="559"/>
      <c r="G95" s="559"/>
      <c r="H95" s="559"/>
      <c r="I95" s="559"/>
    </row>
    <row r="96" spans="2:9">
      <c r="B96" s="555"/>
      <c r="C96" s="556"/>
      <c r="D96" s="557"/>
      <c r="E96" s="560"/>
      <c r="F96" s="559"/>
      <c r="G96" s="559"/>
      <c r="H96" s="559"/>
      <c r="I96" s="559"/>
    </row>
    <row r="97" spans="2:9">
      <c r="B97" s="555"/>
      <c r="C97" s="556"/>
      <c r="D97" s="557"/>
      <c r="E97" s="560"/>
      <c r="F97" s="559"/>
      <c r="G97" s="559"/>
      <c r="H97" s="559"/>
      <c r="I97" s="559"/>
    </row>
    <row r="98" spans="2:9">
      <c r="B98" s="555" t="str">
        <f t="shared" si="3"/>
        <v/>
      </c>
      <c r="C98" s="556" t="str">
        <f t="shared" si="4"/>
        <v/>
      </c>
      <c r="D98" s="557" t="str">
        <f t="shared" si="5"/>
        <v/>
      </c>
      <c r="E98" s="560"/>
      <c r="F98" s="559"/>
      <c r="G98" s="559" t="str">
        <f t="shared" si="6"/>
        <v/>
      </c>
      <c r="H98" s="559" t="str">
        <f t="shared" si="7"/>
        <v/>
      </c>
      <c r="I98" s="559" t="str">
        <f t="shared" si="8"/>
        <v/>
      </c>
    </row>
    <row r="99" spans="2:9">
      <c r="B99" s="555" t="str">
        <f t="shared" si="3"/>
        <v/>
      </c>
      <c r="C99" s="556" t="str">
        <f t="shared" si="4"/>
        <v/>
      </c>
      <c r="D99" s="557" t="str">
        <f t="shared" si="5"/>
        <v/>
      </c>
      <c r="E99" s="560"/>
      <c r="F99" s="559"/>
      <c r="G99" s="559" t="str">
        <f t="shared" si="6"/>
        <v/>
      </c>
      <c r="H99" s="559" t="str">
        <f t="shared" si="7"/>
        <v/>
      </c>
      <c r="I99" s="559" t="str">
        <f t="shared" si="8"/>
        <v/>
      </c>
    </row>
    <row r="100" spans="2:9">
      <c r="B100" s="555" t="str">
        <f t="shared" si="3"/>
        <v/>
      </c>
      <c r="C100" s="556" t="str">
        <f t="shared" si="4"/>
        <v/>
      </c>
      <c r="D100" s="557" t="str">
        <f t="shared" si="5"/>
        <v/>
      </c>
      <c r="E100" s="560"/>
      <c r="F100" s="559"/>
      <c r="G100" s="559" t="str">
        <f t="shared" si="6"/>
        <v/>
      </c>
      <c r="H100" s="559" t="str">
        <f t="shared" si="7"/>
        <v/>
      </c>
      <c r="I100" s="559" t="str">
        <f t="shared" si="8"/>
        <v/>
      </c>
    </row>
    <row r="101" spans="2:9">
      <c r="B101" s="555" t="str">
        <f t="shared" si="3"/>
        <v/>
      </c>
      <c r="C101" s="556" t="str">
        <f t="shared" si="4"/>
        <v/>
      </c>
      <c r="D101" s="557" t="str">
        <f t="shared" si="5"/>
        <v/>
      </c>
      <c r="E101" s="560"/>
      <c r="F101" s="559"/>
      <c r="G101" s="559" t="str">
        <f t="shared" si="6"/>
        <v/>
      </c>
      <c r="H101" s="559" t="str">
        <f t="shared" si="7"/>
        <v/>
      </c>
      <c r="I101" s="559" t="str">
        <f t="shared" si="8"/>
        <v/>
      </c>
    </row>
    <row r="102" spans="2:9">
      <c r="B102" s="555" t="str">
        <f t="shared" si="3"/>
        <v/>
      </c>
      <c r="C102" s="556" t="str">
        <f t="shared" si="4"/>
        <v/>
      </c>
      <c r="D102" s="557" t="str">
        <f t="shared" si="5"/>
        <v/>
      </c>
      <c r="E102" s="560"/>
      <c r="F102" s="559"/>
      <c r="G102" s="559" t="str">
        <f t="shared" si="6"/>
        <v/>
      </c>
      <c r="H102" s="559" t="str">
        <f t="shared" si="7"/>
        <v/>
      </c>
      <c r="I102" s="559" t="str">
        <f t="shared" si="8"/>
        <v/>
      </c>
    </row>
    <row r="103" spans="2:9">
      <c r="B103" s="555" t="str">
        <f t="shared" si="3"/>
        <v/>
      </c>
      <c r="C103" s="556" t="str">
        <f t="shared" si="4"/>
        <v/>
      </c>
      <c r="D103" s="557" t="str">
        <f t="shared" si="5"/>
        <v/>
      </c>
      <c r="E103" s="560"/>
      <c r="F103" s="559"/>
      <c r="G103" s="559" t="str">
        <f t="shared" si="6"/>
        <v/>
      </c>
      <c r="H103" s="559" t="str">
        <f t="shared" si="7"/>
        <v/>
      </c>
      <c r="I103" s="559" t="str">
        <f t="shared" si="8"/>
        <v/>
      </c>
    </row>
    <row r="104" spans="2:9">
      <c r="B104" s="555" t="str">
        <f t="shared" si="3"/>
        <v/>
      </c>
      <c r="C104" s="556" t="str">
        <f t="shared" si="4"/>
        <v/>
      </c>
      <c r="D104" s="557" t="str">
        <f t="shared" si="5"/>
        <v/>
      </c>
      <c r="E104" s="560"/>
      <c r="F104" s="559"/>
      <c r="G104" s="559" t="str">
        <f t="shared" si="6"/>
        <v/>
      </c>
      <c r="H104" s="559" t="str">
        <f t="shared" si="7"/>
        <v/>
      </c>
      <c r="I104" s="559" t="str">
        <f t="shared" si="8"/>
        <v/>
      </c>
    </row>
    <row r="105" spans="2:9">
      <c r="B105" s="555" t="str">
        <f t="shared" si="3"/>
        <v/>
      </c>
      <c r="C105" s="556" t="str">
        <f t="shared" si="4"/>
        <v/>
      </c>
      <c r="D105" s="557" t="str">
        <f t="shared" si="5"/>
        <v/>
      </c>
      <c r="E105" s="560"/>
      <c r="F105" s="559"/>
      <c r="G105" s="559" t="str">
        <f t="shared" si="6"/>
        <v/>
      </c>
      <c r="H105" s="559" t="str">
        <f t="shared" si="7"/>
        <v/>
      </c>
      <c r="I105" s="559" t="str">
        <f t="shared" si="8"/>
        <v/>
      </c>
    </row>
    <row r="106" spans="2:9">
      <c r="B106" s="555" t="str">
        <f t="shared" si="3"/>
        <v/>
      </c>
      <c r="C106" s="556" t="str">
        <f t="shared" si="4"/>
        <v/>
      </c>
      <c r="D106" s="557" t="str">
        <f t="shared" si="5"/>
        <v/>
      </c>
      <c r="E106" s="560"/>
      <c r="F106" s="559"/>
      <c r="G106" s="559" t="str">
        <f t="shared" si="6"/>
        <v/>
      </c>
      <c r="H106" s="559" t="str">
        <f t="shared" si="7"/>
        <v/>
      </c>
      <c r="I106" s="559" t="str">
        <f t="shared" si="8"/>
        <v/>
      </c>
    </row>
    <row r="107" spans="2:9">
      <c r="B107" s="555" t="str">
        <f t="shared" si="3"/>
        <v/>
      </c>
      <c r="C107" s="556" t="str">
        <f t="shared" si="4"/>
        <v/>
      </c>
      <c r="D107" s="557" t="str">
        <f t="shared" si="5"/>
        <v/>
      </c>
      <c r="E107" s="560"/>
      <c r="F107" s="559"/>
      <c r="G107" s="559" t="str">
        <f t="shared" si="6"/>
        <v/>
      </c>
      <c r="H107" s="559" t="str">
        <f t="shared" si="7"/>
        <v/>
      </c>
      <c r="I107" s="559" t="str">
        <f t="shared" si="8"/>
        <v/>
      </c>
    </row>
    <row r="108" spans="2:9">
      <c r="B108" s="555" t="str">
        <f t="shared" si="3"/>
        <v/>
      </c>
      <c r="C108" s="556" t="str">
        <f t="shared" si="4"/>
        <v/>
      </c>
      <c r="D108" s="557" t="str">
        <f t="shared" si="5"/>
        <v/>
      </c>
      <c r="E108" s="560"/>
      <c r="F108" s="559"/>
      <c r="G108" s="559" t="str">
        <f t="shared" si="6"/>
        <v/>
      </c>
      <c r="H108" s="559" t="str">
        <f t="shared" si="7"/>
        <v/>
      </c>
      <c r="I108" s="559" t="str">
        <f t="shared" si="8"/>
        <v/>
      </c>
    </row>
    <row r="109" spans="2:9">
      <c r="B109" s="555" t="str">
        <f t="shared" si="3"/>
        <v/>
      </c>
      <c r="C109" s="556" t="str">
        <f t="shared" si="4"/>
        <v/>
      </c>
      <c r="D109" s="557" t="str">
        <f t="shared" si="5"/>
        <v/>
      </c>
      <c r="E109" s="560"/>
      <c r="F109" s="559"/>
      <c r="G109" s="559" t="str">
        <f t="shared" si="6"/>
        <v/>
      </c>
      <c r="H109" s="559" t="str">
        <f t="shared" si="7"/>
        <v/>
      </c>
      <c r="I109" s="559" t="str">
        <f t="shared" si="8"/>
        <v/>
      </c>
    </row>
    <row r="110" spans="2:9">
      <c r="B110" s="555" t="str">
        <f t="shared" si="3"/>
        <v/>
      </c>
      <c r="C110" s="556" t="str">
        <f t="shared" si="4"/>
        <v/>
      </c>
      <c r="D110" s="557" t="str">
        <f t="shared" si="5"/>
        <v/>
      </c>
      <c r="E110" s="560"/>
      <c r="F110" s="559"/>
      <c r="G110" s="559" t="str">
        <f t="shared" si="6"/>
        <v/>
      </c>
      <c r="H110" s="559" t="str">
        <f t="shared" si="7"/>
        <v/>
      </c>
      <c r="I110" s="559" t="str">
        <f t="shared" si="8"/>
        <v/>
      </c>
    </row>
    <row r="111" spans="2:9">
      <c r="B111" s="555" t="str">
        <f t="shared" si="3"/>
        <v/>
      </c>
      <c r="C111" s="556" t="str">
        <f t="shared" si="4"/>
        <v/>
      </c>
      <c r="D111" s="557" t="str">
        <f t="shared" si="5"/>
        <v/>
      </c>
      <c r="E111" s="560"/>
      <c r="F111" s="559"/>
      <c r="G111" s="559" t="str">
        <f t="shared" si="6"/>
        <v/>
      </c>
      <c r="H111" s="559" t="str">
        <f t="shared" si="7"/>
        <v/>
      </c>
      <c r="I111" s="559" t="str">
        <f t="shared" si="8"/>
        <v/>
      </c>
    </row>
    <row r="112" spans="2:9">
      <c r="B112" s="555" t="str">
        <f t="shared" si="3"/>
        <v/>
      </c>
      <c r="C112" s="556" t="str">
        <f t="shared" si="4"/>
        <v/>
      </c>
      <c r="D112" s="557" t="str">
        <f t="shared" si="5"/>
        <v/>
      </c>
      <c r="E112" s="560"/>
      <c r="F112" s="559"/>
      <c r="G112" s="559" t="str">
        <f t="shared" si="6"/>
        <v/>
      </c>
      <c r="H112" s="559" t="str">
        <f t="shared" si="7"/>
        <v/>
      </c>
      <c r="I112" s="559" t="str">
        <f t="shared" si="8"/>
        <v/>
      </c>
    </row>
    <row r="113" spans="2:9">
      <c r="B113" s="555" t="str">
        <f t="shared" si="3"/>
        <v/>
      </c>
      <c r="C113" s="556" t="str">
        <f t="shared" si="4"/>
        <v/>
      </c>
      <c r="D113" s="557" t="str">
        <f t="shared" si="5"/>
        <v/>
      </c>
      <c r="E113" s="560"/>
      <c r="F113" s="559"/>
      <c r="G113" s="559" t="str">
        <f t="shared" si="6"/>
        <v/>
      </c>
      <c r="H113" s="559" t="str">
        <f t="shared" si="7"/>
        <v/>
      </c>
      <c r="I113" s="559" t="str">
        <f t="shared" si="8"/>
        <v/>
      </c>
    </row>
    <row r="114" spans="2:9">
      <c r="B114" s="555" t="str">
        <f t="shared" si="3"/>
        <v/>
      </c>
      <c r="C114" s="556" t="str">
        <f t="shared" si="4"/>
        <v/>
      </c>
      <c r="D114" s="557" t="str">
        <f t="shared" si="5"/>
        <v/>
      </c>
      <c r="E114" s="560"/>
      <c r="F114" s="559"/>
      <c r="G114" s="559" t="str">
        <f t="shared" si="6"/>
        <v/>
      </c>
      <c r="H114" s="559" t="str">
        <f t="shared" si="7"/>
        <v/>
      </c>
      <c r="I114" s="559" t="str">
        <f t="shared" si="8"/>
        <v/>
      </c>
    </row>
    <row r="115" spans="2:9">
      <c r="B115" s="555" t="str">
        <f t="shared" si="3"/>
        <v/>
      </c>
      <c r="C115" s="556" t="str">
        <f t="shared" si="4"/>
        <v/>
      </c>
      <c r="D115" s="557" t="str">
        <f t="shared" si="5"/>
        <v/>
      </c>
      <c r="E115" s="560"/>
      <c r="F115" s="559"/>
      <c r="G115" s="559" t="str">
        <f t="shared" si="6"/>
        <v/>
      </c>
      <c r="H115" s="559" t="str">
        <f t="shared" si="7"/>
        <v/>
      </c>
      <c r="I115" s="559" t="str">
        <f t="shared" si="8"/>
        <v/>
      </c>
    </row>
    <row r="116" spans="2:9">
      <c r="B116" s="555" t="str">
        <f t="shared" si="3"/>
        <v/>
      </c>
      <c r="C116" s="556" t="str">
        <f t="shared" si="4"/>
        <v/>
      </c>
      <c r="D116" s="557" t="str">
        <f t="shared" si="5"/>
        <v/>
      </c>
      <c r="E116" s="560"/>
      <c r="F116" s="559"/>
      <c r="G116" s="559" t="str">
        <f t="shared" si="6"/>
        <v/>
      </c>
      <c r="H116" s="559" t="str">
        <f t="shared" si="7"/>
        <v/>
      </c>
      <c r="I116" s="559" t="str">
        <f t="shared" si="8"/>
        <v/>
      </c>
    </row>
    <row r="117" spans="2:9">
      <c r="B117" s="555" t="str">
        <f t="shared" si="3"/>
        <v/>
      </c>
      <c r="C117" s="556" t="str">
        <f t="shared" si="4"/>
        <v/>
      </c>
      <c r="D117" s="557" t="str">
        <f t="shared" si="5"/>
        <v/>
      </c>
      <c r="E117" s="560"/>
      <c r="F117" s="559"/>
      <c r="G117" s="559" t="str">
        <f t="shared" si="6"/>
        <v/>
      </c>
      <c r="H117" s="559" t="str">
        <f t="shared" si="7"/>
        <v/>
      </c>
      <c r="I117" s="559" t="str">
        <f t="shared" si="8"/>
        <v/>
      </c>
    </row>
    <row r="118" spans="2:9">
      <c r="B118" s="555" t="str">
        <f t="shared" si="3"/>
        <v/>
      </c>
      <c r="C118" s="556" t="str">
        <f t="shared" si="4"/>
        <v/>
      </c>
      <c r="D118" s="557" t="str">
        <f t="shared" si="5"/>
        <v/>
      </c>
      <c r="E118" s="560"/>
      <c r="F118" s="559"/>
      <c r="G118" s="559" t="str">
        <f t="shared" si="6"/>
        <v/>
      </c>
      <c r="H118" s="559" t="str">
        <f t="shared" si="7"/>
        <v/>
      </c>
      <c r="I118" s="559" t="str">
        <f t="shared" si="8"/>
        <v/>
      </c>
    </row>
    <row r="119" spans="2:9">
      <c r="B119" s="555" t="str">
        <f t="shared" si="3"/>
        <v/>
      </c>
      <c r="C119" s="556" t="str">
        <f t="shared" si="4"/>
        <v/>
      </c>
      <c r="D119" s="557" t="str">
        <f t="shared" si="5"/>
        <v/>
      </c>
      <c r="E119" s="560"/>
      <c r="F119" s="559"/>
      <c r="G119" s="559" t="str">
        <f t="shared" si="6"/>
        <v/>
      </c>
      <c r="H119" s="559" t="str">
        <f t="shared" si="7"/>
        <v/>
      </c>
      <c r="I119" s="559" t="str">
        <f t="shared" si="8"/>
        <v/>
      </c>
    </row>
    <row r="120" spans="2:9">
      <c r="B120" s="555" t="str">
        <f t="shared" si="3"/>
        <v/>
      </c>
      <c r="C120" s="556" t="str">
        <f t="shared" si="4"/>
        <v/>
      </c>
      <c r="D120" s="557" t="str">
        <f t="shared" si="5"/>
        <v/>
      </c>
      <c r="E120" s="560"/>
      <c r="F120" s="559"/>
      <c r="G120" s="559" t="str">
        <f t="shared" si="6"/>
        <v/>
      </c>
      <c r="H120" s="559" t="str">
        <f t="shared" si="7"/>
        <v/>
      </c>
      <c r="I120" s="559" t="str">
        <f t="shared" si="8"/>
        <v/>
      </c>
    </row>
    <row r="121" spans="2:9">
      <c r="B121" s="555" t="str">
        <f t="shared" si="3"/>
        <v/>
      </c>
      <c r="C121" s="556" t="str">
        <f t="shared" si="4"/>
        <v/>
      </c>
      <c r="D121" s="557" t="str">
        <f t="shared" si="5"/>
        <v/>
      </c>
      <c r="E121" s="560"/>
      <c r="F121" s="559"/>
      <c r="G121" s="559" t="str">
        <f t="shared" si="6"/>
        <v/>
      </c>
      <c r="H121" s="559" t="str">
        <f t="shared" si="7"/>
        <v/>
      </c>
      <c r="I121" s="559" t="str">
        <f t="shared" si="8"/>
        <v/>
      </c>
    </row>
    <row r="122" spans="2:9">
      <c r="B122" s="555" t="str">
        <f t="shared" si="3"/>
        <v/>
      </c>
      <c r="C122" s="556" t="str">
        <f t="shared" si="4"/>
        <v/>
      </c>
      <c r="D122" s="557" t="str">
        <f t="shared" si="5"/>
        <v/>
      </c>
      <c r="E122" s="560"/>
      <c r="F122" s="559"/>
      <c r="G122" s="559" t="str">
        <f t="shared" si="6"/>
        <v/>
      </c>
      <c r="H122" s="559" t="str">
        <f t="shared" si="7"/>
        <v/>
      </c>
      <c r="I122" s="559" t="str">
        <f t="shared" si="8"/>
        <v/>
      </c>
    </row>
    <row r="123" spans="2:9">
      <c r="B123" s="555" t="str">
        <f t="shared" si="3"/>
        <v/>
      </c>
      <c r="C123" s="556" t="str">
        <f t="shared" si="4"/>
        <v/>
      </c>
      <c r="D123" s="557" t="str">
        <f t="shared" si="5"/>
        <v/>
      </c>
      <c r="E123" s="560"/>
      <c r="F123" s="559"/>
      <c r="G123" s="559" t="str">
        <f t="shared" si="6"/>
        <v/>
      </c>
      <c r="H123" s="559" t="str">
        <f t="shared" si="7"/>
        <v/>
      </c>
      <c r="I123" s="559" t="str">
        <f t="shared" si="8"/>
        <v/>
      </c>
    </row>
    <row r="124" spans="2:9">
      <c r="B124" s="555" t="str">
        <f t="shared" si="3"/>
        <v/>
      </c>
      <c r="C124" s="556" t="str">
        <f t="shared" si="4"/>
        <v/>
      </c>
      <c r="D124" s="557" t="str">
        <f t="shared" si="5"/>
        <v/>
      </c>
      <c r="E124" s="560"/>
      <c r="F124" s="559"/>
      <c r="G124" s="559" t="str">
        <f t="shared" si="6"/>
        <v/>
      </c>
      <c r="H124" s="559" t="str">
        <f t="shared" si="7"/>
        <v/>
      </c>
      <c r="I124" s="559" t="str">
        <f t="shared" si="8"/>
        <v/>
      </c>
    </row>
    <row r="125" spans="2:9">
      <c r="B125" s="555" t="str">
        <f t="shared" ref="B125:B188" si="9">IF(I124="","",IF(roundOpt,IF(OR(B124&gt;=nper,ROUND(I124,2)&lt;=0),"",B124+1),IF(OR(B124&gt;=nper,I124&lt;=0),"",B124+1)))</f>
        <v/>
      </c>
      <c r="C125" s="556" t="str">
        <f t="shared" ref="C125:C188" si="10">IF(B125="","",IF(OR(periods_per_year=26,periods_per_year=52),IF(periods_per_year=26,IF(B125=1,fpdate,C124+14),IF(periods_per_year=52,IF(B125=1,fpdate,C124+7),"n/a")),IF(periods_per_year=24,DATE(YEAR(fpdate),MONTH(fpdate)+(B125-1)/2+IF(AND(DAY(fpdate)&gt;=15,MOD(B125,2)=0),1,0),IF(MOD(B125,2)=0,IF(DAY(fpdate)&gt;=15,DAY(fpdate)-14,DAY(fpdate)+14),DAY(fpdate))),IF(DAY(DATE(YEAR(fpdate),MONTH(fpdate)+(B125-1)*months_per_period,DAY(fpdate)))&lt;&gt;DAY(fpdate),DATE(YEAR(fpdate),MONTH(fpdate)+(B125-1)*months_per_period+1,0),DATE(YEAR(fpdate),MONTH(fpdate)+(B125-1)*months_per_period,DAY(fpdate))))))</f>
        <v/>
      </c>
      <c r="D125" s="557" t="str">
        <f t="shared" ref="D125:D188" si="11">IF(B125="","",IF(roundOpt,IF(OR(B125=nper,payment&gt;ROUND((1+rate)*I124,2)),ROUND((1+rate)*I124,2),payment),IF(OR(B125=nper,payment&gt;(1+rate)*I124),(1+rate)*I124,payment)))</f>
        <v/>
      </c>
      <c r="E125" s="560"/>
      <c r="F125" s="559"/>
      <c r="G125" s="559" t="str">
        <f t="shared" ref="G125:G188" si="12">IF(B125="","",IF(AND(B125=1,pmtType=1),0,IF(roundOpt,ROUND(rate*I124,2),rate*I124)))</f>
        <v/>
      </c>
      <c r="H125" s="559" t="str">
        <f t="shared" ref="H125:H188" si="13">IF(B125="","",D125-G125+E125)</f>
        <v/>
      </c>
      <c r="I125" s="559" t="str">
        <f t="shared" ref="I125:I188" si="14">IF(B125="","",I124-H125)</f>
        <v/>
      </c>
    </row>
    <row r="126" spans="2:9">
      <c r="B126" s="555" t="str">
        <f t="shared" si="9"/>
        <v/>
      </c>
      <c r="C126" s="556" t="str">
        <f t="shared" si="10"/>
        <v/>
      </c>
      <c r="D126" s="557" t="str">
        <f t="shared" si="11"/>
        <v/>
      </c>
      <c r="E126" s="560"/>
      <c r="F126" s="559"/>
      <c r="G126" s="559" t="str">
        <f t="shared" si="12"/>
        <v/>
      </c>
      <c r="H126" s="559" t="str">
        <f t="shared" si="13"/>
        <v/>
      </c>
      <c r="I126" s="559" t="str">
        <f t="shared" si="14"/>
        <v/>
      </c>
    </row>
    <row r="127" spans="2:9">
      <c r="B127" s="555" t="str">
        <f t="shared" si="9"/>
        <v/>
      </c>
      <c r="C127" s="556" t="str">
        <f t="shared" si="10"/>
        <v/>
      </c>
      <c r="D127" s="557" t="str">
        <f t="shared" si="11"/>
        <v/>
      </c>
      <c r="E127" s="560"/>
      <c r="F127" s="559"/>
      <c r="G127" s="559" t="str">
        <f t="shared" si="12"/>
        <v/>
      </c>
      <c r="H127" s="559" t="str">
        <f t="shared" si="13"/>
        <v/>
      </c>
      <c r="I127" s="559" t="str">
        <f t="shared" si="14"/>
        <v/>
      </c>
    </row>
    <row r="128" spans="2:9">
      <c r="B128" s="555" t="str">
        <f t="shared" si="9"/>
        <v/>
      </c>
      <c r="C128" s="556" t="str">
        <f t="shared" si="10"/>
        <v/>
      </c>
      <c r="D128" s="557" t="str">
        <f t="shared" si="11"/>
        <v/>
      </c>
      <c r="E128" s="560"/>
      <c r="F128" s="559"/>
      <c r="G128" s="559" t="str">
        <f t="shared" si="12"/>
        <v/>
      </c>
      <c r="H128" s="559" t="str">
        <f t="shared" si="13"/>
        <v/>
      </c>
      <c r="I128" s="559" t="str">
        <f t="shared" si="14"/>
        <v/>
      </c>
    </row>
    <row r="129" spans="2:9">
      <c r="B129" s="555" t="str">
        <f t="shared" si="9"/>
        <v/>
      </c>
      <c r="C129" s="556" t="str">
        <f t="shared" si="10"/>
        <v/>
      </c>
      <c r="D129" s="557" t="str">
        <f t="shared" si="11"/>
        <v/>
      </c>
      <c r="E129" s="560"/>
      <c r="F129" s="559"/>
      <c r="G129" s="559" t="str">
        <f t="shared" si="12"/>
        <v/>
      </c>
      <c r="H129" s="559" t="str">
        <f t="shared" si="13"/>
        <v/>
      </c>
      <c r="I129" s="559" t="str">
        <f t="shared" si="14"/>
        <v/>
      </c>
    </row>
    <row r="130" spans="2:9">
      <c r="B130" s="555" t="str">
        <f t="shared" si="9"/>
        <v/>
      </c>
      <c r="C130" s="556" t="str">
        <f t="shared" si="10"/>
        <v/>
      </c>
      <c r="D130" s="557" t="str">
        <f t="shared" si="11"/>
        <v/>
      </c>
      <c r="E130" s="560"/>
      <c r="F130" s="559"/>
      <c r="G130" s="559" t="str">
        <f t="shared" si="12"/>
        <v/>
      </c>
      <c r="H130" s="559" t="str">
        <f t="shared" si="13"/>
        <v/>
      </c>
      <c r="I130" s="559" t="str">
        <f t="shared" si="14"/>
        <v/>
      </c>
    </row>
    <row r="131" spans="2:9">
      <c r="B131" s="555" t="str">
        <f t="shared" si="9"/>
        <v/>
      </c>
      <c r="C131" s="556" t="str">
        <f t="shared" si="10"/>
        <v/>
      </c>
      <c r="D131" s="557" t="str">
        <f t="shared" si="11"/>
        <v/>
      </c>
      <c r="E131" s="560"/>
      <c r="F131" s="559"/>
      <c r="G131" s="559" t="str">
        <f t="shared" si="12"/>
        <v/>
      </c>
      <c r="H131" s="559" t="str">
        <f t="shared" si="13"/>
        <v/>
      </c>
      <c r="I131" s="559" t="str">
        <f t="shared" si="14"/>
        <v/>
      </c>
    </row>
    <row r="132" spans="2:9">
      <c r="B132" s="555" t="str">
        <f t="shared" si="9"/>
        <v/>
      </c>
      <c r="C132" s="556" t="str">
        <f t="shared" si="10"/>
        <v/>
      </c>
      <c r="D132" s="557" t="str">
        <f t="shared" si="11"/>
        <v/>
      </c>
      <c r="E132" s="560"/>
      <c r="F132" s="559"/>
      <c r="G132" s="559" t="str">
        <f t="shared" si="12"/>
        <v/>
      </c>
      <c r="H132" s="559" t="str">
        <f t="shared" si="13"/>
        <v/>
      </c>
      <c r="I132" s="559" t="str">
        <f t="shared" si="14"/>
        <v/>
      </c>
    </row>
    <row r="133" spans="2:9">
      <c r="B133" s="555" t="str">
        <f t="shared" si="9"/>
        <v/>
      </c>
      <c r="C133" s="556" t="str">
        <f t="shared" si="10"/>
        <v/>
      </c>
      <c r="D133" s="557" t="str">
        <f t="shared" si="11"/>
        <v/>
      </c>
      <c r="E133" s="560"/>
      <c r="F133" s="559"/>
      <c r="G133" s="559" t="str">
        <f t="shared" si="12"/>
        <v/>
      </c>
      <c r="H133" s="559" t="str">
        <f t="shared" si="13"/>
        <v/>
      </c>
      <c r="I133" s="559" t="str">
        <f t="shared" si="14"/>
        <v/>
      </c>
    </row>
    <row r="134" spans="2:9">
      <c r="B134" s="555" t="str">
        <f t="shared" si="9"/>
        <v/>
      </c>
      <c r="C134" s="556" t="str">
        <f t="shared" si="10"/>
        <v/>
      </c>
      <c r="D134" s="557" t="str">
        <f t="shared" si="11"/>
        <v/>
      </c>
      <c r="E134" s="560"/>
      <c r="F134" s="559"/>
      <c r="G134" s="559" t="str">
        <f t="shared" si="12"/>
        <v/>
      </c>
      <c r="H134" s="559" t="str">
        <f t="shared" si="13"/>
        <v/>
      </c>
      <c r="I134" s="559" t="str">
        <f t="shared" si="14"/>
        <v/>
      </c>
    </row>
    <row r="135" spans="2:9">
      <c r="B135" s="555" t="str">
        <f t="shared" si="9"/>
        <v/>
      </c>
      <c r="C135" s="556" t="str">
        <f t="shared" si="10"/>
        <v/>
      </c>
      <c r="D135" s="557" t="str">
        <f t="shared" si="11"/>
        <v/>
      </c>
      <c r="E135" s="560"/>
      <c r="F135" s="559"/>
      <c r="G135" s="559" t="str">
        <f t="shared" si="12"/>
        <v/>
      </c>
      <c r="H135" s="559" t="str">
        <f t="shared" si="13"/>
        <v/>
      </c>
      <c r="I135" s="559" t="str">
        <f t="shared" si="14"/>
        <v/>
      </c>
    </row>
    <row r="136" spans="2:9">
      <c r="B136" s="555" t="str">
        <f t="shared" si="9"/>
        <v/>
      </c>
      <c r="C136" s="556" t="str">
        <f t="shared" si="10"/>
        <v/>
      </c>
      <c r="D136" s="557" t="str">
        <f t="shared" si="11"/>
        <v/>
      </c>
      <c r="E136" s="560"/>
      <c r="F136" s="559"/>
      <c r="G136" s="559" t="str">
        <f t="shared" si="12"/>
        <v/>
      </c>
      <c r="H136" s="559" t="str">
        <f t="shared" si="13"/>
        <v/>
      </c>
      <c r="I136" s="559" t="str">
        <f t="shared" si="14"/>
        <v/>
      </c>
    </row>
    <row r="137" spans="2:9">
      <c r="B137" s="555" t="str">
        <f t="shared" si="9"/>
        <v/>
      </c>
      <c r="C137" s="556" t="str">
        <f t="shared" si="10"/>
        <v/>
      </c>
      <c r="D137" s="557" t="str">
        <f t="shared" si="11"/>
        <v/>
      </c>
      <c r="E137" s="560"/>
      <c r="F137" s="559"/>
      <c r="G137" s="559" t="str">
        <f t="shared" si="12"/>
        <v/>
      </c>
      <c r="H137" s="559" t="str">
        <f t="shared" si="13"/>
        <v/>
      </c>
      <c r="I137" s="559" t="str">
        <f t="shared" si="14"/>
        <v/>
      </c>
    </row>
    <row r="138" spans="2:9">
      <c r="B138" s="555" t="str">
        <f t="shared" si="9"/>
        <v/>
      </c>
      <c r="C138" s="556" t="str">
        <f t="shared" si="10"/>
        <v/>
      </c>
      <c r="D138" s="557" t="str">
        <f t="shared" si="11"/>
        <v/>
      </c>
      <c r="E138" s="560"/>
      <c r="F138" s="559"/>
      <c r="G138" s="559" t="str">
        <f t="shared" si="12"/>
        <v/>
      </c>
      <c r="H138" s="559" t="str">
        <f t="shared" si="13"/>
        <v/>
      </c>
      <c r="I138" s="559" t="str">
        <f t="shared" si="14"/>
        <v/>
      </c>
    </row>
    <row r="139" spans="2:9">
      <c r="B139" s="555" t="str">
        <f t="shared" si="9"/>
        <v/>
      </c>
      <c r="C139" s="556" t="str">
        <f t="shared" si="10"/>
        <v/>
      </c>
      <c r="D139" s="557" t="str">
        <f t="shared" si="11"/>
        <v/>
      </c>
      <c r="E139" s="560"/>
      <c r="F139" s="559"/>
      <c r="G139" s="559" t="str">
        <f t="shared" si="12"/>
        <v/>
      </c>
      <c r="H139" s="559" t="str">
        <f t="shared" si="13"/>
        <v/>
      </c>
      <c r="I139" s="559" t="str">
        <f t="shared" si="14"/>
        <v/>
      </c>
    </row>
    <row r="140" spans="2:9">
      <c r="B140" s="555" t="str">
        <f t="shared" si="9"/>
        <v/>
      </c>
      <c r="C140" s="556" t="str">
        <f t="shared" si="10"/>
        <v/>
      </c>
      <c r="D140" s="557" t="str">
        <f t="shared" si="11"/>
        <v/>
      </c>
      <c r="E140" s="560"/>
      <c r="F140" s="559"/>
      <c r="G140" s="559" t="str">
        <f t="shared" si="12"/>
        <v/>
      </c>
      <c r="H140" s="559" t="str">
        <f t="shared" si="13"/>
        <v/>
      </c>
      <c r="I140" s="559" t="str">
        <f t="shared" si="14"/>
        <v/>
      </c>
    </row>
    <row r="141" spans="2:9">
      <c r="B141" s="555" t="str">
        <f t="shared" si="9"/>
        <v/>
      </c>
      <c r="C141" s="556" t="str">
        <f t="shared" si="10"/>
        <v/>
      </c>
      <c r="D141" s="557" t="str">
        <f t="shared" si="11"/>
        <v/>
      </c>
      <c r="E141" s="560"/>
      <c r="F141" s="559"/>
      <c r="G141" s="559" t="str">
        <f t="shared" si="12"/>
        <v/>
      </c>
      <c r="H141" s="559" t="str">
        <f t="shared" si="13"/>
        <v/>
      </c>
      <c r="I141" s="559" t="str">
        <f t="shared" si="14"/>
        <v/>
      </c>
    </row>
    <row r="142" spans="2:9">
      <c r="B142" s="555" t="str">
        <f t="shared" si="9"/>
        <v/>
      </c>
      <c r="C142" s="556" t="str">
        <f t="shared" si="10"/>
        <v/>
      </c>
      <c r="D142" s="557" t="str">
        <f t="shared" si="11"/>
        <v/>
      </c>
      <c r="E142" s="560"/>
      <c r="F142" s="559"/>
      <c r="G142" s="559" t="str">
        <f t="shared" si="12"/>
        <v/>
      </c>
      <c r="H142" s="559" t="str">
        <f t="shared" si="13"/>
        <v/>
      </c>
      <c r="I142" s="559" t="str">
        <f t="shared" si="14"/>
        <v/>
      </c>
    </row>
    <row r="143" spans="2:9">
      <c r="B143" s="555" t="str">
        <f t="shared" si="9"/>
        <v/>
      </c>
      <c r="C143" s="556" t="str">
        <f t="shared" si="10"/>
        <v/>
      </c>
      <c r="D143" s="557" t="str">
        <f t="shared" si="11"/>
        <v/>
      </c>
      <c r="E143" s="560"/>
      <c r="F143" s="559"/>
      <c r="G143" s="559" t="str">
        <f t="shared" si="12"/>
        <v/>
      </c>
      <c r="H143" s="559" t="str">
        <f t="shared" si="13"/>
        <v/>
      </c>
      <c r="I143" s="559" t="str">
        <f t="shared" si="14"/>
        <v/>
      </c>
    </row>
    <row r="144" spans="2:9">
      <c r="B144" s="555" t="str">
        <f t="shared" si="9"/>
        <v/>
      </c>
      <c r="C144" s="556" t="str">
        <f t="shared" si="10"/>
        <v/>
      </c>
      <c r="D144" s="557" t="str">
        <f t="shared" si="11"/>
        <v/>
      </c>
      <c r="E144" s="560"/>
      <c r="F144" s="559"/>
      <c r="G144" s="559" t="str">
        <f t="shared" si="12"/>
        <v/>
      </c>
      <c r="H144" s="559" t="str">
        <f t="shared" si="13"/>
        <v/>
      </c>
      <c r="I144" s="559" t="str">
        <f t="shared" si="14"/>
        <v/>
      </c>
    </row>
    <row r="145" spans="2:9">
      <c r="B145" s="555" t="str">
        <f t="shared" si="9"/>
        <v/>
      </c>
      <c r="C145" s="556" t="str">
        <f t="shared" si="10"/>
        <v/>
      </c>
      <c r="D145" s="557" t="str">
        <f t="shared" si="11"/>
        <v/>
      </c>
      <c r="E145" s="560"/>
      <c r="F145" s="559"/>
      <c r="G145" s="559" t="str">
        <f t="shared" si="12"/>
        <v/>
      </c>
      <c r="H145" s="559" t="str">
        <f t="shared" si="13"/>
        <v/>
      </c>
      <c r="I145" s="559" t="str">
        <f t="shared" si="14"/>
        <v/>
      </c>
    </row>
    <row r="146" spans="2:9">
      <c r="B146" s="555" t="str">
        <f t="shared" si="9"/>
        <v/>
      </c>
      <c r="C146" s="556" t="str">
        <f t="shared" si="10"/>
        <v/>
      </c>
      <c r="D146" s="557" t="str">
        <f t="shared" si="11"/>
        <v/>
      </c>
      <c r="E146" s="560"/>
      <c r="F146" s="559"/>
      <c r="G146" s="559" t="str">
        <f t="shared" si="12"/>
        <v/>
      </c>
      <c r="H146" s="559" t="str">
        <f t="shared" si="13"/>
        <v/>
      </c>
      <c r="I146" s="559" t="str">
        <f t="shared" si="14"/>
        <v/>
      </c>
    </row>
    <row r="147" spans="2:9">
      <c r="B147" s="555" t="str">
        <f t="shared" si="9"/>
        <v/>
      </c>
      <c r="C147" s="556" t="str">
        <f t="shared" si="10"/>
        <v/>
      </c>
      <c r="D147" s="557" t="str">
        <f t="shared" si="11"/>
        <v/>
      </c>
      <c r="E147" s="560"/>
      <c r="F147" s="559"/>
      <c r="G147" s="559" t="str">
        <f t="shared" si="12"/>
        <v/>
      </c>
      <c r="H147" s="559" t="str">
        <f t="shared" si="13"/>
        <v/>
      </c>
      <c r="I147" s="559" t="str">
        <f t="shared" si="14"/>
        <v/>
      </c>
    </row>
    <row r="148" spans="2:9">
      <c r="B148" s="555" t="str">
        <f t="shared" si="9"/>
        <v/>
      </c>
      <c r="C148" s="556" t="str">
        <f t="shared" si="10"/>
        <v/>
      </c>
      <c r="D148" s="557" t="str">
        <f t="shared" si="11"/>
        <v/>
      </c>
      <c r="E148" s="560"/>
      <c r="F148" s="559"/>
      <c r="G148" s="559" t="str">
        <f t="shared" si="12"/>
        <v/>
      </c>
      <c r="H148" s="559" t="str">
        <f t="shared" si="13"/>
        <v/>
      </c>
      <c r="I148" s="559" t="str">
        <f t="shared" si="14"/>
        <v/>
      </c>
    </row>
    <row r="149" spans="2:9">
      <c r="B149" s="555" t="str">
        <f t="shared" si="9"/>
        <v/>
      </c>
      <c r="C149" s="556" t="str">
        <f t="shared" si="10"/>
        <v/>
      </c>
      <c r="D149" s="557" t="str">
        <f t="shared" si="11"/>
        <v/>
      </c>
      <c r="E149" s="560"/>
      <c r="F149" s="559"/>
      <c r="G149" s="559" t="str">
        <f t="shared" si="12"/>
        <v/>
      </c>
      <c r="H149" s="559" t="str">
        <f t="shared" si="13"/>
        <v/>
      </c>
      <c r="I149" s="559" t="str">
        <f t="shared" si="14"/>
        <v/>
      </c>
    </row>
    <row r="150" spans="2:9">
      <c r="B150" s="555" t="str">
        <f t="shared" si="9"/>
        <v/>
      </c>
      <c r="C150" s="556" t="str">
        <f t="shared" si="10"/>
        <v/>
      </c>
      <c r="D150" s="557" t="str">
        <f t="shared" si="11"/>
        <v/>
      </c>
      <c r="E150" s="560"/>
      <c r="F150" s="559"/>
      <c r="G150" s="559" t="str">
        <f t="shared" si="12"/>
        <v/>
      </c>
      <c r="H150" s="559" t="str">
        <f t="shared" si="13"/>
        <v/>
      </c>
      <c r="I150" s="559" t="str">
        <f t="shared" si="14"/>
        <v/>
      </c>
    </row>
    <row r="151" spans="2:9">
      <c r="B151" s="555" t="str">
        <f t="shared" si="9"/>
        <v/>
      </c>
      <c r="C151" s="556" t="str">
        <f t="shared" si="10"/>
        <v/>
      </c>
      <c r="D151" s="557" t="str">
        <f t="shared" si="11"/>
        <v/>
      </c>
      <c r="E151" s="560"/>
      <c r="F151" s="559"/>
      <c r="G151" s="559" t="str">
        <f t="shared" si="12"/>
        <v/>
      </c>
      <c r="H151" s="559" t="str">
        <f t="shared" si="13"/>
        <v/>
      </c>
      <c r="I151" s="559" t="str">
        <f t="shared" si="14"/>
        <v/>
      </c>
    </row>
    <row r="152" spans="2:9">
      <c r="B152" s="555" t="str">
        <f t="shared" si="9"/>
        <v/>
      </c>
      <c r="C152" s="556" t="str">
        <f t="shared" si="10"/>
        <v/>
      </c>
      <c r="D152" s="557" t="str">
        <f t="shared" si="11"/>
        <v/>
      </c>
      <c r="E152" s="560"/>
      <c r="F152" s="559"/>
      <c r="G152" s="559" t="str">
        <f t="shared" si="12"/>
        <v/>
      </c>
      <c r="H152" s="559" t="str">
        <f t="shared" si="13"/>
        <v/>
      </c>
      <c r="I152" s="559" t="str">
        <f t="shared" si="14"/>
        <v/>
      </c>
    </row>
    <row r="153" spans="2:9">
      <c r="B153" s="555" t="str">
        <f t="shared" si="9"/>
        <v/>
      </c>
      <c r="C153" s="556" t="str">
        <f t="shared" si="10"/>
        <v/>
      </c>
      <c r="D153" s="557" t="str">
        <f t="shared" si="11"/>
        <v/>
      </c>
      <c r="E153" s="560"/>
      <c r="F153" s="559"/>
      <c r="G153" s="559" t="str">
        <f t="shared" si="12"/>
        <v/>
      </c>
      <c r="H153" s="559" t="str">
        <f t="shared" si="13"/>
        <v/>
      </c>
      <c r="I153" s="559" t="str">
        <f t="shared" si="14"/>
        <v/>
      </c>
    </row>
    <row r="154" spans="2:9">
      <c r="B154" s="555" t="str">
        <f t="shared" si="9"/>
        <v/>
      </c>
      <c r="C154" s="556" t="str">
        <f t="shared" si="10"/>
        <v/>
      </c>
      <c r="D154" s="557" t="str">
        <f t="shared" si="11"/>
        <v/>
      </c>
      <c r="E154" s="560"/>
      <c r="F154" s="559"/>
      <c r="G154" s="559" t="str">
        <f t="shared" si="12"/>
        <v/>
      </c>
      <c r="H154" s="559" t="str">
        <f t="shared" si="13"/>
        <v/>
      </c>
      <c r="I154" s="559" t="str">
        <f t="shared" si="14"/>
        <v/>
      </c>
    </row>
    <row r="155" spans="2:9">
      <c r="B155" s="555" t="str">
        <f t="shared" si="9"/>
        <v/>
      </c>
      <c r="C155" s="556" t="str">
        <f t="shared" si="10"/>
        <v/>
      </c>
      <c r="D155" s="557" t="str">
        <f t="shared" si="11"/>
        <v/>
      </c>
      <c r="E155" s="560"/>
      <c r="F155" s="559"/>
      <c r="G155" s="559" t="str">
        <f t="shared" si="12"/>
        <v/>
      </c>
      <c r="H155" s="559" t="str">
        <f t="shared" si="13"/>
        <v/>
      </c>
      <c r="I155" s="559" t="str">
        <f t="shared" si="14"/>
        <v/>
      </c>
    </row>
    <row r="156" spans="2:9">
      <c r="B156" s="555" t="str">
        <f t="shared" si="9"/>
        <v/>
      </c>
      <c r="C156" s="556" t="str">
        <f t="shared" si="10"/>
        <v/>
      </c>
      <c r="D156" s="557" t="str">
        <f t="shared" si="11"/>
        <v/>
      </c>
      <c r="E156" s="560"/>
      <c r="F156" s="559"/>
      <c r="G156" s="559" t="str">
        <f t="shared" si="12"/>
        <v/>
      </c>
      <c r="H156" s="559" t="str">
        <f t="shared" si="13"/>
        <v/>
      </c>
      <c r="I156" s="559" t="str">
        <f t="shared" si="14"/>
        <v/>
      </c>
    </row>
    <row r="157" spans="2:9">
      <c r="B157" s="555" t="str">
        <f t="shared" si="9"/>
        <v/>
      </c>
      <c r="C157" s="556" t="str">
        <f t="shared" si="10"/>
        <v/>
      </c>
      <c r="D157" s="557" t="str">
        <f t="shared" si="11"/>
        <v/>
      </c>
      <c r="E157" s="560"/>
      <c r="F157" s="559"/>
      <c r="G157" s="559" t="str">
        <f t="shared" si="12"/>
        <v/>
      </c>
      <c r="H157" s="559" t="str">
        <f t="shared" si="13"/>
        <v/>
      </c>
      <c r="I157" s="559" t="str">
        <f t="shared" si="14"/>
        <v/>
      </c>
    </row>
    <row r="158" spans="2:9">
      <c r="B158" s="555" t="str">
        <f t="shared" si="9"/>
        <v/>
      </c>
      <c r="C158" s="556" t="str">
        <f t="shared" si="10"/>
        <v/>
      </c>
      <c r="D158" s="557" t="str">
        <f t="shared" si="11"/>
        <v/>
      </c>
      <c r="E158" s="560"/>
      <c r="F158" s="559"/>
      <c r="G158" s="559" t="str">
        <f t="shared" si="12"/>
        <v/>
      </c>
      <c r="H158" s="559" t="str">
        <f t="shared" si="13"/>
        <v/>
      </c>
      <c r="I158" s="559" t="str">
        <f t="shared" si="14"/>
        <v/>
      </c>
    </row>
    <row r="159" spans="2:9">
      <c r="B159" s="555" t="str">
        <f t="shared" si="9"/>
        <v/>
      </c>
      <c r="C159" s="556" t="str">
        <f t="shared" si="10"/>
        <v/>
      </c>
      <c r="D159" s="557" t="str">
        <f t="shared" si="11"/>
        <v/>
      </c>
      <c r="E159" s="560"/>
      <c r="F159" s="559"/>
      <c r="G159" s="559" t="str">
        <f t="shared" si="12"/>
        <v/>
      </c>
      <c r="H159" s="559" t="str">
        <f t="shared" si="13"/>
        <v/>
      </c>
      <c r="I159" s="559" t="str">
        <f t="shared" si="14"/>
        <v/>
      </c>
    </row>
    <row r="160" spans="2:9">
      <c r="B160" s="555" t="str">
        <f t="shared" si="9"/>
        <v/>
      </c>
      <c r="C160" s="556" t="str">
        <f t="shared" si="10"/>
        <v/>
      </c>
      <c r="D160" s="557" t="str">
        <f t="shared" si="11"/>
        <v/>
      </c>
      <c r="E160" s="560"/>
      <c r="F160" s="559"/>
      <c r="G160" s="559" t="str">
        <f t="shared" si="12"/>
        <v/>
      </c>
      <c r="H160" s="559" t="str">
        <f t="shared" si="13"/>
        <v/>
      </c>
      <c r="I160" s="559" t="str">
        <f t="shared" si="14"/>
        <v/>
      </c>
    </row>
    <row r="161" spans="2:9">
      <c r="B161" s="555" t="str">
        <f t="shared" si="9"/>
        <v/>
      </c>
      <c r="C161" s="556" t="str">
        <f t="shared" si="10"/>
        <v/>
      </c>
      <c r="D161" s="557" t="str">
        <f t="shared" si="11"/>
        <v/>
      </c>
      <c r="E161" s="560"/>
      <c r="F161" s="559"/>
      <c r="G161" s="559" t="str">
        <f t="shared" si="12"/>
        <v/>
      </c>
      <c r="H161" s="559" t="str">
        <f t="shared" si="13"/>
        <v/>
      </c>
      <c r="I161" s="559" t="str">
        <f t="shared" si="14"/>
        <v/>
      </c>
    </row>
    <row r="162" spans="2:9">
      <c r="B162" s="555" t="str">
        <f t="shared" si="9"/>
        <v/>
      </c>
      <c r="C162" s="556" t="str">
        <f t="shared" si="10"/>
        <v/>
      </c>
      <c r="D162" s="557" t="str">
        <f t="shared" si="11"/>
        <v/>
      </c>
      <c r="E162" s="560"/>
      <c r="F162" s="559"/>
      <c r="G162" s="559" t="str">
        <f t="shared" si="12"/>
        <v/>
      </c>
      <c r="H162" s="559" t="str">
        <f t="shared" si="13"/>
        <v/>
      </c>
      <c r="I162" s="559" t="str">
        <f t="shared" si="14"/>
        <v/>
      </c>
    </row>
    <row r="163" spans="2:9">
      <c r="B163" s="555" t="str">
        <f t="shared" si="9"/>
        <v/>
      </c>
      <c r="C163" s="556" t="str">
        <f t="shared" si="10"/>
        <v/>
      </c>
      <c r="D163" s="557" t="str">
        <f t="shared" si="11"/>
        <v/>
      </c>
      <c r="E163" s="560"/>
      <c r="F163" s="559"/>
      <c r="G163" s="559" t="str">
        <f t="shared" si="12"/>
        <v/>
      </c>
      <c r="H163" s="559" t="str">
        <f t="shared" si="13"/>
        <v/>
      </c>
      <c r="I163" s="559" t="str">
        <f t="shared" si="14"/>
        <v/>
      </c>
    </row>
    <row r="164" spans="2:9">
      <c r="B164" s="555" t="str">
        <f t="shared" si="9"/>
        <v/>
      </c>
      <c r="C164" s="556" t="str">
        <f t="shared" si="10"/>
        <v/>
      </c>
      <c r="D164" s="557" t="str">
        <f t="shared" si="11"/>
        <v/>
      </c>
      <c r="E164" s="560"/>
      <c r="F164" s="559"/>
      <c r="G164" s="559" t="str">
        <f t="shared" si="12"/>
        <v/>
      </c>
      <c r="H164" s="559" t="str">
        <f t="shared" si="13"/>
        <v/>
      </c>
      <c r="I164" s="559" t="str">
        <f t="shared" si="14"/>
        <v/>
      </c>
    </row>
    <row r="165" spans="2:9">
      <c r="B165" s="555" t="str">
        <f t="shared" si="9"/>
        <v/>
      </c>
      <c r="C165" s="556" t="str">
        <f t="shared" si="10"/>
        <v/>
      </c>
      <c r="D165" s="557" t="str">
        <f t="shared" si="11"/>
        <v/>
      </c>
      <c r="E165" s="560"/>
      <c r="F165" s="559"/>
      <c r="G165" s="559" t="str">
        <f t="shared" si="12"/>
        <v/>
      </c>
      <c r="H165" s="559" t="str">
        <f t="shared" si="13"/>
        <v/>
      </c>
      <c r="I165" s="559" t="str">
        <f t="shared" si="14"/>
        <v/>
      </c>
    </row>
    <row r="166" spans="2:9">
      <c r="B166" s="555" t="str">
        <f t="shared" si="9"/>
        <v/>
      </c>
      <c r="C166" s="556" t="str">
        <f t="shared" si="10"/>
        <v/>
      </c>
      <c r="D166" s="557" t="str">
        <f t="shared" si="11"/>
        <v/>
      </c>
      <c r="E166" s="560"/>
      <c r="F166" s="559"/>
      <c r="G166" s="559" t="str">
        <f t="shared" si="12"/>
        <v/>
      </c>
      <c r="H166" s="559" t="str">
        <f t="shared" si="13"/>
        <v/>
      </c>
      <c r="I166" s="559" t="str">
        <f t="shared" si="14"/>
        <v/>
      </c>
    </row>
    <row r="167" spans="2:9">
      <c r="B167" s="555" t="str">
        <f t="shared" si="9"/>
        <v/>
      </c>
      <c r="C167" s="556" t="str">
        <f t="shared" si="10"/>
        <v/>
      </c>
      <c r="D167" s="557" t="str">
        <f t="shared" si="11"/>
        <v/>
      </c>
      <c r="E167" s="560"/>
      <c r="F167" s="559"/>
      <c r="G167" s="559" t="str">
        <f t="shared" si="12"/>
        <v/>
      </c>
      <c r="H167" s="559" t="str">
        <f t="shared" si="13"/>
        <v/>
      </c>
      <c r="I167" s="559" t="str">
        <f t="shared" si="14"/>
        <v/>
      </c>
    </row>
    <row r="168" spans="2:9">
      <c r="B168" s="555" t="str">
        <f t="shared" si="9"/>
        <v/>
      </c>
      <c r="C168" s="556" t="str">
        <f t="shared" si="10"/>
        <v/>
      </c>
      <c r="D168" s="557" t="str">
        <f t="shared" si="11"/>
        <v/>
      </c>
      <c r="E168" s="560"/>
      <c r="F168" s="559"/>
      <c r="G168" s="559" t="str">
        <f t="shared" si="12"/>
        <v/>
      </c>
      <c r="H168" s="559" t="str">
        <f t="shared" si="13"/>
        <v/>
      </c>
      <c r="I168" s="559" t="str">
        <f t="shared" si="14"/>
        <v/>
      </c>
    </row>
    <row r="169" spans="2:9">
      <c r="B169" s="555" t="str">
        <f t="shared" si="9"/>
        <v/>
      </c>
      <c r="C169" s="556" t="str">
        <f t="shared" si="10"/>
        <v/>
      </c>
      <c r="D169" s="557" t="str">
        <f t="shared" si="11"/>
        <v/>
      </c>
      <c r="E169" s="560"/>
      <c r="F169" s="559"/>
      <c r="G169" s="559" t="str">
        <f t="shared" si="12"/>
        <v/>
      </c>
      <c r="H169" s="559" t="str">
        <f t="shared" si="13"/>
        <v/>
      </c>
      <c r="I169" s="559" t="str">
        <f t="shared" si="14"/>
        <v/>
      </c>
    </row>
    <row r="170" spans="2:9">
      <c r="B170" s="555" t="str">
        <f t="shared" si="9"/>
        <v/>
      </c>
      <c r="C170" s="556" t="str">
        <f t="shared" si="10"/>
        <v/>
      </c>
      <c r="D170" s="557" t="str">
        <f t="shared" si="11"/>
        <v/>
      </c>
      <c r="E170" s="560"/>
      <c r="F170" s="559"/>
      <c r="G170" s="559" t="str">
        <f t="shared" si="12"/>
        <v/>
      </c>
      <c r="H170" s="559" t="str">
        <f t="shared" si="13"/>
        <v/>
      </c>
      <c r="I170" s="559" t="str">
        <f t="shared" si="14"/>
        <v/>
      </c>
    </row>
    <row r="171" spans="2:9">
      <c r="B171" s="555" t="str">
        <f t="shared" si="9"/>
        <v/>
      </c>
      <c r="C171" s="556" t="str">
        <f t="shared" si="10"/>
        <v/>
      </c>
      <c r="D171" s="557" t="str">
        <f t="shared" si="11"/>
        <v/>
      </c>
      <c r="E171" s="560"/>
      <c r="F171" s="559"/>
      <c r="G171" s="559" t="str">
        <f t="shared" si="12"/>
        <v/>
      </c>
      <c r="H171" s="559" t="str">
        <f t="shared" si="13"/>
        <v/>
      </c>
      <c r="I171" s="559" t="str">
        <f t="shared" si="14"/>
        <v/>
      </c>
    </row>
    <row r="172" spans="2:9">
      <c r="B172" s="555" t="str">
        <f t="shared" si="9"/>
        <v/>
      </c>
      <c r="C172" s="556" t="str">
        <f t="shared" si="10"/>
        <v/>
      </c>
      <c r="D172" s="557" t="str">
        <f t="shared" si="11"/>
        <v/>
      </c>
      <c r="E172" s="560"/>
      <c r="F172" s="559"/>
      <c r="G172" s="559" t="str">
        <f t="shared" si="12"/>
        <v/>
      </c>
      <c r="H172" s="559" t="str">
        <f t="shared" si="13"/>
        <v/>
      </c>
      <c r="I172" s="559" t="str">
        <f t="shared" si="14"/>
        <v/>
      </c>
    </row>
    <row r="173" spans="2:9">
      <c r="B173" s="555" t="str">
        <f t="shared" si="9"/>
        <v/>
      </c>
      <c r="C173" s="556" t="str">
        <f t="shared" si="10"/>
        <v/>
      </c>
      <c r="D173" s="557" t="str">
        <f t="shared" si="11"/>
        <v/>
      </c>
      <c r="E173" s="560"/>
      <c r="F173" s="559"/>
      <c r="G173" s="559" t="str">
        <f t="shared" si="12"/>
        <v/>
      </c>
      <c r="H173" s="559" t="str">
        <f t="shared" si="13"/>
        <v/>
      </c>
      <c r="I173" s="559" t="str">
        <f t="shared" si="14"/>
        <v/>
      </c>
    </row>
    <row r="174" spans="2:9">
      <c r="B174" s="555" t="str">
        <f t="shared" si="9"/>
        <v/>
      </c>
      <c r="C174" s="556" t="str">
        <f t="shared" si="10"/>
        <v/>
      </c>
      <c r="D174" s="557" t="str">
        <f t="shared" si="11"/>
        <v/>
      </c>
      <c r="E174" s="560"/>
      <c r="F174" s="559"/>
      <c r="G174" s="559" t="str">
        <f t="shared" si="12"/>
        <v/>
      </c>
      <c r="H174" s="559" t="str">
        <f t="shared" si="13"/>
        <v/>
      </c>
      <c r="I174" s="559" t="str">
        <f t="shared" si="14"/>
        <v/>
      </c>
    </row>
    <row r="175" spans="2:9">
      <c r="B175" s="555" t="str">
        <f t="shared" si="9"/>
        <v/>
      </c>
      <c r="C175" s="556" t="str">
        <f t="shared" si="10"/>
        <v/>
      </c>
      <c r="D175" s="557" t="str">
        <f t="shared" si="11"/>
        <v/>
      </c>
      <c r="E175" s="560"/>
      <c r="F175" s="559"/>
      <c r="G175" s="559" t="str">
        <f t="shared" si="12"/>
        <v/>
      </c>
      <c r="H175" s="559" t="str">
        <f t="shared" si="13"/>
        <v/>
      </c>
      <c r="I175" s="559" t="str">
        <f t="shared" si="14"/>
        <v/>
      </c>
    </row>
    <row r="176" spans="2:9">
      <c r="B176" s="555" t="str">
        <f t="shared" si="9"/>
        <v/>
      </c>
      <c r="C176" s="556" t="str">
        <f t="shared" si="10"/>
        <v/>
      </c>
      <c r="D176" s="557" t="str">
        <f t="shared" si="11"/>
        <v/>
      </c>
      <c r="E176" s="560"/>
      <c r="F176" s="559"/>
      <c r="G176" s="559" t="str">
        <f t="shared" si="12"/>
        <v/>
      </c>
      <c r="H176" s="559" t="str">
        <f t="shared" si="13"/>
        <v/>
      </c>
      <c r="I176" s="559" t="str">
        <f t="shared" si="14"/>
        <v/>
      </c>
    </row>
    <row r="177" spans="2:9">
      <c r="B177" s="555" t="str">
        <f t="shared" si="9"/>
        <v/>
      </c>
      <c r="C177" s="556" t="str">
        <f t="shared" si="10"/>
        <v/>
      </c>
      <c r="D177" s="557" t="str">
        <f t="shared" si="11"/>
        <v/>
      </c>
      <c r="E177" s="560"/>
      <c r="F177" s="559"/>
      <c r="G177" s="559" t="str">
        <f t="shared" si="12"/>
        <v/>
      </c>
      <c r="H177" s="559" t="str">
        <f t="shared" si="13"/>
        <v/>
      </c>
      <c r="I177" s="559" t="str">
        <f t="shared" si="14"/>
        <v/>
      </c>
    </row>
    <row r="178" spans="2:9">
      <c r="B178" s="555" t="str">
        <f t="shared" si="9"/>
        <v/>
      </c>
      <c r="C178" s="556" t="str">
        <f t="shared" si="10"/>
        <v/>
      </c>
      <c r="D178" s="557" t="str">
        <f t="shared" si="11"/>
        <v/>
      </c>
      <c r="E178" s="560"/>
      <c r="F178" s="559"/>
      <c r="G178" s="559" t="str">
        <f t="shared" si="12"/>
        <v/>
      </c>
      <c r="H178" s="559" t="str">
        <f t="shared" si="13"/>
        <v/>
      </c>
      <c r="I178" s="559" t="str">
        <f t="shared" si="14"/>
        <v/>
      </c>
    </row>
    <row r="179" spans="2:9">
      <c r="B179" s="555" t="str">
        <f t="shared" si="9"/>
        <v/>
      </c>
      <c r="C179" s="556" t="str">
        <f t="shared" si="10"/>
        <v/>
      </c>
      <c r="D179" s="557" t="str">
        <f t="shared" si="11"/>
        <v/>
      </c>
      <c r="E179" s="560"/>
      <c r="F179" s="559"/>
      <c r="G179" s="559" t="str">
        <f t="shared" si="12"/>
        <v/>
      </c>
      <c r="H179" s="559" t="str">
        <f t="shared" si="13"/>
        <v/>
      </c>
      <c r="I179" s="559" t="str">
        <f t="shared" si="14"/>
        <v/>
      </c>
    </row>
    <row r="180" spans="2:9">
      <c r="B180" s="555" t="str">
        <f t="shared" si="9"/>
        <v/>
      </c>
      <c r="C180" s="556" t="str">
        <f t="shared" si="10"/>
        <v/>
      </c>
      <c r="D180" s="557" t="str">
        <f t="shared" si="11"/>
        <v/>
      </c>
      <c r="E180" s="560"/>
      <c r="F180" s="559"/>
      <c r="G180" s="559" t="str">
        <f t="shared" si="12"/>
        <v/>
      </c>
      <c r="H180" s="559" t="str">
        <f t="shared" si="13"/>
        <v/>
      </c>
      <c r="I180" s="559" t="str">
        <f t="shared" si="14"/>
        <v/>
      </c>
    </row>
    <row r="181" spans="2:9">
      <c r="B181" s="555" t="str">
        <f t="shared" si="9"/>
        <v/>
      </c>
      <c r="C181" s="556" t="str">
        <f t="shared" si="10"/>
        <v/>
      </c>
      <c r="D181" s="557" t="str">
        <f t="shared" si="11"/>
        <v/>
      </c>
      <c r="E181" s="560"/>
      <c r="F181" s="559"/>
      <c r="G181" s="559" t="str">
        <f t="shared" si="12"/>
        <v/>
      </c>
      <c r="H181" s="559" t="str">
        <f t="shared" si="13"/>
        <v/>
      </c>
      <c r="I181" s="559" t="str">
        <f t="shared" si="14"/>
        <v/>
      </c>
    </row>
    <row r="182" spans="2:9">
      <c r="B182" s="555" t="str">
        <f t="shared" si="9"/>
        <v/>
      </c>
      <c r="C182" s="556" t="str">
        <f t="shared" si="10"/>
        <v/>
      </c>
      <c r="D182" s="557" t="str">
        <f t="shared" si="11"/>
        <v/>
      </c>
      <c r="E182" s="560"/>
      <c r="F182" s="559"/>
      <c r="G182" s="559" t="str">
        <f t="shared" si="12"/>
        <v/>
      </c>
      <c r="H182" s="559" t="str">
        <f t="shared" si="13"/>
        <v/>
      </c>
      <c r="I182" s="559" t="str">
        <f t="shared" si="14"/>
        <v/>
      </c>
    </row>
    <row r="183" spans="2:9">
      <c r="B183" s="555" t="str">
        <f t="shared" si="9"/>
        <v/>
      </c>
      <c r="C183" s="556" t="str">
        <f t="shared" si="10"/>
        <v/>
      </c>
      <c r="D183" s="557" t="str">
        <f t="shared" si="11"/>
        <v/>
      </c>
      <c r="E183" s="560"/>
      <c r="F183" s="559"/>
      <c r="G183" s="559" t="str">
        <f t="shared" si="12"/>
        <v/>
      </c>
      <c r="H183" s="559" t="str">
        <f t="shared" si="13"/>
        <v/>
      </c>
      <c r="I183" s="559" t="str">
        <f t="shared" si="14"/>
        <v/>
      </c>
    </row>
    <row r="184" spans="2:9">
      <c r="B184" s="555" t="str">
        <f t="shared" si="9"/>
        <v/>
      </c>
      <c r="C184" s="556" t="str">
        <f t="shared" si="10"/>
        <v/>
      </c>
      <c r="D184" s="557" t="str">
        <f t="shared" si="11"/>
        <v/>
      </c>
      <c r="E184" s="560"/>
      <c r="F184" s="559"/>
      <c r="G184" s="559" t="str">
        <f t="shared" si="12"/>
        <v/>
      </c>
      <c r="H184" s="559" t="str">
        <f t="shared" si="13"/>
        <v/>
      </c>
      <c r="I184" s="559" t="str">
        <f t="shared" si="14"/>
        <v/>
      </c>
    </row>
    <row r="185" spans="2:9">
      <c r="B185" s="555" t="str">
        <f t="shared" si="9"/>
        <v/>
      </c>
      <c r="C185" s="556" t="str">
        <f t="shared" si="10"/>
        <v/>
      </c>
      <c r="D185" s="557" t="str">
        <f t="shared" si="11"/>
        <v/>
      </c>
      <c r="E185" s="560"/>
      <c r="F185" s="559"/>
      <c r="G185" s="559" t="str">
        <f t="shared" si="12"/>
        <v/>
      </c>
      <c r="H185" s="559" t="str">
        <f t="shared" si="13"/>
        <v/>
      </c>
      <c r="I185" s="559" t="str">
        <f t="shared" si="14"/>
        <v/>
      </c>
    </row>
    <row r="186" spans="2:9">
      <c r="B186" s="555" t="str">
        <f t="shared" si="9"/>
        <v/>
      </c>
      <c r="C186" s="556" t="str">
        <f t="shared" si="10"/>
        <v/>
      </c>
      <c r="D186" s="557" t="str">
        <f t="shared" si="11"/>
        <v/>
      </c>
      <c r="E186" s="560"/>
      <c r="F186" s="559"/>
      <c r="G186" s="559" t="str">
        <f t="shared" si="12"/>
        <v/>
      </c>
      <c r="H186" s="559" t="str">
        <f t="shared" si="13"/>
        <v/>
      </c>
      <c r="I186" s="559" t="str">
        <f t="shared" si="14"/>
        <v/>
      </c>
    </row>
    <row r="187" spans="2:9">
      <c r="B187" s="555" t="str">
        <f t="shared" si="9"/>
        <v/>
      </c>
      <c r="C187" s="556" t="str">
        <f t="shared" si="10"/>
        <v/>
      </c>
      <c r="D187" s="557" t="str">
        <f t="shared" si="11"/>
        <v/>
      </c>
      <c r="E187" s="560"/>
      <c r="F187" s="559"/>
      <c r="G187" s="559" t="str">
        <f t="shared" si="12"/>
        <v/>
      </c>
      <c r="H187" s="559" t="str">
        <f t="shared" si="13"/>
        <v/>
      </c>
      <c r="I187" s="559" t="str">
        <f t="shared" si="14"/>
        <v/>
      </c>
    </row>
    <row r="188" spans="2:9">
      <c r="B188" s="555" t="str">
        <f t="shared" si="9"/>
        <v/>
      </c>
      <c r="C188" s="556" t="str">
        <f t="shared" si="10"/>
        <v/>
      </c>
      <c r="D188" s="557" t="str">
        <f t="shared" si="11"/>
        <v/>
      </c>
      <c r="E188" s="560"/>
      <c r="F188" s="559"/>
      <c r="G188" s="559" t="str">
        <f t="shared" si="12"/>
        <v/>
      </c>
      <c r="H188" s="559" t="str">
        <f t="shared" si="13"/>
        <v/>
      </c>
      <c r="I188" s="559" t="str">
        <f t="shared" si="14"/>
        <v/>
      </c>
    </row>
    <row r="189" spans="2:9">
      <c r="B189" s="555" t="str">
        <f t="shared" ref="B189:B252" si="15">IF(I188="","",IF(roundOpt,IF(OR(B188&gt;=nper,ROUND(I188,2)&lt;=0),"",B188+1),IF(OR(B188&gt;=nper,I188&lt;=0),"",B188+1)))</f>
        <v/>
      </c>
      <c r="C189" s="556" t="str">
        <f t="shared" ref="C189:C252" si="16">IF(B189="","",IF(OR(periods_per_year=26,periods_per_year=52),IF(periods_per_year=26,IF(B189=1,fpdate,C188+14),IF(periods_per_year=52,IF(B189=1,fpdate,C188+7),"n/a")),IF(periods_per_year=24,DATE(YEAR(fpdate),MONTH(fpdate)+(B189-1)/2+IF(AND(DAY(fpdate)&gt;=15,MOD(B189,2)=0),1,0),IF(MOD(B189,2)=0,IF(DAY(fpdate)&gt;=15,DAY(fpdate)-14,DAY(fpdate)+14),DAY(fpdate))),IF(DAY(DATE(YEAR(fpdate),MONTH(fpdate)+(B189-1)*months_per_period,DAY(fpdate)))&lt;&gt;DAY(fpdate),DATE(YEAR(fpdate),MONTH(fpdate)+(B189-1)*months_per_period+1,0),DATE(YEAR(fpdate),MONTH(fpdate)+(B189-1)*months_per_period,DAY(fpdate))))))</f>
        <v/>
      </c>
      <c r="D189" s="557" t="str">
        <f t="shared" ref="D189:D252" si="17">IF(B189="","",IF(roundOpt,IF(OR(B189=nper,payment&gt;ROUND((1+rate)*I188,2)),ROUND((1+rate)*I188,2),payment),IF(OR(B189=nper,payment&gt;(1+rate)*I188),(1+rate)*I188,payment)))</f>
        <v/>
      </c>
      <c r="E189" s="560"/>
      <c r="F189" s="559"/>
      <c r="G189" s="559" t="str">
        <f t="shared" ref="G189:G252" si="18">IF(B189="","",IF(AND(B189=1,pmtType=1),0,IF(roundOpt,ROUND(rate*I188,2),rate*I188)))</f>
        <v/>
      </c>
      <c r="H189" s="559" t="str">
        <f t="shared" ref="H189:H252" si="19">IF(B189="","",D189-G189+E189)</f>
        <v/>
      </c>
      <c r="I189" s="559" t="str">
        <f t="shared" ref="I189:I252" si="20">IF(B189="","",I188-H189)</f>
        <v/>
      </c>
    </row>
    <row r="190" spans="2:9">
      <c r="B190" s="555" t="str">
        <f t="shared" si="15"/>
        <v/>
      </c>
      <c r="C190" s="556" t="str">
        <f t="shared" si="16"/>
        <v/>
      </c>
      <c r="D190" s="557" t="str">
        <f t="shared" si="17"/>
        <v/>
      </c>
      <c r="E190" s="560"/>
      <c r="F190" s="559"/>
      <c r="G190" s="559" t="str">
        <f t="shared" si="18"/>
        <v/>
      </c>
      <c r="H190" s="559" t="str">
        <f t="shared" si="19"/>
        <v/>
      </c>
      <c r="I190" s="559" t="str">
        <f t="shared" si="20"/>
        <v/>
      </c>
    </row>
    <row r="191" spans="2:9">
      <c r="B191" s="555" t="str">
        <f t="shared" si="15"/>
        <v/>
      </c>
      <c r="C191" s="556" t="str">
        <f t="shared" si="16"/>
        <v/>
      </c>
      <c r="D191" s="557" t="str">
        <f t="shared" si="17"/>
        <v/>
      </c>
      <c r="E191" s="560"/>
      <c r="F191" s="559"/>
      <c r="G191" s="559" t="str">
        <f t="shared" si="18"/>
        <v/>
      </c>
      <c r="H191" s="559" t="str">
        <f t="shared" si="19"/>
        <v/>
      </c>
      <c r="I191" s="559" t="str">
        <f t="shared" si="20"/>
        <v/>
      </c>
    </row>
    <row r="192" spans="2:9">
      <c r="B192" s="555" t="str">
        <f t="shared" si="15"/>
        <v/>
      </c>
      <c r="C192" s="556" t="str">
        <f t="shared" si="16"/>
        <v/>
      </c>
      <c r="D192" s="557" t="str">
        <f t="shared" si="17"/>
        <v/>
      </c>
      <c r="E192" s="560"/>
      <c r="F192" s="559"/>
      <c r="G192" s="559" t="str">
        <f t="shared" si="18"/>
        <v/>
      </c>
      <c r="H192" s="559" t="str">
        <f t="shared" si="19"/>
        <v/>
      </c>
      <c r="I192" s="559" t="str">
        <f t="shared" si="20"/>
        <v/>
      </c>
    </row>
    <row r="193" spans="2:9">
      <c r="B193" s="555" t="str">
        <f t="shared" si="15"/>
        <v/>
      </c>
      <c r="C193" s="556" t="str">
        <f t="shared" si="16"/>
        <v/>
      </c>
      <c r="D193" s="557" t="str">
        <f t="shared" si="17"/>
        <v/>
      </c>
      <c r="E193" s="560"/>
      <c r="F193" s="559"/>
      <c r="G193" s="559" t="str">
        <f t="shared" si="18"/>
        <v/>
      </c>
      <c r="H193" s="559" t="str">
        <f t="shared" si="19"/>
        <v/>
      </c>
      <c r="I193" s="559" t="str">
        <f t="shared" si="20"/>
        <v/>
      </c>
    </row>
    <row r="194" spans="2:9">
      <c r="B194" s="555" t="str">
        <f t="shared" si="15"/>
        <v/>
      </c>
      <c r="C194" s="556" t="str">
        <f t="shared" si="16"/>
        <v/>
      </c>
      <c r="D194" s="557" t="str">
        <f t="shared" si="17"/>
        <v/>
      </c>
      <c r="E194" s="560"/>
      <c r="F194" s="559"/>
      <c r="G194" s="559" t="str">
        <f t="shared" si="18"/>
        <v/>
      </c>
      <c r="H194" s="559" t="str">
        <f t="shared" si="19"/>
        <v/>
      </c>
      <c r="I194" s="559" t="str">
        <f t="shared" si="20"/>
        <v/>
      </c>
    </row>
    <row r="195" spans="2:9">
      <c r="B195" s="555" t="str">
        <f t="shared" si="15"/>
        <v/>
      </c>
      <c r="C195" s="556" t="str">
        <f t="shared" si="16"/>
        <v/>
      </c>
      <c r="D195" s="557" t="str">
        <f t="shared" si="17"/>
        <v/>
      </c>
      <c r="E195" s="560"/>
      <c r="F195" s="559"/>
      <c r="G195" s="559" t="str">
        <f t="shared" si="18"/>
        <v/>
      </c>
      <c r="H195" s="559" t="str">
        <f t="shared" si="19"/>
        <v/>
      </c>
      <c r="I195" s="559" t="str">
        <f t="shared" si="20"/>
        <v/>
      </c>
    </row>
    <row r="196" spans="2:9">
      <c r="B196" s="555" t="str">
        <f t="shared" si="15"/>
        <v/>
      </c>
      <c r="C196" s="556" t="str">
        <f t="shared" si="16"/>
        <v/>
      </c>
      <c r="D196" s="557" t="str">
        <f t="shared" si="17"/>
        <v/>
      </c>
      <c r="E196" s="560"/>
      <c r="F196" s="559"/>
      <c r="G196" s="559" t="str">
        <f t="shared" si="18"/>
        <v/>
      </c>
      <c r="H196" s="559" t="str">
        <f t="shared" si="19"/>
        <v/>
      </c>
      <c r="I196" s="559" t="str">
        <f t="shared" si="20"/>
        <v/>
      </c>
    </row>
    <row r="197" spans="2:9">
      <c r="B197" s="555" t="str">
        <f t="shared" si="15"/>
        <v/>
      </c>
      <c r="C197" s="556" t="str">
        <f t="shared" si="16"/>
        <v/>
      </c>
      <c r="D197" s="557" t="str">
        <f t="shared" si="17"/>
        <v/>
      </c>
      <c r="E197" s="560"/>
      <c r="F197" s="559"/>
      <c r="G197" s="559" t="str">
        <f t="shared" si="18"/>
        <v/>
      </c>
      <c r="H197" s="559" t="str">
        <f t="shared" si="19"/>
        <v/>
      </c>
      <c r="I197" s="559" t="str">
        <f t="shared" si="20"/>
        <v/>
      </c>
    </row>
    <row r="198" spans="2:9">
      <c r="B198" s="555" t="str">
        <f t="shared" si="15"/>
        <v/>
      </c>
      <c r="C198" s="556" t="str">
        <f t="shared" si="16"/>
        <v/>
      </c>
      <c r="D198" s="557" t="str">
        <f t="shared" si="17"/>
        <v/>
      </c>
      <c r="E198" s="560"/>
      <c r="F198" s="559"/>
      <c r="G198" s="559" t="str">
        <f t="shared" si="18"/>
        <v/>
      </c>
      <c r="H198" s="559" t="str">
        <f t="shared" si="19"/>
        <v/>
      </c>
      <c r="I198" s="559" t="str">
        <f t="shared" si="20"/>
        <v/>
      </c>
    </row>
    <row r="199" spans="2:9">
      <c r="B199" s="555" t="str">
        <f t="shared" si="15"/>
        <v/>
      </c>
      <c r="C199" s="556" t="str">
        <f t="shared" si="16"/>
        <v/>
      </c>
      <c r="D199" s="557" t="str">
        <f t="shared" si="17"/>
        <v/>
      </c>
      <c r="E199" s="560"/>
      <c r="F199" s="559"/>
      <c r="G199" s="559" t="str">
        <f t="shared" si="18"/>
        <v/>
      </c>
      <c r="H199" s="559" t="str">
        <f t="shared" si="19"/>
        <v/>
      </c>
      <c r="I199" s="559" t="str">
        <f t="shared" si="20"/>
        <v/>
      </c>
    </row>
    <row r="200" spans="2:9">
      <c r="B200" s="555" t="str">
        <f t="shared" si="15"/>
        <v/>
      </c>
      <c r="C200" s="556" t="str">
        <f t="shared" si="16"/>
        <v/>
      </c>
      <c r="D200" s="557" t="str">
        <f t="shared" si="17"/>
        <v/>
      </c>
      <c r="E200" s="560"/>
      <c r="F200" s="559"/>
      <c r="G200" s="559" t="str">
        <f t="shared" si="18"/>
        <v/>
      </c>
      <c r="H200" s="559" t="str">
        <f t="shared" si="19"/>
        <v/>
      </c>
      <c r="I200" s="559" t="str">
        <f t="shared" si="20"/>
        <v/>
      </c>
    </row>
    <row r="201" spans="2:9">
      <c r="B201" s="555" t="str">
        <f t="shared" si="15"/>
        <v/>
      </c>
      <c r="C201" s="556" t="str">
        <f t="shared" si="16"/>
        <v/>
      </c>
      <c r="D201" s="557" t="str">
        <f t="shared" si="17"/>
        <v/>
      </c>
      <c r="E201" s="560"/>
      <c r="F201" s="559"/>
      <c r="G201" s="559" t="str">
        <f t="shared" si="18"/>
        <v/>
      </c>
      <c r="H201" s="559" t="str">
        <f t="shared" si="19"/>
        <v/>
      </c>
      <c r="I201" s="559" t="str">
        <f t="shared" si="20"/>
        <v/>
      </c>
    </row>
    <row r="202" spans="2:9">
      <c r="B202" s="555" t="str">
        <f t="shared" si="15"/>
        <v/>
      </c>
      <c r="C202" s="556" t="str">
        <f t="shared" si="16"/>
        <v/>
      </c>
      <c r="D202" s="557" t="str">
        <f t="shared" si="17"/>
        <v/>
      </c>
      <c r="E202" s="560"/>
      <c r="F202" s="559"/>
      <c r="G202" s="559" t="str">
        <f t="shared" si="18"/>
        <v/>
      </c>
      <c r="H202" s="559" t="str">
        <f t="shared" si="19"/>
        <v/>
      </c>
      <c r="I202" s="559" t="str">
        <f t="shared" si="20"/>
        <v/>
      </c>
    </row>
    <row r="203" spans="2:9">
      <c r="B203" s="555" t="str">
        <f t="shared" si="15"/>
        <v/>
      </c>
      <c r="C203" s="556" t="str">
        <f t="shared" si="16"/>
        <v/>
      </c>
      <c r="D203" s="557" t="str">
        <f t="shared" si="17"/>
        <v/>
      </c>
      <c r="E203" s="560"/>
      <c r="F203" s="559"/>
      <c r="G203" s="559" t="str">
        <f t="shared" si="18"/>
        <v/>
      </c>
      <c r="H203" s="559" t="str">
        <f t="shared" si="19"/>
        <v/>
      </c>
      <c r="I203" s="559" t="str">
        <f t="shared" si="20"/>
        <v/>
      </c>
    </row>
    <row r="204" spans="2:9">
      <c r="B204" s="555" t="str">
        <f t="shared" si="15"/>
        <v/>
      </c>
      <c r="C204" s="556" t="str">
        <f t="shared" si="16"/>
        <v/>
      </c>
      <c r="D204" s="557" t="str">
        <f t="shared" si="17"/>
        <v/>
      </c>
      <c r="E204" s="560"/>
      <c r="F204" s="559"/>
      <c r="G204" s="559" t="str">
        <f t="shared" si="18"/>
        <v/>
      </c>
      <c r="H204" s="559" t="str">
        <f t="shared" si="19"/>
        <v/>
      </c>
      <c r="I204" s="559" t="str">
        <f t="shared" si="20"/>
        <v/>
      </c>
    </row>
    <row r="205" spans="2:9">
      <c r="B205" s="555" t="str">
        <f t="shared" si="15"/>
        <v/>
      </c>
      <c r="C205" s="556" t="str">
        <f t="shared" si="16"/>
        <v/>
      </c>
      <c r="D205" s="557" t="str">
        <f t="shared" si="17"/>
        <v/>
      </c>
      <c r="E205" s="560"/>
      <c r="F205" s="559"/>
      <c r="G205" s="559" t="str">
        <f t="shared" si="18"/>
        <v/>
      </c>
      <c r="H205" s="559" t="str">
        <f t="shared" si="19"/>
        <v/>
      </c>
      <c r="I205" s="559" t="str">
        <f t="shared" si="20"/>
        <v/>
      </c>
    </row>
    <row r="206" spans="2:9">
      <c r="B206" s="555" t="str">
        <f t="shared" si="15"/>
        <v/>
      </c>
      <c r="C206" s="556" t="str">
        <f t="shared" si="16"/>
        <v/>
      </c>
      <c r="D206" s="557" t="str">
        <f t="shared" si="17"/>
        <v/>
      </c>
      <c r="E206" s="560"/>
      <c r="F206" s="559"/>
      <c r="G206" s="559" t="str">
        <f t="shared" si="18"/>
        <v/>
      </c>
      <c r="H206" s="559" t="str">
        <f t="shared" si="19"/>
        <v/>
      </c>
      <c r="I206" s="559" t="str">
        <f t="shared" si="20"/>
        <v/>
      </c>
    </row>
    <row r="207" spans="2:9">
      <c r="B207" s="555" t="str">
        <f t="shared" si="15"/>
        <v/>
      </c>
      <c r="C207" s="556" t="str">
        <f t="shared" si="16"/>
        <v/>
      </c>
      <c r="D207" s="557" t="str">
        <f t="shared" si="17"/>
        <v/>
      </c>
      <c r="E207" s="560"/>
      <c r="F207" s="559"/>
      <c r="G207" s="559" t="str">
        <f t="shared" si="18"/>
        <v/>
      </c>
      <c r="H207" s="559" t="str">
        <f t="shared" si="19"/>
        <v/>
      </c>
      <c r="I207" s="559" t="str">
        <f t="shared" si="20"/>
        <v/>
      </c>
    </row>
    <row r="208" spans="2:9">
      <c r="B208" s="555" t="str">
        <f t="shared" si="15"/>
        <v/>
      </c>
      <c r="C208" s="556" t="str">
        <f t="shared" si="16"/>
        <v/>
      </c>
      <c r="D208" s="557" t="str">
        <f t="shared" si="17"/>
        <v/>
      </c>
      <c r="E208" s="560"/>
      <c r="F208" s="559"/>
      <c r="G208" s="559" t="str">
        <f t="shared" si="18"/>
        <v/>
      </c>
      <c r="H208" s="559" t="str">
        <f t="shared" si="19"/>
        <v/>
      </c>
      <c r="I208" s="559" t="str">
        <f t="shared" si="20"/>
        <v/>
      </c>
    </row>
    <row r="209" spans="2:9">
      <c r="B209" s="555" t="str">
        <f t="shared" si="15"/>
        <v/>
      </c>
      <c r="C209" s="556" t="str">
        <f t="shared" si="16"/>
        <v/>
      </c>
      <c r="D209" s="557" t="str">
        <f t="shared" si="17"/>
        <v/>
      </c>
      <c r="E209" s="560"/>
      <c r="F209" s="559"/>
      <c r="G209" s="559" t="str">
        <f t="shared" si="18"/>
        <v/>
      </c>
      <c r="H209" s="559" t="str">
        <f t="shared" si="19"/>
        <v/>
      </c>
      <c r="I209" s="559" t="str">
        <f t="shared" si="20"/>
        <v/>
      </c>
    </row>
    <row r="210" spans="2:9">
      <c r="B210" s="555" t="str">
        <f t="shared" si="15"/>
        <v/>
      </c>
      <c r="C210" s="556" t="str">
        <f t="shared" si="16"/>
        <v/>
      </c>
      <c r="D210" s="557" t="str">
        <f t="shared" si="17"/>
        <v/>
      </c>
      <c r="E210" s="560"/>
      <c r="F210" s="559"/>
      <c r="G210" s="559" t="str">
        <f t="shared" si="18"/>
        <v/>
      </c>
      <c r="H210" s="559" t="str">
        <f t="shared" si="19"/>
        <v/>
      </c>
      <c r="I210" s="559" t="str">
        <f t="shared" si="20"/>
        <v/>
      </c>
    </row>
    <row r="211" spans="2:9">
      <c r="B211" s="555" t="str">
        <f t="shared" si="15"/>
        <v/>
      </c>
      <c r="C211" s="556" t="str">
        <f t="shared" si="16"/>
        <v/>
      </c>
      <c r="D211" s="557" t="str">
        <f t="shared" si="17"/>
        <v/>
      </c>
      <c r="E211" s="560"/>
      <c r="F211" s="559"/>
      <c r="G211" s="559" t="str">
        <f t="shared" si="18"/>
        <v/>
      </c>
      <c r="H211" s="559" t="str">
        <f t="shared" si="19"/>
        <v/>
      </c>
      <c r="I211" s="559" t="str">
        <f t="shared" si="20"/>
        <v/>
      </c>
    </row>
    <row r="212" spans="2:9">
      <c r="B212" s="555" t="str">
        <f t="shared" si="15"/>
        <v/>
      </c>
      <c r="C212" s="556" t="str">
        <f t="shared" si="16"/>
        <v/>
      </c>
      <c r="D212" s="557" t="str">
        <f t="shared" si="17"/>
        <v/>
      </c>
      <c r="E212" s="560"/>
      <c r="F212" s="559"/>
      <c r="G212" s="559" t="str">
        <f t="shared" si="18"/>
        <v/>
      </c>
      <c r="H212" s="559" t="str">
        <f t="shared" si="19"/>
        <v/>
      </c>
      <c r="I212" s="559" t="str">
        <f t="shared" si="20"/>
        <v/>
      </c>
    </row>
    <row r="213" spans="2:9">
      <c r="B213" s="555" t="str">
        <f t="shared" si="15"/>
        <v/>
      </c>
      <c r="C213" s="556" t="str">
        <f t="shared" si="16"/>
        <v/>
      </c>
      <c r="D213" s="557" t="str">
        <f t="shared" si="17"/>
        <v/>
      </c>
      <c r="E213" s="560"/>
      <c r="F213" s="559"/>
      <c r="G213" s="559" t="str">
        <f t="shared" si="18"/>
        <v/>
      </c>
      <c r="H213" s="559" t="str">
        <f t="shared" si="19"/>
        <v/>
      </c>
      <c r="I213" s="559" t="str">
        <f t="shared" si="20"/>
        <v/>
      </c>
    </row>
    <row r="214" spans="2:9">
      <c r="B214" s="555" t="str">
        <f t="shared" si="15"/>
        <v/>
      </c>
      <c r="C214" s="556" t="str">
        <f t="shared" si="16"/>
        <v/>
      </c>
      <c r="D214" s="557" t="str">
        <f t="shared" si="17"/>
        <v/>
      </c>
      <c r="E214" s="560"/>
      <c r="F214" s="559"/>
      <c r="G214" s="559" t="str">
        <f t="shared" si="18"/>
        <v/>
      </c>
      <c r="H214" s="559" t="str">
        <f t="shared" si="19"/>
        <v/>
      </c>
      <c r="I214" s="559" t="str">
        <f t="shared" si="20"/>
        <v/>
      </c>
    </row>
    <row r="215" spans="2:9">
      <c r="B215" s="555" t="str">
        <f t="shared" si="15"/>
        <v/>
      </c>
      <c r="C215" s="556" t="str">
        <f t="shared" si="16"/>
        <v/>
      </c>
      <c r="D215" s="557" t="str">
        <f t="shared" si="17"/>
        <v/>
      </c>
      <c r="E215" s="560"/>
      <c r="F215" s="559"/>
      <c r="G215" s="559" t="str">
        <f t="shared" si="18"/>
        <v/>
      </c>
      <c r="H215" s="559" t="str">
        <f t="shared" si="19"/>
        <v/>
      </c>
      <c r="I215" s="559" t="str">
        <f t="shared" si="20"/>
        <v/>
      </c>
    </row>
    <row r="216" spans="2:9">
      <c r="B216" s="555" t="str">
        <f t="shared" si="15"/>
        <v/>
      </c>
      <c r="C216" s="556" t="str">
        <f t="shared" si="16"/>
        <v/>
      </c>
      <c r="D216" s="557" t="str">
        <f t="shared" si="17"/>
        <v/>
      </c>
      <c r="E216" s="560"/>
      <c r="F216" s="559"/>
      <c r="G216" s="559" t="str">
        <f t="shared" si="18"/>
        <v/>
      </c>
      <c r="H216" s="559" t="str">
        <f t="shared" si="19"/>
        <v/>
      </c>
      <c r="I216" s="559" t="str">
        <f t="shared" si="20"/>
        <v/>
      </c>
    </row>
    <row r="217" spans="2:9">
      <c r="B217" s="555" t="str">
        <f t="shared" si="15"/>
        <v/>
      </c>
      <c r="C217" s="556" t="str">
        <f t="shared" si="16"/>
        <v/>
      </c>
      <c r="D217" s="557" t="str">
        <f t="shared" si="17"/>
        <v/>
      </c>
      <c r="E217" s="560"/>
      <c r="F217" s="559"/>
      <c r="G217" s="559" t="str">
        <f t="shared" si="18"/>
        <v/>
      </c>
      <c r="H217" s="559" t="str">
        <f t="shared" si="19"/>
        <v/>
      </c>
      <c r="I217" s="559" t="str">
        <f t="shared" si="20"/>
        <v/>
      </c>
    </row>
    <row r="218" spans="2:9">
      <c r="B218" s="555" t="str">
        <f t="shared" si="15"/>
        <v/>
      </c>
      <c r="C218" s="556" t="str">
        <f t="shared" si="16"/>
        <v/>
      </c>
      <c r="D218" s="557" t="str">
        <f t="shared" si="17"/>
        <v/>
      </c>
      <c r="E218" s="560"/>
      <c r="F218" s="559"/>
      <c r="G218" s="559" t="str">
        <f t="shared" si="18"/>
        <v/>
      </c>
      <c r="H218" s="559" t="str">
        <f t="shared" si="19"/>
        <v/>
      </c>
      <c r="I218" s="559" t="str">
        <f t="shared" si="20"/>
        <v/>
      </c>
    </row>
    <row r="219" spans="2:9">
      <c r="B219" s="555" t="str">
        <f t="shared" si="15"/>
        <v/>
      </c>
      <c r="C219" s="556" t="str">
        <f t="shared" si="16"/>
        <v/>
      </c>
      <c r="D219" s="557" t="str">
        <f t="shared" si="17"/>
        <v/>
      </c>
      <c r="E219" s="560"/>
      <c r="F219" s="559"/>
      <c r="G219" s="559" t="str">
        <f t="shared" si="18"/>
        <v/>
      </c>
      <c r="H219" s="559" t="str">
        <f t="shared" si="19"/>
        <v/>
      </c>
      <c r="I219" s="559" t="str">
        <f t="shared" si="20"/>
        <v/>
      </c>
    </row>
    <row r="220" spans="2:9">
      <c r="B220" s="555" t="str">
        <f t="shared" si="15"/>
        <v/>
      </c>
      <c r="C220" s="556" t="str">
        <f t="shared" si="16"/>
        <v/>
      </c>
      <c r="D220" s="557" t="str">
        <f t="shared" si="17"/>
        <v/>
      </c>
      <c r="E220" s="560"/>
      <c r="F220" s="559"/>
      <c r="G220" s="559" t="str">
        <f t="shared" si="18"/>
        <v/>
      </c>
      <c r="H220" s="559" t="str">
        <f t="shared" si="19"/>
        <v/>
      </c>
      <c r="I220" s="559" t="str">
        <f t="shared" si="20"/>
        <v/>
      </c>
    </row>
    <row r="221" spans="2:9">
      <c r="B221" s="555" t="str">
        <f t="shared" si="15"/>
        <v/>
      </c>
      <c r="C221" s="556" t="str">
        <f t="shared" si="16"/>
        <v/>
      </c>
      <c r="D221" s="557" t="str">
        <f t="shared" si="17"/>
        <v/>
      </c>
      <c r="E221" s="560"/>
      <c r="F221" s="559"/>
      <c r="G221" s="559" t="str">
        <f t="shared" si="18"/>
        <v/>
      </c>
      <c r="H221" s="559" t="str">
        <f t="shared" si="19"/>
        <v/>
      </c>
      <c r="I221" s="559" t="str">
        <f t="shared" si="20"/>
        <v/>
      </c>
    </row>
    <row r="222" spans="2:9">
      <c r="B222" s="555" t="str">
        <f t="shared" si="15"/>
        <v/>
      </c>
      <c r="C222" s="556" t="str">
        <f t="shared" si="16"/>
        <v/>
      </c>
      <c r="D222" s="557" t="str">
        <f t="shared" si="17"/>
        <v/>
      </c>
      <c r="E222" s="560"/>
      <c r="F222" s="559"/>
      <c r="G222" s="559" t="str">
        <f t="shared" si="18"/>
        <v/>
      </c>
      <c r="H222" s="559" t="str">
        <f t="shared" si="19"/>
        <v/>
      </c>
      <c r="I222" s="559" t="str">
        <f t="shared" si="20"/>
        <v/>
      </c>
    </row>
    <row r="223" spans="2:9">
      <c r="B223" s="555" t="str">
        <f t="shared" si="15"/>
        <v/>
      </c>
      <c r="C223" s="556" t="str">
        <f t="shared" si="16"/>
        <v/>
      </c>
      <c r="D223" s="557" t="str">
        <f t="shared" si="17"/>
        <v/>
      </c>
      <c r="E223" s="560"/>
      <c r="F223" s="559"/>
      <c r="G223" s="559" t="str">
        <f t="shared" si="18"/>
        <v/>
      </c>
      <c r="H223" s="559" t="str">
        <f t="shared" si="19"/>
        <v/>
      </c>
      <c r="I223" s="559" t="str">
        <f t="shared" si="20"/>
        <v/>
      </c>
    </row>
    <row r="224" spans="2:9">
      <c r="B224" s="555" t="str">
        <f t="shared" si="15"/>
        <v/>
      </c>
      <c r="C224" s="556" t="str">
        <f t="shared" si="16"/>
        <v/>
      </c>
      <c r="D224" s="557" t="str">
        <f t="shared" si="17"/>
        <v/>
      </c>
      <c r="E224" s="560"/>
      <c r="F224" s="559"/>
      <c r="G224" s="559" t="str">
        <f t="shared" si="18"/>
        <v/>
      </c>
      <c r="H224" s="559" t="str">
        <f t="shared" si="19"/>
        <v/>
      </c>
      <c r="I224" s="559" t="str">
        <f t="shared" si="20"/>
        <v/>
      </c>
    </row>
    <row r="225" spans="2:9">
      <c r="B225" s="555" t="str">
        <f t="shared" si="15"/>
        <v/>
      </c>
      <c r="C225" s="556" t="str">
        <f t="shared" si="16"/>
        <v/>
      </c>
      <c r="D225" s="557" t="str">
        <f t="shared" si="17"/>
        <v/>
      </c>
      <c r="E225" s="560"/>
      <c r="F225" s="559"/>
      <c r="G225" s="559" t="str">
        <f t="shared" si="18"/>
        <v/>
      </c>
      <c r="H225" s="559" t="str">
        <f t="shared" si="19"/>
        <v/>
      </c>
      <c r="I225" s="559" t="str">
        <f t="shared" si="20"/>
        <v/>
      </c>
    </row>
    <row r="226" spans="2:9">
      <c r="B226" s="555" t="str">
        <f t="shared" si="15"/>
        <v/>
      </c>
      <c r="C226" s="556" t="str">
        <f t="shared" si="16"/>
        <v/>
      </c>
      <c r="D226" s="557" t="str">
        <f t="shared" si="17"/>
        <v/>
      </c>
      <c r="E226" s="560"/>
      <c r="F226" s="559"/>
      <c r="G226" s="559" t="str">
        <f t="shared" si="18"/>
        <v/>
      </c>
      <c r="H226" s="559" t="str">
        <f t="shared" si="19"/>
        <v/>
      </c>
      <c r="I226" s="559" t="str">
        <f t="shared" si="20"/>
        <v/>
      </c>
    </row>
    <row r="227" spans="2:9">
      <c r="B227" s="555" t="str">
        <f t="shared" si="15"/>
        <v/>
      </c>
      <c r="C227" s="556" t="str">
        <f t="shared" si="16"/>
        <v/>
      </c>
      <c r="D227" s="557" t="str">
        <f t="shared" si="17"/>
        <v/>
      </c>
      <c r="E227" s="560"/>
      <c r="F227" s="559"/>
      <c r="G227" s="559" t="str">
        <f t="shared" si="18"/>
        <v/>
      </c>
      <c r="H227" s="559" t="str">
        <f t="shared" si="19"/>
        <v/>
      </c>
      <c r="I227" s="559" t="str">
        <f t="shared" si="20"/>
        <v/>
      </c>
    </row>
    <row r="228" spans="2:9">
      <c r="B228" s="555" t="str">
        <f t="shared" si="15"/>
        <v/>
      </c>
      <c r="C228" s="556" t="str">
        <f t="shared" si="16"/>
        <v/>
      </c>
      <c r="D228" s="557" t="str">
        <f t="shared" si="17"/>
        <v/>
      </c>
      <c r="E228" s="560"/>
      <c r="F228" s="559"/>
      <c r="G228" s="559" t="str">
        <f t="shared" si="18"/>
        <v/>
      </c>
      <c r="H228" s="559" t="str">
        <f t="shared" si="19"/>
        <v/>
      </c>
      <c r="I228" s="559" t="str">
        <f t="shared" si="20"/>
        <v/>
      </c>
    </row>
    <row r="229" spans="2:9">
      <c r="B229" s="555" t="str">
        <f t="shared" si="15"/>
        <v/>
      </c>
      <c r="C229" s="556" t="str">
        <f t="shared" si="16"/>
        <v/>
      </c>
      <c r="D229" s="557" t="str">
        <f t="shared" si="17"/>
        <v/>
      </c>
      <c r="E229" s="560"/>
      <c r="F229" s="559"/>
      <c r="G229" s="559" t="str">
        <f t="shared" si="18"/>
        <v/>
      </c>
      <c r="H229" s="559" t="str">
        <f t="shared" si="19"/>
        <v/>
      </c>
      <c r="I229" s="559" t="str">
        <f t="shared" si="20"/>
        <v/>
      </c>
    </row>
    <row r="230" spans="2:9">
      <c r="B230" s="555" t="str">
        <f t="shared" si="15"/>
        <v/>
      </c>
      <c r="C230" s="556" t="str">
        <f t="shared" si="16"/>
        <v/>
      </c>
      <c r="D230" s="557" t="str">
        <f t="shared" si="17"/>
        <v/>
      </c>
      <c r="E230" s="560"/>
      <c r="F230" s="559"/>
      <c r="G230" s="559" t="str">
        <f t="shared" si="18"/>
        <v/>
      </c>
      <c r="H230" s="559" t="str">
        <f t="shared" si="19"/>
        <v/>
      </c>
      <c r="I230" s="559" t="str">
        <f t="shared" si="20"/>
        <v/>
      </c>
    </row>
    <row r="231" spans="2:9">
      <c r="B231" s="555" t="str">
        <f t="shared" si="15"/>
        <v/>
      </c>
      <c r="C231" s="556" t="str">
        <f t="shared" si="16"/>
        <v/>
      </c>
      <c r="D231" s="557" t="str">
        <f t="shared" si="17"/>
        <v/>
      </c>
      <c r="E231" s="560"/>
      <c r="F231" s="559"/>
      <c r="G231" s="559" t="str">
        <f t="shared" si="18"/>
        <v/>
      </c>
      <c r="H231" s="559" t="str">
        <f t="shared" si="19"/>
        <v/>
      </c>
      <c r="I231" s="559" t="str">
        <f t="shared" si="20"/>
        <v/>
      </c>
    </row>
    <row r="232" spans="2:9">
      <c r="B232" s="555" t="str">
        <f t="shared" si="15"/>
        <v/>
      </c>
      <c r="C232" s="556" t="str">
        <f t="shared" si="16"/>
        <v/>
      </c>
      <c r="D232" s="557" t="str">
        <f t="shared" si="17"/>
        <v/>
      </c>
      <c r="E232" s="560"/>
      <c r="F232" s="559"/>
      <c r="G232" s="559" t="str">
        <f t="shared" si="18"/>
        <v/>
      </c>
      <c r="H232" s="559" t="str">
        <f t="shared" si="19"/>
        <v/>
      </c>
      <c r="I232" s="559" t="str">
        <f t="shared" si="20"/>
        <v/>
      </c>
    </row>
    <row r="233" spans="2:9">
      <c r="B233" s="555" t="str">
        <f t="shared" si="15"/>
        <v/>
      </c>
      <c r="C233" s="556" t="str">
        <f t="shared" si="16"/>
        <v/>
      </c>
      <c r="D233" s="557" t="str">
        <f t="shared" si="17"/>
        <v/>
      </c>
      <c r="E233" s="560"/>
      <c r="F233" s="559"/>
      <c r="G233" s="559" t="str">
        <f t="shared" si="18"/>
        <v/>
      </c>
      <c r="H233" s="559" t="str">
        <f t="shared" si="19"/>
        <v/>
      </c>
      <c r="I233" s="559" t="str">
        <f t="shared" si="20"/>
        <v/>
      </c>
    </row>
    <row r="234" spans="2:9">
      <c r="B234" s="555" t="str">
        <f t="shared" si="15"/>
        <v/>
      </c>
      <c r="C234" s="556" t="str">
        <f t="shared" si="16"/>
        <v/>
      </c>
      <c r="D234" s="557" t="str">
        <f t="shared" si="17"/>
        <v/>
      </c>
      <c r="E234" s="560"/>
      <c r="F234" s="559"/>
      <c r="G234" s="559" t="str">
        <f t="shared" si="18"/>
        <v/>
      </c>
      <c r="H234" s="559" t="str">
        <f t="shared" si="19"/>
        <v/>
      </c>
      <c r="I234" s="559" t="str">
        <f t="shared" si="20"/>
        <v/>
      </c>
    </row>
    <row r="235" spans="2:9">
      <c r="B235" s="555" t="str">
        <f t="shared" si="15"/>
        <v/>
      </c>
      <c r="C235" s="556" t="str">
        <f t="shared" si="16"/>
        <v/>
      </c>
      <c r="D235" s="557" t="str">
        <f t="shared" si="17"/>
        <v/>
      </c>
      <c r="E235" s="560"/>
      <c r="F235" s="559"/>
      <c r="G235" s="559" t="str">
        <f t="shared" si="18"/>
        <v/>
      </c>
      <c r="H235" s="559" t="str">
        <f t="shared" si="19"/>
        <v/>
      </c>
      <c r="I235" s="559" t="str">
        <f t="shared" si="20"/>
        <v/>
      </c>
    </row>
    <row r="236" spans="2:9">
      <c r="B236" s="555" t="str">
        <f t="shared" si="15"/>
        <v/>
      </c>
      <c r="C236" s="556" t="str">
        <f t="shared" si="16"/>
        <v/>
      </c>
      <c r="D236" s="557" t="str">
        <f t="shared" si="17"/>
        <v/>
      </c>
      <c r="E236" s="560"/>
      <c r="F236" s="559"/>
      <c r="G236" s="559" t="str">
        <f t="shared" si="18"/>
        <v/>
      </c>
      <c r="H236" s="559" t="str">
        <f t="shared" si="19"/>
        <v/>
      </c>
      <c r="I236" s="559" t="str">
        <f t="shared" si="20"/>
        <v/>
      </c>
    </row>
    <row r="237" spans="2:9">
      <c r="B237" s="555" t="str">
        <f t="shared" si="15"/>
        <v/>
      </c>
      <c r="C237" s="556" t="str">
        <f t="shared" si="16"/>
        <v/>
      </c>
      <c r="D237" s="557" t="str">
        <f t="shared" si="17"/>
        <v/>
      </c>
      <c r="E237" s="560"/>
      <c r="F237" s="559"/>
      <c r="G237" s="559" t="str">
        <f t="shared" si="18"/>
        <v/>
      </c>
      <c r="H237" s="559" t="str">
        <f t="shared" si="19"/>
        <v/>
      </c>
      <c r="I237" s="559" t="str">
        <f t="shared" si="20"/>
        <v/>
      </c>
    </row>
    <row r="238" spans="2:9">
      <c r="B238" s="555" t="str">
        <f t="shared" si="15"/>
        <v/>
      </c>
      <c r="C238" s="556" t="str">
        <f t="shared" si="16"/>
        <v/>
      </c>
      <c r="D238" s="557" t="str">
        <f t="shared" si="17"/>
        <v/>
      </c>
      <c r="E238" s="560"/>
      <c r="F238" s="559"/>
      <c r="G238" s="559" t="str">
        <f t="shared" si="18"/>
        <v/>
      </c>
      <c r="H238" s="559" t="str">
        <f t="shared" si="19"/>
        <v/>
      </c>
      <c r="I238" s="559" t="str">
        <f t="shared" si="20"/>
        <v/>
      </c>
    </row>
    <row r="239" spans="2:9">
      <c r="B239" s="555" t="str">
        <f t="shared" si="15"/>
        <v/>
      </c>
      <c r="C239" s="556" t="str">
        <f t="shared" si="16"/>
        <v/>
      </c>
      <c r="D239" s="557" t="str">
        <f t="shared" si="17"/>
        <v/>
      </c>
      <c r="E239" s="560"/>
      <c r="F239" s="559"/>
      <c r="G239" s="559" t="str">
        <f t="shared" si="18"/>
        <v/>
      </c>
      <c r="H239" s="559" t="str">
        <f t="shared" si="19"/>
        <v/>
      </c>
      <c r="I239" s="559" t="str">
        <f t="shared" si="20"/>
        <v/>
      </c>
    </row>
    <row r="240" spans="2:9">
      <c r="B240" s="555" t="str">
        <f t="shared" si="15"/>
        <v/>
      </c>
      <c r="C240" s="556" t="str">
        <f t="shared" si="16"/>
        <v/>
      </c>
      <c r="D240" s="557" t="str">
        <f t="shared" si="17"/>
        <v/>
      </c>
      <c r="E240" s="560"/>
      <c r="F240" s="559"/>
      <c r="G240" s="559" t="str">
        <f t="shared" si="18"/>
        <v/>
      </c>
      <c r="H240" s="559" t="str">
        <f t="shared" si="19"/>
        <v/>
      </c>
      <c r="I240" s="559" t="str">
        <f t="shared" si="20"/>
        <v/>
      </c>
    </row>
    <row r="241" spans="2:9">
      <c r="B241" s="555" t="str">
        <f t="shared" si="15"/>
        <v/>
      </c>
      <c r="C241" s="556" t="str">
        <f t="shared" si="16"/>
        <v/>
      </c>
      <c r="D241" s="557" t="str">
        <f t="shared" si="17"/>
        <v/>
      </c>
      <c r="E241" s="560"/>
      <c r="F241" s="559"/>
      <c r="G241" s="559" t="str">
        <f t="shared" si="18"/>
        <v/>
      </c>
      <c r="H241" s="559" t="str">
        <f t="shared" si="19"/>
        <v/>
      </c>
      <c r="I241" s="559" t="str">
        <f t="shared" si="20"/>
        <v/>
      </c>
    </row>
    <row r="242" spans="2:9">
      <c r="B242" s="555" t="str">
        <f t="shared" si="15"/>
        <v/>
      </c>
      <c r="C242" s="556" t="str">
        <f t="shared" si="16"/>
        <v/>
      </c>
      <c r="D242" s="557" t="str">
        <f t="shared" si="17"/>
        <v/>
      </c>
      <c r="E242" s="560"/>
      <c r="F242" s="559"/>
      <c r="G242" s="559" t="str">
        <f t="shared" si="18"/>
        <v/>
      </c>
      <c r="H242" s="559" t="str">
        <f t="shared" si="19"/>
        <v/>
      </c>
      <c r="I242" s="559" t="str">
        <f t="shared" si="20"/>
        <v/>
      </c>
    </row>
    <row r="243" spans="2:9">
      <c r="B243" s="555" t="str">
        <f t="shared" si="15"/>
        <v/>
      </c>
      <c r="C243" s="556" t="str">
        <f t="shared" si="16"/>
        <v/>
      </c>
      <c r="D243" s="557" t="str">
        <f t="shared" si="17"/>
        <v/>
      </c>
      <c r="E243" s="560"/>
      <c r="F243" s="559"/>
      <c r="G243" s="559" t="str">
        <f t="shared" si="18"/>
        <v/>
      </c>
      <c r="H243" s="559" t="str">
        <f t="shared" si="19"/>
        <v/>
      </c>
      <c r="I243" s="559" t="str">
        <f t="shared" si="20"/>
        <v/>
      </c>
    </row>
    <row r="244" spans="2:9">
      <c r="B244" s="555" t="str">
        <f t="shared" si="15"/>
        <v/>
      </c>
      <c r="C244" s="556" t="str">
        <f t="shared" si="16"/>
        <v/>
      </c>
      <c r="D244" s="557" t="str">
        <f t="shared" si="17"/>
        <v/>
      </c>
      <c r="E244" s="560"/>
      <c r="F244" s="559"/>
      <c r="G244" s="559" t="str">
        <f t="shared" si="18"/>
        <v/>
      </c>
      <c r="H244" s="559" t="str">
        <f t="shared" si="19"/>
        <v/>
      </c>
      <c r="I244" s="559" t="str">
        <f t="shared" si="20"/>
        <v/>
      </c>
    </row>
    <row r="245" spans="2:9">
      <c r="B245" s="555" t="str">
        <f t="shared" si="15"/>
        <v/>
      </c>
      <c r="C245" s="556" t="str">
        <f t="shared" si="16"/>
        <v/>
      </c>
      <c r="D245" s="557" t="str">
        <f t="shared" si="17"/>
        <v/>
      </c>
      <c r="E245" s="560"/>
      <c r="F245" s="559"/>
      <c r="G245" s="559" t="str">
        <f t="shared" si="18"/>
        <v/>
      </c>
      <c r="H245" s="559" t="str">
        <f t="shared" si="19"/>
        <v/>
      </c>
      <c r="I245" s="559" t="str">
        <f t="shared" si="20"/>
        <v/>
      </c>
    </row>
    <row r="246" spans="2:9">
      <c r="B246" s="555" t="str">
        <f t="shared" si="15"/>
        <v/>
      </c>
      <c r="C246" s="556" t="str">
        <f t="shared" si="16"/>
        <v/>
      </c>
      <c r="D246" s="557" t="str">
        <f t="shared" si="17"/>
        <v/>
      </c>
      <c r="E246" s="560"/>
      <c r="F246" s="559"/>
      <c r="G246" s="559" t="str">
        <f t="shared" si="18"/>
        <v/>
      </c>
      <c r="H246" s="559" t="str">
        <f t="shared" si="19"/>
        <v/>
      </c>
      <c r="I246" s="559" t="str">
        <f t="shared" si="20"/>
        <v/>
      </c>
    </row>
    <row r="247" spans="2:9">
      <c r="B247" s="555" t="str">
        <f t="shared" si="15"/>
        <v/>
      </c>
      <c r="C247" s="556" t="str">
        <f t="shared" si="16"/>
        <v/>
      </c>
      <c r="D247" s="557" t="str">
        <f t="shared" si="17"/>
        <v/>
      </c>
      <c r="E247" s="560"/>
      <c r="F247" s="559"/>
      <c r="G247" s="559" t="str">
        <f t="shared" si="18"/>
        <v/>
      </c>
      <c r="H247" s="559" t="str">
        <f t="shared" si="19"/>
        <v/>
      </c>
      <c r="I247" s="559" t="str">
        <f t="shared" si="20"/>
        <v/>
      </c>
    </row>
    <row r="248" spans="2:9">
      <c r="B248" s="555" t="str">
        <f t="shared" si="15"/>
        <v/>
      </c>
      <c r="C248" s="556" t="str">
        <f t="shared" si="16"/>
        <v/>
      </c>
      <c r="D248" s="557" t="str">
        <f t="shared" si="17"/>
        <v/>
      </c>
      <c r="E248" s="560"/>
      <c r="F248" s="559"/>
      <c r="G248" s="559" t="str">
        <f t="shared" si="18"/>
        <v/>
      </c>
      <c r="H248" s="559" t="str">
        <f t="shared" si="19"/>
        <v/>
      </c>
      <c r="I248" s="559" t="str">
        <f t="shared" si="20"/>
        <v/>
      </c>
    </row>
    <row r="249" spans="2:9">
      <c r="B249" s="555" t="str">
        <f t="shared" si="15"/>
        <v/>
      </c>
      <c r="C249" s="556" t="str">
        <f t="shared" si="16"/>
        <v/>
      </c>
      <c r="D249" s="557" t="str">
        <f t="shared" si="17"/>
        <v/>
      </c>
      <c r="E249" s="560"/>
      <c r="F249" s="559"/>
      <c r="G249" s="559" t="str">
        <f t="shared" si="18"/>
        <v/>
      </c>
      <c r="H249" s="559" t="str">
        <f t="shared" si="19"/>
        <v/>
      </c>
      <c r="I249" s="559" t="str">
        <f t="shared" si="20"/>
        <v/>
      </c>
    </row>
    <row r="250" spans="2:9">
      <c r="B250" s="555" t="str">
        <f t="shared" si="15"/>
        <v/>
      </c>
      <c r="C250" s="556" t="str">
        <f t="shared" si="16"/>
        <v/>
      </c>
      <c r="D250" s="557" t="str">
        <f t="shared" si="17"/>
        <v/>
      </c>
      <c r="E250" s="560"/>
      <c r="F250" s="559"/>
      <c r="G250" s="559" t="str">
        <f t="shared" si="18"/>
        <v/>
      </c>
      <c r="H250" s="559" t="str">
        <f t="shared" si="19"/>
        <v/>
      </c>
      <c r="I250" s="559" t="str">
        <f t="shared" si="20"/>
        <v/>
      </c>
    </row>
    <row r="251" spans="2:9">
      <c r="B251" s="555" t="str">
        <f t="shared" si="15"/>
        <v/>
      </c>
      <c r="C251" s="556" t="str">
        <f t="shared" si="16"/>
        <v/>
      </c>
      <c r="D251" s="557" t="str">
        <f t="shared" si="17"/>
        <v/>
      </c>
      <c r="E251" s="560"/>
      <c r="F251" s="559"/>
      <c r="G251" s="559" t="str">
        <f t="shared" si="18"/>
        <v/>
      </c>
      <c r="H251" s="559" t="str">
        <f t="shared" si="19"/>
        <v/>
      </c>
      <c r="I251" s="559" t="str">
        <f t="shared" si="20"/>
        <v/>
      </c>
    </row>
    <row r="252" spans="2:9">
      <c r="B252" s="555" t="str">
        <f t="shared" si="15"/>
        <v/>
      </c>
      <c r="C252" s="556" t="str">
        <f t="shared" si="16"/>
        <v/>
      </c>
      <c r="D252" s="557" t="str">
        <f t="shared" si="17"/>
        <v/>
      </c>
      <c r="E252" s="560"/>
      <c r="F252" s="559"/>
      <c r="G252" s="559" t="str">
        <f t="shared" si="18"/>
        <v/>
      </c>
      <c r="H252" s="559" t="str">
        <f t="shared" si="19"/>
        <v/>
      </c>
      <c r="I252" s="559" t="str">
        <f t="shared" si="20"/>
        <v/>
      </c>
    </row>
    <row r="253" spans="2:9">
      <c r="B253" s="555" t="str">
        <f t="shared" ref="B253:B316" si="21">IF(I252="","",IF(roundOpt,IF(OR(B252&gt;=nper,ROUND(I252,2)&lt;=0),"",B252+1),IF(OR(B252&gt;=nper,I252&lt;=0),"",B252+1)))</f>
        <v/>
      </c>
      <c r="C253" s="556" t="str">
        <f t="shared" ref="C253:C316" si="22">IF(B253="","",IF(OR(periods_per_year=26,periods_per_year=52),IF(periods_per_year=26,IF(B253=1,fpdate,C252+14),IF(periods_per_year=52,IF(B253=1,fpdate,C252+7),"n/a")),IF(periods_per_year=24,DATE(YEAR(fpdate),MONTH(fpdate)+(B253-1)/2+IF(AND(DAY(fpdate)&gt;=15,MOD(B253,2)=0),1,0),IF(MOD(B253,2)=0,IF(DAY(fpdate)&gt;=15,DAY(fpdate)-14,DAY(fpdate)+14),DAY(fpdate))),IF(DAY(DATE(YEAR(fpdate),MONTH(fpdate)+(B253-1)*months_per_period,DAY(fpdate)))&lt;&gt;DAY(fpdate),DATE(YEAR(fpdate),MONTH(fpdate)+(B253-1)*months_per_period+1,0),DATE(YEAR(fpdate),MONTH(fpdate)+(B253-1)*months_per_period,DAY(fpdate))))))</f>
        <v/>
      </c>
      <c r="D253" s="557" t="str">
        <f t="shared" ref="D253:D316" si="23">IF(B253="","",IF(roundOpt,IF(OR(B253=nper,payment&gt;ROUND((1+rate)*I252,2)),ROUND((1+rate)*I252,2),payment),IF(OR(B253=nper,payment&gt;(1+rate)*I252),(1+rate)*I252,payment)))</f>
        <v/>
      </c>
      <c r="E253" s="560"/>
      <c r="F253" s="559"/>
      <c r="G253" s="559" t="str">
        <f t="shared" ref="G253:G316" si="24">IF(B253="","",IF(AND(B253=1,pmtType=1),0,IF(roundOpt,ROUND(rate*I252,2),rate*I252)))</f>
        <v/>
      </c>
      <c r="H253" s="559" t="str">
        <f t="shared" ref="H253:H316" si="25">IF(B253="","",D253-G253+E253)</f>
        <v/>
      </c>
      <c r="I253" s="559" t="str">
        <f t="shared" ref="I253:I316" si="26">IF(B253="","",I252-H253)</f>
        <v/>
      </c>
    </row>
    <row r="254" spans="2:9">
      <c r="B254" s="555" t="str">
        <f t="shared" si="21"/>
        <v/>
      </c>
      <c r="C254" s="556" t="str">
        <f t="shared" si="22"/>
        <v/>
      </c>
      <c r="D254" s="557" t="str">
        <f t="shared" si="23"/>
        <v/>
      </c>
      <c r="E254" s="560"/>
      <c r="F254" s="559"/>
      <c r="G254" s="559" t="str">
        <f t="shared" si="24"/>
        <v/>
      </c>
      <c r="H254" s="559" t="str">
        <f t="shared" si="25"/>
        <v/>
      </c>
      <c r="I254" s="559" t="str">
        <f t="shared" si="26"/>
        <v/>
      </c>
    </row>
    <row r="255" spans="2:9">
      <c r="B255" s="555" t="str">
        <f t="shared" si="21"/>
        <v/>
      </c>
      <c r="C255" s="556" t="str">
        <f t="shared" si="22"/>
        <v/>
      </c>
      <c r="D255" s="557" t="str">
        <f t="shared" si="23"/>
        <v/>
      </c>
      <c r="E255" s="560"/>
      <c r="F255" s="559"/>
      <c r="G255" s="559" t="str">
        <f t="shared" si="24"/>
        <v/>
      </c>
      <c r="H255" s="559" t="str">
        <f t="shared" si="25"/>
        <v/>
      </c>
      <c r="I255" s="559" t="str">
        <f t="shared" si="26"/>
        <v/>
      </c>
    </row>
    <row r="256" spans="2:9">
      <c r="B256" s="555" t="str">
        <f t="shared" si="21"/>
        <v/>
      </c>
      <c r="C256" s="556" t="str">
        <f t="shared" si="22"/>
        <v/>
      </c>
      <c r="D256" s="557" t="str">
        <f t="shared" si="23"/>
        <v/>
      </c>
      <c r="E256" s="560"/>
      <c r="F256" s="559"/>
      <c r="G256" s="559" t="str">
        <f t="shared" si="24"/>
        <v/>
      </c>
      <c r="H256" s="559" t="str">
        <f t="shared" si="25"/>
        <v/>
      </c>
      <c r="I256" s="559" t="str">
        <f t="shared" si="26"/>
        <v/>
      </c>
    </row>
    <row r="257" spans="2:9">
      <c r="B257" s="555" t="str">
        <f t="shared" si="21"/>
        <v/>
      </c>
      <c r="C257" s="556" t="str">
        <f t="shared" si="22"/>
        <v/>
      </c>
      <c r="D257" s="557" t="str">
        <f t="shared" si="23"/>
        <v/>
      </c>
      <c r="E257" s="560"/>
      <c r="F257" s="559"/>
      <c r="G257" s="559" t="str">
        <f t="shared" si="24"/>
        <v/>
      </c>
      <c r="H257" s="559" t="str">
        <f t="shared" si="25"/>
        <v/>
      </c>
      <c r="I257" s="559" t="str">
        <f t="shared" si="26"/>
        <v/>
      </c>
    </row>
    <row r="258" spans="2:9">
      <c r="B258" s="555" t="str">
        <f t="shared" si="21"/>
        <v/>
      </c>
      <c r="C258" s="556" t="str">
        <f t="shared" si="22"/>
        <v/>
      </c>
      <c r="D258" s="557" t="str">
        <f t="shared" si="23"/>
        <v/>
      </c>
      <c r="E258" s="560"/>
      <c r="F258" s="559"/>
      <c r="G258" s="559" t="str">
        <f t="shared" si="24"/>
        <v/>
      </c>
      <c r="H258" s="559" t="str">
        <f t="shared" si="25"/>
        <v/>
      </c>
      <c r="I258" s="559" t="str">
        <f t="shared" si="26"/>
        <v/>
      </c>
    </row>
    <row r="259" spans="2:9">
      <c r="B259" s="555" t="str">
        <f t="shared" si="21"/>
        <v/>
      </c>
      <c r="C259" s="556" t="str">
        <f t="shared" si="22"/>
        <v/>
      </c>
      <c r="D259" s="557" t="str">
        <f t="shared" si="23"/>
        <v/>
      </c>
      <c r="E259" s="560"/>
      <c r="F259" s="559"/>
      <c r="G259" s="559" t="str">
        <f t="shared" si="24"/>
        <v/>
      </c>
      <c r="H259" s="559" t="str">
        <f t="shared" si="25"/>
        <v/>
      </c>
      <c r="I259" s="559" t="str">
        <f t="shared" si="26"/>
        <v/>
      </c>
    </row>
    <row r="260" spans="2:9">
      <c r="B260" s="555" t="str">
        <f t="shared" si="21"/>
        <v/>
      </c>
      <c r="C260" s="556" t="str">
        <f t="shared" si="22"/>
        <v/>
      </c>
      <c r="D260" s="557" t="str">
        <f t="shared" si="23"/>
        <v/>
      </c>
      <c r="E260" s="560"/>
      <c r="F260" s="559"/>
      <c r="G260" s="559" t="str">
        <f t="shared" si="24"/>
        <v/>
      </c>
      <c r="H260" s="559" t="str">
        <f t="shared" si="25"/>
        <v/>
      </c>
      <c r="I260" s="559" t="str">
        <f t="shared" si="26"/>
        <v/>
      </c>
    </row>
    <row r="261" spans="2:9">
      <c r="B261" s="555" t="str">
        <f t="shared" si="21"/>
        <v/>
      </c>
      <c r="C261" s="556" t="str">
        <f t="shared" si="22"/>
        <v/>
      </c>
      <c r="D261" s="557" t="str">
        <f t="shared" si="23"/>
        <v/>
      </c>
      <c r="E261" s="560"/>
      <c r="F261" s="559"/>
      <c r="G261" s="559" t="str">
        <f t="shared" si="24"/>
        <v/>
      </c>
      <c r="H261" s="559" t="str">
        <f t="shared" si="25"/>
        <v/>
      </c>
      <c r="I261" s="559" t="str">
        <f t="shared" si="26"/>
        <v/>
      </c>
    </row>
    <row r="262" spans="2:9">
      <c r="B262" s="555" t="str">
        <f t="shared" si="21"/>
        <v/>
      </c>
      <c r="C262" s="556" t="str">
        <f t="shared" si="22"/>
        <v/>
      </c>
      <c r="D262" s="557" t="str">
        <f t="shared" si="23"/>
        <v/>
      </c>
      <c r="E262" s="560"/>
      <c r="F262" s="559"/>
      <c r="G262" s="559" t="str">
        <f t="shared" si="24"/>
        <v/>
      </c>
      <c r="H262" s="559" t="str">
        <f t="shared" si="25"/>
        <v/>
      </c>
      <c r="I262" s="559" t="str">
        <f t="shared" si="26"/>
        <v/>
      </c>
    </row>
    <row r="263" spans="2:9">
      <c r="B263" s="555" t="str">
        <f t="shared" si="21"/>
        <v/>
      </c>
      <c r="C263" s="556" t="str">
        <f t="shared" si="22"/>
        <v/>
      </c>
      <c r="D263" s="557" t="str">
        <f t="shared" si="23"/>
        <v/>
      </c>
      <c r="E263" s="560"/>
      <c r="F263" s="559"/>
      <c r="G263" s="559" t="str">
        <f t="shared" si="24"/>
        <v/>
      </c>
      <c r="H263" s="559" t="str">
        <f t="shared" si="25"/>
        <v/>
      </c>
      <c r="I263" s="559" t="str">
        <f t="shared" si="26"/>
        <v/>
      </c>
    </row>
    <row r="264" spans="2:9">
      <c r="B264" s="555" t="str">
        <f t="shared" si="21"/>
        <v/>
      </c>
      <c r="C264" s="556" t="str">
        <f t="shared" si="22"/>
        <v/>
      </c>
      <c r="D264" s="557" t="str">
        <f t="shared" si="23"/>
        <v/>
      </c>
      <c r="E264" s="560"/>
      <c r="F264" s="559"/>
      <c r="G264" s="559" t="str">
        <f t="shared" si="24"/>
        <v/>
      </c>
      <c r="H264" s="559" t="str">
        <f t="shared" si="25"/>
        <v/>
      </c>
      <c r="I264" s="559" t="str">
        <f t="shared" si="26"/>
        <v/>
      </c>
    </row>
    <row r="265" spans="2:9">
      <c r="B265" s="555" t="str">
        <f t="shared" si="21"/>
        <v/>
      </c>
      <c r="C265" s="556" t="str">
        <f t="shared" si="22"/>
        <v/>
      </c>
      <c r="D265" s="557" t="str">
        <f t="shared" si="23"/>
        <v/>
      </c>
      <c r="E265" s="560"/>
      <c r="F265" s="559"/>
      <c r="G265" s="559" t="str">
        <f t="shared" si="24"/>
        <v/>
      </c>
      <c r="H265" s="559" t="str">
        <f t="shared" si="25"/>
        <v/>
      </c>
      <c r="I265" s="559" t="str">
        <f t="shared" si="26"/>
        <v/>
      </c>
    </row>
    <row r="266" spans="2:9">
      <c r="B266" s="555" t="str">
        <f t="shared" si="21"/>
        <v/>
      </c>
      <c r="C266" s="556" t="str">
        <f t="shared" si="22"/>
        <v/>
      </c>
      <c r="D266" s="557" t="str">
        <f t="shared" si="23"/>
        <v/>
      </c>
      <c r="E266" s="560"/>
      <c r="F266" s="559"/>
      <c r="G266" s="559" t="str">
        <f t="shared" si="24"/>
        <v/>
      </c>
      <c r="H266" s="559" t="str">
        <f t="shared" si="25"/>
        <v/>
      </c>
      <c r="I266" s="559" t="str">
        <f t="shared" si="26"/>
        <v/>
      </c>
    </row>
    <row r="267" spans="2:9">
      <c r="B267" s="555" t="str">
        <f t="shared" si="21"/>
        <v/>
      </c>
      <c r="C267" s="556" t="str">
        <f t="shared" si="22"/>
        <v/>
      </c>
      <c r="D267" s="557" t="str">
        <f t="shared" si="23"/>
        <v/>
      </c>
      <c r="E267" s="560"/>
      <c r="F267" s="559"/>
      <c r="G267" s="559" t="str">
        <f t="shared" si="24"/>
        <v/>
      </c>
      <c r="H267" s="559" t="str">
        <f t="shared" si="25"/>
        <v/>
      </c>
      <c r="I267" s="559" t="str">
        <f t="shared" si="26"/>
        <v/>
      </c>
    </row>
    <row r="268" spans="2:9">
      <c r="B268" s="555" t="str">
        <f t="shared" si="21"/>
        <v/>
      </c>
      <c r="C268" s="556" t="str">
        <f t="shared" si="22"/>
        <v/>
      </c>
      <c r="D268" s="557" t="str">
        <f t="shared" si="23"/>
        <v/>
      </c>
      <c r="E268" s="560"/>
      <c r="F268" s="559"/>
      <c r="G268" s="559" t="str">
        <f t="shared" si="24"/>
        <v/>
      </c>
      <c r="H268" s="559" t="str">
        <f t="shared" si="25"/>
        <v/>
      </c>
      <c r="I268" s="559" t="str">
        <f t="shared" si="26"/>
        <v/>
      </c>
    </row>
    <row r="269" spans="2:9">
      <c r="B269" s="555" t="str">
        <f t="shared" si="21"/>
        <v/>
      </c>
      <c r="C269" s="556" t="str">
        <f t="shared" si="22"/>
        <v/>
      </c>
      <c r="D269" s="557" t="str">
        <f t="shared" si="23"/>
        <v/>
      </c>
      <c r="E269" s="560"/>
      <c r="F269" s="559"/>
      <c r="G269" s="559" t="str">
        <f t="shared" si="24"/>
        <v/>
      </c>
      <c r="H269" s="559" t="str">
        <f t="shared" si="25"/>
        <v/>
      </c>
      <c r="I269" s="559" t="str">
        <f t="shared" si="26"/>
        <v/>
      </c>
    </row>
    <row r="270" spans="2:9">
      <c r="B270" s="555" t="str">
        <f t="shared" si="21"/>
        <v/>
      </c>
      <c r="C270" s="556" t="str">
        <f t="shared" si="22"/>
        <v/>
      </c>
      <c r="D270" s="557" t="str">
        <f t="shared" si="23"/>
        <v/>
      </c>
      <c r="E270" s="560"/>
      <c r="F270" s="559"/>
      <c r="G270" s="559" t="str">
        <f t="shared" si="24"/>
        <v/>
      </c>
      <c r="H270" s="559" t="str">
        <f t="shared" si="25"/>
        <v/>
      </c>
      <c r="I270" s="559" t="str">
        <f t="shared" si="26"/>
        <v/>
      </c>
    </row>
    <row r="271" spans="2:9">
      <c r="B271" s="555" t="str">
        <f t="shared" si="21"/>
        <v/>
      </c>
      <c r="C271" s="556" t="str">
        <f t="shared" si="22"/>
        <v/>
      </c>
      <c r="D271" s="557" t="str">
        <f t="shared" si="23"/>
        <v/>
      </c>
      <c r="E271" s="560"/>
      <c r="F271" s="559"/>
      <c r="G271" s="559" t="str">
        <f t="shared" si="24"/>
        <v/>
      </c>
      <c r="H271" s="559" t="str">
        <f t="shared" si="25"/>
        <v/>
      </c>
      <c r="I271" s="559" t="str">
        <f t="shared" si="26"/>
        <v/>
      </c>
    </row>
    <row r="272" spans="2:9">
      <c r="B272" s="555" t="str">
        <f t="shared" si="21"/>
        <v/>
      </c>
      <c r="C272" s="556" t="str">
        <f t="shared" si="22"/>
        <v/>
      </c>
      <c r="D272" s="557" t="str">
        <f t="shared" si="23"/>
        <v/>
      </c>
      <c r="E272" s="560"/>
      <c r="F272" s="559"/>
      <c r="G272" s="559" t="str">
        <f t="shared" si="24"/>
        <v/>
      </c>
      <c r="H272" s="559" t="str">
        <f t="shared" si="25"/>
        <v/>
      </c>
      <c r="I272" s="559" t="str">
        <f t="shared" si="26"/>
        <v/>
      </c>
    </row>
    <row r="273" spans="2:9">
      <c r="B273" s="555" t="str">
        <f t="shared" si="21"/>
        <v/>
      </c>
      <c r="C273" s="556" t="str">
        <f t="shared" si="22"/>
        <v/>
      </c>
      <c r="D273" s="557" t="str">
        <f t="shared" si="23"/>
        <v/>
      </c>
      <c r="E273" s="560"/>
      <c r="F273" s="559"/>
      <c r="G273" s="559" t="str">
        <f t="shared" si="24"/>
        <v/>
      </c>
      <c r="H273" s="559" t="str">
        <f t="shared" si="25"/>
        <v/>
      </c>
      <c r="I273" s="559" t="str">
        <f t="shared" si="26"/>
        <v/>
      </c>
    </row>
    <row r="274" spans="2:9">
      <c r="B274" s="555" t="str">
        <f t="shared" si="21"/>
        <v/>
      </c>
      <c r="C274" s="556" t="str">
        <f t="shared" si="22"/>
        <v/>
      </c>
      <c r="D274" s="557" t="str">
        <f t="shared" si="23"/>
        <v/>
      </c>
      <c r="E274" s="560"/>
      <c r="F274" s="559"/>
      <c r="G274" s="559" t="str">
        <f t="shared" si="24"/>
        <v/>
      </c>
      <c r="H274" s="559" t="str">
        <f t="shared" si="25"/>
        <v/>
      </c>
      <c r="I274" s="559" t="str">
        <f t="shared" si="26"/>
        <v/>
      </c>
    </row>
    <row r="275" spans="2:9">
      <c r="B275" s="555" t="str">
        <f t="shared" si="21"/>
        <v/>
      </c>
      <c r="C275" s="556" t="str">
        <f t="shared" si="22"/>
        <v/>
      </c>
      <c r="D275" s="557" t="str">
        <f t="shared" si="23"/>
        <v/>
      </c>
      <c r="E275" s="560"/>
      <c r="F275" s="559"/>
      <c r="G275" s="559" t="str">
        <f t="shared" si="24"/>
        <v/>
      </c>
      <c r="H275" s="559" t="str">
        <f t="shared" si="25"/>
        <v/>
      </c>
      <c r="I275" s="559" t="str">
        <f t="shared" si="26"/>
        <v/>
      </c>
    </row>
    <row r="276" spans="2:9">
      <c r="B276" s="555" t="str">
        <f t="shared" si="21"/>
        <v/>
      </c>
      <c r="C276" s="556" t="str">
        <f t="shared" si="22"/>
        <v/>
      </c>
      <c r="D276" s="557" t="str">
        <f t="shared" si="23"/>
        <v/>
      </c>
      <c r="E276" s="560"/>
      <c r="F276" s="559"/>
      <c r="G276" s="559" t="str">
        <f t="shared" si="24"/>
        <v/>
      </c>
      <c r="H276" s="559" t="str">
        <f t="shared" si="25"/>
        <v/>
      </c>
      <c r="I276" s="559" t="str">
        <f t="shared" si="26"/>
        <v/>
      </c>
    </row>
    <row r="277" spans="2:9">
      <c r="B277" s="555" t="str">
        <f t="shared" si="21"/>
        <v/>
      </c>
      <c r="C277" s="556" t="str">
        <f t="shared" si="22"/>
        <v/>
      </c>
      <c r="D277" s="557" t="str">
        <f t="shared" si="23"/>
        <v/>
      </c>
      <c r="E277" s="560"/>
      <c r="F277" s="559"/>
      <c r="G277" s="559" t="str">
        <f t="shared" si="24"/>
        <v/>
      </c>
      <c r="H277" s="559" t="str">
        <f t="shared" si="25"/>
        <v/>
      </c>
      <c r="I277" s="559" t="str">
        <f t="shared" si="26"/>
        <v/>
      </c>
    </row>
    <row r="278" spans="2:9">
      <c r="B278" s="555" t="str">
        <f t="shared" si="21"/>
        <v/>
      </c>
      <c r="C278" s="556" t="str">
        <f t="shared" si="22"/>
        <v/>
      </c>
      <c r="D278" s="557" t="str">
        <f t="shared" si="23"/>
        <v/>
      </c>
      <c r="E278" s="560"/>
      <c r="F278" s="559"/>
      <c r="G278" s="559" t="str">
        <f t="shared" si="24"/>
        <v/>
      </c>
      <c r="H278" s="559" t="str">
        <f t="shared" si="25"/>
        <v/>
      </c>
      <c r="I278" s="559" t="str">
        <f t="shared" si="26"/>
        <v/>
      </c>
    </row>
    <row r="279" spans="2:9">
      <c r="B279" s="555" t="str">
        <f t="shared" si="21"/>
        <v/>
      </c>
      <c r="C279" s="556" t="str">
        <f t="shared" si="22"/>
        <v/>
      </c>
      <c r="D279" s="557" t="str">
        <f t="shared" si="23"/>
        <v/>
      </c>
      <c r="E279" s="560"/>
      <c r="F279" s="559"/>
      <c r="G279" s="559" t="str">
        <f t="shared" si="24"/>
        <v/>
      </c>
      <c r="H279" s="559" t="str">
        <f t="shared" si="25"/>
        <v/>
      </c>
      <c r="I279" s="559" t="str">
        <f t="shared" si="26"/>
        <v/>
      </c>
    </row>
    <row r="280" spans="2:9">
      <c r="B280" s="555" t="str">
        <f t="shared" si="21"/>
        <v/>
      </c>
      <c r="C280" s="556" t="str">
        <f t="shared" si="22"/>
        <v/>
      </c>
      <c r="D280" s="557" t="str">
        <f t="shared" si="23"/>
        <v/>
      </c>
      <c r="E280" s="560"/>
      <c r="F280" s="559"/>
      <c r="G280" s="559" t="str">
        <f t="shared" si="24"/>
        <v/>
      </c>
      <c r="H280" s="559" t="str">
        <f t="shared" si="25"/>
        <v/>
      </c>
      <c r="I280" s="559" t="str">
        <f t="shared" si="26"/>
        <v/>
      </c>
    </row>
    <row r="281" spans="2:9">
      <c r="B281" s="555" t="str">
        <f t="shared" si="21"/>
        <v/>
      </c>
      <c r="C281" s="556" t="str">
        <f t="shared" si="22"/>
        <v/>
      </c>
      <c r="D281" s="557" t="str">
        <f t="shared" si="23"/>
        <v/>
      </c>
      <c r="E281" s="560"/>
      <c r="F281" s="559"/>
      <c r="G281" s="559" t="str">
        <f t="shared" si="24"/>
        <v/>
      </c>
      <c r="H281" s="559" t="str">
        <f t="shared" si="25"/>
        <v/>
      </c>
      <c r="I281" s="559" t="str">
        <f t="shared" si="26"/>
        <v/>
      </c>
    </row>
    <row r="282" spans="2:9">
      <c r="B282" s="555" t="str">
        <f t="shared" si="21"/>
        <v/>
      </c>
      <c r="C282" s="556" t="str">
        <f t="shared" si="22"/>
        <v/>
      </c>
      <c r="D282" s="557" t="str">
        <f t="shared" si="23"/>
        <v/>
      </c>
      <c r="E282" s="560"/>
      <c r="F282" s="559"/>
      <c r="G282" s="559" t="str">
        <f t="shared" si="24"/>
        <v/>
      </c>
      <c r="H282" s="559" t="str">
        <f t="shared" si="25"/>
        <v/>
      </c>
      <c r="I282" s="559" t="str">
        <f t="shared" si="26"/>
        <v/>
      </c>
    </row>
    <row r="283" spans="2:9">
      <c r="B283" s="555" t="str">
        <f t="shared" si="21"/>
        <v/>
      </c>
      <c r="C283" s="556" t="str">
        <f t="shared" si="22"/>
        <v/>
      </c>
      <c r="D283" s="557" t="str">
        <f t="shared" si="23"/>
        <v/>
      </c>
      <c r="E283" s="560"/>
      <c r="F283" s="559"/>
      <c r="G283" s="559" t="str">
        <f t="shared" si="24"/>
        <v/>
      </c>
      <c r="H283" s="559" t="str">
        <f t="shared" si="25"/>
        <v/>
      </c>
      <c r="I283" s="559" t="str">
        <f t="shared" si="26"/>
        <v/>
      </c>
    </row>
    <row r="284" spans="2:9">
      <c r="B284" s="555" t="str">
        <f t="shared" si="21"/>
        <v/>
      </c>
      <c r="C284" s="556" t="str">
        <f t="shared" si="22"/>
        <v/>
      </c>
      <c r="D284" s="557" t="str">
        <f t="shared" si="23"/>
        <v/>
      </c>
      <c r="E284" s="560"/>
      <c r="F284" s="559"/>
      <c r="G284" s="559" t="str">
        <f t="shared" si="24"/>
        <v/>
      </c>
      <c r="H284" s="559" t="str">
        <f t="shared" si="25"/>
        <v/>
      </c>
      <c r="I284" s="559" t="str">
        <f t="shared" si="26"/>
        <v/>
      </c>
    </row>
    <row r="285" spans="2:9">
      <c r="B285" s="555" t="str">
        <f t="shared" si="21"/>
        <v/>
      </c>
      <c r="C285" s="556" t="str">
        <f t="shared" si="22"/>
        <v/>
      </c>
      <c r="D285" s="557" t="str">
        <f t="shared" si="23"/>
        <v/>
      </c>
      <c r="E285" s="560"/>
      <c r="F285" s="559"/>
      <c r="G285" s="559" t="str">
        <f t="shared" si="24"/>
        <v/>
      </c>
      <c r="H285" s="559" t="str">
        <f t="shared" si="25"/>
        <v/>
      </c>
      <c r="I285" s="559" t="str">
        <f t="shared" si="26"/>
        <v/>
      </c>
    </row>
    <row r="286" spans="2:9">
      <c r="B286" s="555" t="str">
        <f t="shared" si="21"/>
        <v/>
      </c>
      <c r="C286" s="556" t="str">
        <f t="shared" si="22"/>
        <v/>
      </c>
      <c r="D286" s="557" t="str">
        <f t="shared" si="23"/>
        <v/>
      </c>
      <c r="E286" s="560"/>
      <c r="F286" s="559"/>
      <c r="G286" s="559" t="str">
        <f t="shared" si="24"/>
        <v/>
      </c>
      <c r="H286" s="559" t="str">
        <f t="shared" si="25"/>
        <v/>
      </c>
      <c r="I286" s="559" t="str">
        <f t="shared" si="26"/>
        <v/>
      </c>
    </row>
    <row r="287" spans="2:9">
      <c r="B287" s="555" t="str">
        <f t="shared" si="21"/>
        <v/>
      </c>
      <c r="C287" s="556" t="str">
        <f t="shared" si="22"/>
        <v/>
      </c>
      <c r="D287" s="557" t="str">
        <f t="shared" si="23"/>
        <v/>
      </c>
      <c r="E287" s="560"/>
      <c r="F287" s="559"/>
      <c r="G287" s="559" t="str">
        <f t="shared" si="24"/>
        <v/>
      </c>
      <c r="H287" s="559" t="str">
        <f t="shared" si="25"/>
        <v/>
      </c>
      <c r="I287" s="559" t="str">
        <f t="shared" si="26"/>
        <v/>
      </c>
    </row>
    <row r="288" spans="2:9">
      <c r="B288" s="555" t="str">
        <f t="shared" si="21"/>
        <v/>
      </c>
      <c r="C288" s="556" t="str">
        <f t="shared" si="22"/>
        <v/>
      </c>
      <c r="D288" s="557" t="str">
        <f t="shared" si="23"/>
        <v/>
      </c>
      <c r="E288" s="560"/>
      <c r="F288" s="559"/>
      <c r="G288" s="559" t="str">
        <f t="shared" si="24"/>
        <v/>
      </c>
      <c r="H288" s="559" t="str">
        <f t="shared" si="25"/>
        <v/>
      </c>
      <c r="I288" s="559" t="str">
        <f t="shared" si="26"/>
        <v/>
      </c>
    </row>
    <row r="289" spans="2:9">
      <c r="B289" s="555" t="str">
        <f t="shared" si="21"/>
        <v/>
      </c>
      <c r="C289" s="556" t="str">
        <f t="shared" si="22"/>
        <v/>
      </c>
      <c r="D289" s="557" t="str">
        <f t="shared" si="23"/>
        <v/>
      </c>
      <c r="E289" s="560"/>
      <c r="F289" s="559"/>
      <c r="G289" s="559" t="str">
        <f t="shared" si="24"/>
        <v/>
      </c>
      <c r="H289" s="559" t="str">
        <f t="shared" si="25"/>
        <v/>
      </c>
      <c r="I289" s="559" t="str">
        <f t="shared" si="26"/>
        <v/>
      </c>
    </row>
    <row r="290" spans="2:9">
      <c r="B290" s="555" t="str">
        <f t="shared" si="21"/>
        <v/>
      </c>
      <c r="C290" s="556" t="str">
        <f t="shared" si="22"/>
        <v/>
      </c>
      <c r="D290" s="557" t="str">
        <f t="shared" si="23"/>
        <v/>
      </c>
      <c r="E290" s="560"/>
      <c r="F290" s="559"/>
      <c r="G290" s="559" t="str">
        <f t="shared" si="24"/>
        <v/>
      </c>
      <c r="H290" s="559" t="str">
        <f t="shared" si="25"/>
        <v/>
      </c>
      <c r="I290" s="559" t="str">
        <f t="shared" si="26"/>
        <v/>
      </c>
    </row>
    <row r="291" spans="2:9">
      <c r="B291" s="555" t="str">
        <f t="shared" si="21"/>
        <v/>
      </c>
      <c r="C291" s="556" t="str">
        <f t="shared" si="22"/>
        <v/>
      </c>
      <c r="D291" s="557" t="str">
        <f t="shared" si="23"/>
        <v/>
      </c>
      <c r="E291" s="560"/>
      <c r="F291" s="559"/>
      <c r="G291" s="559" t="str">
        <f t="shared" si="24"/>
        <v/>
      </c>
      <c r="H291" s="559" t="str">
        <f t="shared" si="25"/>
        <v/>
      </c>
      <c r="I291" s="559" t="str">
        <f t="shared" si="26"/>
        <v/>
      </c>
    </row>
    <row r="292" spans="2:9">
      <c r="B292" s="555" t="str">
        <f t="shared" si="21"/>
        <v/>
      </c>
      <c r="C292" s="556" t="str">
        <f t="shared" si="22"/>
        <v/>
      </c>
      <c r="D292" s="557" t="str">
        <f t="shared" si="23"/>
        <v/>
      </c>
      <c r="E292" s="560"/>
      <c r="F292" s="559"/>
      <c r="G292" s="559" t="str">
        <f t="shared" si="24"/>
        <v/>
      </c>
      <c r="H292" s="559" t="str">
        <f t="shared" si="25"/>
        <v/>
      </c>
      <c r="I292" s="559" t="str">
        <f t="shared" si="26"/>
        <v/>
      </c>
    </row>
    <row r="293" spans="2:9">
      <c r="B293" s="555" t="str">
        <f t="shared" si="21"/>
        <v/>
      </c>
      <c r="C293" s="556" t="str">
        <f t="shared" si="22"/>
        <v/>
      </c>
      <c r="D293" s="557" t="str">
        <f t="shared" si="23"/>
        <v/>
      </c>
      <c r="E293" s="560"/>
      <c r="F293" s="559"/>
      <c r="G293" s="559" t="str">
        <f t="shared" si="24"/>
        <v/>
      </c>
      <c r="H293" s="559" t="str">
        <f t="shared" si="25"/>
        <v/>
      </c>
      <c r="I293" s="559" t="str">
        <f t="shared" si="26"/>
        <v/>
      </c>
    </row>
    <row r="294" spans="2:9">
      <c r="B294" s="555" t="str">
        <f t="shared" si="21"/>
        <v/>
      </c>
      <c r="C294" s="556" t="str">
        <f t="shared" si="22"/>
        <v/>
      </c>
      <c r="D294" s="557" t="str">
        <f t="shared" si="23"/>
        <v/>
      </c>
      <c r="E294" s="560"/>
      <c r="F294" s="559"/>
      <c r="G294" s="559" t="str">
        <f t="shared" si="24"/>
        <v/>
      </c>
      <c r="H294" s="559" t="str">
        <f t="shared" si="25"/>
        <v/>
      </c>
      <c r="I294" s="559" t="str">
        <f t="shared" si="26"/>
        <v/>
      </c>
    </row>
    <row r="295" spans="2:9">
      <c r="B295" s="555" t="str">
        <f t="shared" si="21"/>
        <v/>
      </c>
      <c r="C295" s="556" t="str">
        <f t="shared" si="22"/>
        <v/>
      </c>
      <c r="D295" s="557" t="str">
        <f t="shared" si="23"/>
        <v/>
      </c>
      <c r="E295" s="560"/>
      <c r="F295" s="559"/>
      <c r="G295" s="559" t="str">
        <f t="shared" si="24"/>
        <v/>
      </c>
      <c r="H295" s="559" t="str">
        <f t="shared" si="25"/>
        <v/>
      </c>
      <c r="I295" s="559" t="str">
        <f t="shared" si="26"/>
        <v/>
      </c>
    </row>
    <row r="296" spans="2:9">
      <c r="B296" s="555" t="str">
        <f t="shared" si="21"/>
        <v/>
      </c>
      <c r="C296" s="556" t="str">
        <f t="shared" si="22"/>
        <v/>
      </c>
      <c r="D296" s="557" t="str">
        <f t="shared" si="23"/>
        <v/>
      </c>
      <c r="E296" s="560"/>
      <c r="F296" s="559"/>
      <c r="G296" s="559" t="str">
        <f t="shared" si="24"/>
        <v/>
      </c>
      <c r="H296" s="559" t="str">
        <f t="shared" si="25"/>
        <v/>
      </c>
      <c r="I296" s="559" t="str">
        <f t="shared" si="26"/>
        <v/>
      </c>
    </row>
    <row r="297" spans="2:9">
      <c r="B297" s="555" t="str">
        <f t="shared" si="21"/>
        <v/>
      </c>
      <c r="C297" s="556" t="str">
        <f t="shared" si="22"/>
        <v/>
      </c>
      <c r="D297" s="557" t="str">
        <f t="shared" si="23"/>
        <v/>
      </c>
      <c r="E297" s="560"/>
      <c r="F297" s="559"/>
      <c r="G297" s="559" t="str">
        <f t="shared" si="24"/>
        <v/>
      </c>
      <c r="H297" s="559" t="str">
        <f t="shared" si="25"/>
        <v/>
      </c>
      <c r="I297" s="559" t="str">
        <f t="shared" si="26"/>
        <v/>
      </c>
    </row>
    <row r="298" spans="2:9">
      <c r="B298" s="555" t="str">
        <f t="shared" si="21"/>
        <v/>
      </c>
      <c r="C298" s="556" t="str">
        <f t="shared" si="22"/>
        <v/>
      </c>
      <c r="D298" s="557" t="str">
        <f t="shared" si="23"/>
        <v/>
      </c>
      <c r="E298" s="560"/>
      <c r="F298" s="559"/>
      <c r="G298" s="559" t="str">
        <f t="shared" si="24"/>
        <v/>
      </c>
      <c r="H298" s="559" t="str">
        <f t="shared" si="25"/>
        <v/>
      </c>
      <c r="I298" s="559" t="str">
        <f t="shared" si="26"/>
        <v/>
      </c>
    </row>
    <row r="299" spans="2:9">
      <c r="B299" s="555" t="str">
        <f t="shared" si="21"/>
        <v/>
      </c>
      <c r="C299" s="556" t="str">
        <f t="shared" si="22"/>
        <v/>
      </c>
      <c r="D299" s="557" t="str">
        <f t="shared" si="23"/>
        <v/>
      </c>
      <c r="E299" s="560"/>
      <c r="F299" s="559"/>
      <c r="G299" s="559" t="str">
        <f t="shared" si="24"/>
        <v/>
      </c>
      <c r="H299" s="559" t="str">
        <f t="shared" si="25"/>
        <v/>
      </c>
      <c r="I299" s="559" t="str">
        <f t="shared" si="26"/>
        <v/>
      </c>
    </row>
    <row r="300" spans="2:9">
      <c r="B300" s="555" t="str">
        <f t="shared" si="21"/>
        <v/>
      </c>
      <c r="C300" s="556" t="str">
        <f t="shared" si="22"/>
        <v/>
      </c>
      <c r="D300" s="557" t="str">
        <f t="shared" si="23"/>
        <v/>
      </c>
      <c r="E300" s="560"/>
      <c r="F300" s="559"/>
      <c r="G300" s="559" t="str">
        <f t="shared" si="24"/>
        <v/>
      </c>
      <c r="H300" s="559" t="str">
        <f t="shared" si="25"/>
        <v/>
      </c>
      <c r="I300" s="559" t="str">
        <f t="shared" si="26"/>
        <v/>
      </c>
    </row>
    <row r="301" spans="2:9">
      <c r="B301" s="555" t="str">
        <f t="shared" si="21"/>
        <v/>
      </c>
      <c r="C301" s="556" t="str">
        <f t="shared" si="22"/>
        <v/>
      </c>
      <c r="D301" s="557" t="str">
        <f t="shared" si="23"/>
        <v/>
      </c>
      <c r="E301" s="560"/>
      <c r="F301" s="559"/>
      <c r="G301" s="559" t="str">
        <f t="shared" si="24"/>
        <v/>
      </c>
      <c r="H301" s="559" t="str">
        <f t="shared" si="25"/>
        <v/>
      </c>
      <c r="I301" s="559" t="str">
        <f t="shared" si="26"/>
        <v/>
      </c>
    </row>
    <row r="302" spans="2:9">
      <c r="B302" s="555" t="str">
        <f t="shared" si="21"/>
        <v/>
      </c>
      <c r="C302" s="556" t="str">
        <f t="shared" si="22"/>
        <v/>
      </c>
      <c r="D302" s="557" t="str">
        <f t="shared" si="23"/>
        <v/>
      </c>
      <c r="E302" s="560"/>
      <c r="F302" s="559"/>
      <c r="G302" s="559" t="str">
        <f t="shared" si="24"/>
        <v/>
      </c>
      <c r="H302" s="559" t="str">
        <f t="shared" si="25"/>
        <v/>
      </c>
      <c r="I302" s="559" t="str">
        <f t="shared" si="26"/>
        <v/>
      </c>
    </row>
    <row r="303" spans="2:9">
      <c r="B303" s="555" t="str">
        <f t="shared" si="21"/>
        <v/>
      </c>
      <c r="C303" s="556" t="str">
        <f t="shared" si="22"/>
        <v/>
      </c>
      <c r="D303" s="557" t="str">
        <f t="shared" si="23"/>
        <v/>
      </c>
      <c r="E303" s="560"/>
      <c r="F303" s="559"/>
      <c r="G303" s="559" t="str">
        <f t="shared" si="24"/>
        <v/>
      </c>
      <c r="H303" s="559" t="str">
        <f t="shared" si="25"/>
        <v/>
      </c>
      <c r="I303" s="559" t="str">
        <f t="shared" si="26"/>
        <v/>
      </c>
    </row>
    <row r="304" spans="2:9">
      <c r="B304" s="555" t="str">
        <f t="shared" si="21"/>
        <v/>
      </c>
      <c r="C304" s="556" t="str">
        <f t="shared" si="22"/>
        <v/>
      </c>
      <c r="D304" s="557" t="str">
        <f t="shared" si="23"/>
        <v/>
      </c>
      <c r="E304" s="560"/>
      <c r="F304" s="559"/>
      <c r="G304" s="559" t="str">
        <f t="shared" si="24"/>
        <v/>
      </c>
      <c r="H304" s="559" t="str">
        <f t="shared" si="25"/>
        <v/>
      </c>
      <c r="I304" s="559" t="str">
        <f t="shared" si="26"/>
        <v/>
      </c>
    </row>
    <row r="305" spans="2:9">
      <c r="B305" s="555" t="str">
        <f t="shared" si="21"/>
        <v/>
      </c>
      <c r="C305" s="556" t="str">
        <f t="shared" si="22"/>
        <v/>
      </c>
      <c r="D305" s="557" t="str">
        <f t="shared" si="23"/>
        <v/>
      </c>
      <c r="E305" s="560"/>
      <c r="F305" s="559"/>
      <c r="G305" s="559" t="str">
        <f t="shared" si="24"/>
        <v/>
      </c>
      <c r="H305" s="559" t="str">
        <f t="shared" si="25"/>
        <v/>
      </c>
      <c r="I305" s="559" t="str">
        <f t="shared" si="26"/>
        <v/>
      </c>
    </row>
    <row r="306" spans="2:9">
      <c r="B306" s="555" t="str">
        <f t="shared" si="21"/>
        <v/>
      </c>
      <c r="C306" s="556" t="str">
        <f t="shared" si="22"/>
        <v/>
      </c>
      <c r="D306" s="557" t="str">
        <f t="shared" si="23"/>
        <v/>
      </c>
      <c r="E306" s="560"/>
      <c r="F306" s="559"/>
      <c r="G306" s="559" t="str">
        <f t="shared" si="24"/>
        <v/>
      </c>
      <c r="H306" s="559" t="str">
        <f t="shared" si="25"/>
        <v/>
      </c>
      <c r="I306" s="559" t="str">
        <f t="shared" si="26"/>
        <v/>
      </c>
    </row>
    <row r="307" spans="2:9">
      <c r="B307" s="555" t="str">
        <f t="shared" si="21"/>
        <v/>
      </c>
      <c r="C307" s="556" t="str">
        <f t="shared" si="22"/>
        <v/>
      </c>
      <c r="D307" s="557" t="str">
        <f t="shared" si="23"/>
        <v/>
      </c>
      <c r="E307" s="560"/>
      <c r="F307" s="559"/>
      <c r="G307" s="559" t="str">
        <f t="shared" si="24"/>
        <v/>
      </c>
      <c r="H307" s="559" t="str">
        <f t="shared" si="25"/>
        <v/>
      </c>
      <c r="I307" s="559" t="str">
        <f t="shared" si="26"/>
        <v/>
      </c>
    </row>
    <row r="308" spans="2:9">
      <c r="B308" s="555" t="str">
        <f t="shared" si="21"/>
        <v/>
      </c>
      <c r="C308" s="556" t="str">
        <f t="shared" si="22"/>
        <v/>
      </c>
      <c r="D308" s="557" t="str">
        <f t="shared" si="23"/>
        <v/>
      </c>
      <c r="E308" s="560"/>
      <c r="F308" s="559"/>
      <c r="G308" s="559" t="str">
        <f t="shared" si="24"/>
        <v/>
      </c>
      <c r="H308" s="559" t="str">
        <f t="shared" si="25"/>
        <v/>
      </c>
      <c r="I308" s="559" t="str">
        <f t="shared" si="26"/>
        <v/>
      </c>
    </row>
    <row r="309" spans="2:9">
      <c r="B309" s="555" t="str">
        <f t="shared" si="21"/>
        <v/>
      </c>
      <c r="C309" s="556" t="str">
        <f t="shared" si="22"/>
        <v/>
      </c>
      <c r="D309" s="557" t="str">
        <f t="shared" si="23"/>
        <v/>
      </c>
      <c r="E309" s="560"/>
      <c r="F309" s="559"/>
      <c r="G309" s="559" t="str">
        <f t="shared" si="24"/>
        <v/>
      </c>
      <c r="H309" s="559" t="str">
        <f t="shared" si="25"/>
        <v/>
      </c>
      <c r="I309" s="559" t="str">
        <f t="shared" si="26"/>
        <v/>
      </c>
    </row>
    <row r="310" spans="2:9">
      <c r="B310" s="555" t="str">
        <f t="shared" si="21"/>
        <v/>
      </c>
      <c r="C310" s="556" t="str">
        <f t="shared" si="22"/>
        <v/>
      </c>
      <c r="D310" s="557" t="str">
        <f t="shared" si="23"/>
        <v/>
      </c>
      <c r="E310" s="560"/>
      <c r="F310" s="559"/>
      <c r="G310" s="559" t="str">
        <f t="shared" si="24"/>
        <v/>
      </c>
      <c r="H310" s="559" t="str">
        <f t="shared" si="25"/>
        <v/>
      </c>
      <c r="I310" s="559" t="str">
        <f t="shared" si="26"/>
        <v/>
      </c>
    </row>
    <row r="311" spans="2:9">
      <c r="B311" s="555" t="str">
        <f t="shared" si="21"/>
        <v/>
      </c>
      <c r="C311" s="556" t="str">
        <f t="shared" si="22"/>
        <v/>
      </c>
      <c r="D311" s="557" t="str">
        <f t="shared" si="23"/>
        <v/>
      </c>
      <c r="E311" s="560"/>
      <c r="F311" s="559"/>
      <c r="G311" s="559" t="str">
        <f t="shared" si="24"/>
        <v/>
      </c>
      <c r="H311" s="559" t="str">
        <f t="shared" si="25"/>
        <v/>
      </c>
      <c r="I311" s="559" t="str">
        <f t="shared" si="26"/>
        <v/>
      </c>
    </row>
    <row r="312" spans="2:9">
      <c r="B312" s="555" t="str">
        <f t="shared" si="21"/>
        <v/>
      </c>
      <c r="C312" s="556" t="str">
        <f t="shared" si="22"/>
        <v/>
      </c>
      <c r="D312" s="557" t="str">
        <f t="shared" si="23"/>
        <v/>
      </c>
      <c r="E312" s="560"/>
      <c r="F312" s="559"/>
      <c r="G312" s="559" t="str">
        <f t="shared" si="24"/>
        <v/>
      </c>
      <c r="H312" s="559" t="str">
        <f t="shared" si="25"/>
        <v/>
      </c>
      <c r="I312" s="559" t="str">
        <f t="shared" si="26"/>
        <v/>
      </c>
    </row>
    <row r="313" spans="2:9">
      <c r="B313" s="555" t="str">
        <f t="shared" si="21"/>
        <v/>
      </c>
      <c r="C313" s="556" t="str">
        <f t="shared" si="22"/>
        <v/>
      </c>
      <c r="D313" s="557" t="str">
        <f t="shared" si="23"/>
        <v/>
      </c>
      <c r="E313" s="560"/>
      <c r="F313" s="559"/>
      <c r="G313" s="559" t="str">
        <f t="shared" si="24"/>
        <v/>
      </c>
      <c r="H313" s="559" t="str">
        <f t="shared" si="25"/>
        <v/>
      </c>
      <c r="I313" s="559" t="str">
        <f t="shared" si="26"/>
        <v/>
      </c>
    </row>
    <row r="314" spans="2:9">
      <c r="B314" s="555" t="str">
        <f t="shared" si="21"/>
        <v/>
      </c>
      <c r="C314" s="556" t="str">
        <f t="shared" si="22"/>
        <v/>
      </c>
      <c r="D314" s="557" t="str">
        <f t="shared" si="23"/>
        <v/>
      </c>
      <c r="E314" s="560"/>
      <c r="F314" s="559"/>
      <c r="G314" s="559" t="str">
        <f t="shared" si="24"/>
        <v/>
      </c>
      <c r="H314" s="559" t="str">
        <f t="shared" si="25"/>
        <v/>
      </c>
      <c r="I314" s="559" t="str">
        <f t="shared" si="26"/>
        <v/>
      </c>
    </row>
    <row r="315" spans="2:9">
      <c r="B315" s="555" t="str">
        <f t="shared" si="21"/>
        <v/>
      </c>
      <c r="C315" s="556" t="str">
        <f t="shared" si="22"/>
        <v/>
      </c>
      <c r="D315" s="557" t="str">
        <f t="shared" si="23"/>
        <v/>
      </c>
      <c r="E315" s="560"/>
      <c r="F315" s="559"/>
      <c r="G315" s="559" t="str">
        <f t="shared" si="24"/>
        <v/>
      </c>
      <c r="H315" s="559" t="str">
        <f t="shared" si="25"/>
        <v/>
      </c>
      <c r="I315" s="559" t="str">
        <f t="shared" si="26"/>
        <v/>
      </c>
    </row>
    <row r="316" spans="2:9">
      <c r="B316" s="555" t="str">
        <f t="shared" si="21"/>
        <v/>
      </c>
      <c r="C316" s="556" t="str">
        <f t="shared" si="22"/>
        <v/>
      </c>
      <c r="D316" s="557" t="str">
        <f t="shared" si="23"/>
        <v/>
      </c>
      <c r="E316" s="560"/>
      <c r="F316" s="559"/>
      <c r="G316" s="559" t="str">
        <f t="shared" si="24"/>
        <v/>
      </c>
      <c r="H316" s="559" t="str">
        <f t="shared" si="25"/>
        <v/>
      </c>
      <c r="I316" s="559" t="str">
        <f t="shared" si="26"/>
        <v/>
      </c>
    </row>
    <row r="317" spans="2:9">
      <c r="B317" s="555" t="str">
        <f t="shared" ref="B317:B380" si="27">IF(I316="","",IF(roundOpt,IF(OR(B316&gt;=nper,ROUND(I316,2)&lt;=0),"",B316+1),IF(OR(B316&gt;=nper,I316&lt;=0),"",B316+1)))</f>
        <v/>
      </c>
      <c r="C317" s="556" t="str">
        <f t="shared" ref="C317:C380" si="28">IF(B317="","",IF(OR(periods_per_year=26,periods_per_year=52),IF(periods_per_year=26,IF(B317=1,fpdate,C316+14),IF(periods_per_year=52,IF(B317=1,fpdate,C316+7),"n/a")),IF(periods_per_year=24,DATE(YEAR(fpdate),MONTH(fpdate)+(B317-1)/2+IF(AND(DAY(fpdate)&gt;=15,MOD(B317,2)=0),1,0),IF(MOD(B317,2)=0,IF(DAY(fpdate)&gt;=15,DAY(fpdate)-14,DAY(fpdate)+14),DAY(fpdate))),IF(DAY(DATE(YEAR(fpdate),MONTH(fpdate)+(B317-1)*months_per_period,DAY(fpdate)))&lt;&gt;DAY(fpdate),DATE(YEAR(fpdate),MONTH(fpdate)+(B317-1)*months_per_period+1,0),DATE(YEAR(fpdate),MONTH(fpdate)+(B317-1)*months_per_period,DAY(fpdate))))))</f>
        <v/>
      </c>
      <c r="D317" s="557" t="str">
        <f t="shared" ref="D317:D380" si="29">IF(B317="","",IF(roundOpt,IF(OR(B317=nper,payment&gt;ROUND((1+rate)*I316,2)),ROUND((1+rate)*I316,2),payment),IF(OR(B317=nper,payment&gt;(1+rate)*I316),(1+rate)*I316,payment)))</f>
        <v/>
      </c>
      <c r="E317" s="560"/>
      <c r="F317" s="559"/>
      <c r="G317" s="559" t="str">
        <f t="shared" ref="G317:G380" si="30">IF(B317="","",IF(AND(B317=1,pmtType=1),0,IF(roundOpt,ROUND(rate*I316,2),rate*I316)))</f>
        <v/>
      </c>
      <c r="H317" s="559" t="str">
        <f t="shared" ref="H317:H380" si="31">IF(B317="","",D317-G317+E317)</f>
        <v/>
      </c>
      <c r="I317" s="559" t="str">
        <f t="shared" ref="I317:I380" si="32">IF(B317="","",I316-H317)</f>
        <v/>
      </c>
    </row>
    <row r="318" spans="2:9">
      <c r="B318" s="555" t="str">
        <f t="shared" si="27"/>
        <v/>
      </c>
      <c r="C318" s="556" t="str">
        <f t="shared" si="28"/>
        <v/>
      </c>
      <c r="D318" s="557" t="str">
        <f t="shared" si="29"/>
        <v/>
      </c>
      <c r="E318" s="560"/>
      <c r="F318" s="559"/>
      <c r="G318" s="559" t="str">
        <f t="shared" si="30"/>
        <v/>
      </c>
      <c r="H318" s="559" t="str">
        <f t="shared" si="31"/>
        <v/>
      </c>
      <c r="I318" s="559" t="str">
        <f t="shared" si="32"/>
        <v/>
      </c>
    </row>
    <row r="319" spans="2:9">
      <c r="B319" s="555" t="str">
        <f t="shared" si="27"/>
        <v/>
      </c>
      <c r="C319" s="556" t="str">
        <f t="shared" si="28"/>
        <v/>
      </c>
      <c r="D319" s="557" t="str">
        <f t="shared" si="29"/>
        <v/>
      </c>
      <c r="E319" s="560"/>
      <c r="F319" s="559"/>
      <c r="G319" s="559" t="str">
        <f t="shared" si="30"/>
        <v/>
      </c>
      <c r="H319" s="559" t="str">
        <f t="shared" si="31"/>
        <v/>
      </c>
      <c r="I319" s="559" t="str">
        <f t="shared" si="32"/>
        <v/>
      </c>
    </row>
    <row r="320" spans="2:9">
      <c r="B320" s="555" t="str">
        <f t="shared" si="27"/>
        <v/>
      </c>
      <c r="C320" s="556" t="str">
        <f t="shared" si="28"/>
        <v/>
      </c>
      <c r="D320" s="557" t="str">
        <f t="shared" si="29"/>
        <v/>
      </c>
      <c r="E320" s="560"/>
      <c r="F320" s="559"/>
      <c r="G320" s="559" t="str">
        <f t="shared" si="30"/>
        <v/>
      </c>
      <c r="H320" s="559" t="str">
        <f t="shared" si="31"/>
        <v/>
      </c>
      <c r="I320" s="559" t="str">
        <f t="shared" si="32"/>
        <v/>
      </c>
    </row>
    <row r="321" spans="2:9">
      <c r="B321" s="555" t="str">
        <f t="shared" si="27"/>
        <v/>
      </c>
      <c r="C321" s="556" t="str">
        <f t="shared" si="28"/>
        <v/>
      </c>
      <c r="D321" s="557" t="str">
        <f t="shared" si="29"/>
        <v/>
      </c>
      <c r="E321" s="560"/>
      <c r="F321" s="559"/>
      <c r="G321" s="559" t="str">
        <f t="shared" si="30"/>
        <v/>
      </c>
      <c r="H321" s="559" t="str">
        <f t="shared" si="31"/>
        <v/>
      </c>
      <c r="I321" s="559" t="str">
        <f t="shared" si="32"/>
        <v/>
      </c>
    </row>
    <row r="322" spans="2:9">
      <c r="B322" s="555" t="str">
        <f t="shared" si="27"/>
        <v/>
      </c>
      <c r="C322" s="556" t="str">
        <f t="shared" si="28"/>
        <v/>
      </c>
      <c r="D322" s="557" t="str">
        <f t="shared" si="29"/>
        <v/>
      </c>
      <c r="E322" s="560"/>
      <c r="F322" s="559"/>
      <c r="G322" s="559" t="str">
        <f t="shared" si="30"/>
        <v/>
      </c>
      <c r="H322" s="559" t="str">
        <f t="shared" si="31"/>
        <v/>
      </c>
      <c r="I322" s="559" t="str">
        <f t="shared" si="32"/>
        <v/>
      </c>
    </row>
    <row r="323" spans="2:9">
      <c r="B323" s="555" t="str">
        <f t="shared" si="27"/>
        <v/>
      </c>
      <c r="C323" s="556" t="str">
        <f t="shared" si="28"/>
        <v/>
      </c>
      <c r="D323" s="557" t="str">
        <f t="shared" si="29"/>
        <v/>
      </c>
      <c r="E323" s="560"/>
      <c r="F323" s="559"/>
      <c r="G323" s="559" t="str">
        <f t="shared" si="30"/>
        <v/>
      </c>
      <c r="H323" s="559" t="str">
        <f t="shared" si="31"/>
        <v/>
      </c>
      <c r="I323" s="559" t="str">
        <f t="shared" si="32"/>
        <v/>
      </c>
    </row>
    <row r="324" spans="2:9">
      <c r="B324" s="555" t="str">
        <f t="shared" si="27"/>
        <v/>
      </c>
      <c r="C324" s="556" t="str">
        <f t="shared" si="28"/>
        <v/>
      </c>
      <c r="D324" s="557" t="str">
        <f t="shared" si="29"/>
        <v/>
      </c>
      <c r="E324" s="560"/>
      <c r="F324" s="559"/>
      <c r="G324" s="559" t="str">
        <f t="shared" si="30"/>
        <v/>
      </c>
      <c r="H324" s="559" t="str">
        <f t="shared" si="31"/>
        <v/>
      </c>
      <c r="I324" s="559" t="str">
        <f t="shared" si="32"/>
        <v/>
      </c>
    </row>
    <row r="325" spans="2:9">
      <c r="B325" s="555" t="str">
        <f t="shared" si="27"/>
        <v/>
      </c>
      <c r="C325" s="556" t="str">
        <f t="shared" si="28"/>
        <v/>
      </c>
      <c r="D325" s="557" t="str">
        <f t="shared" si="29"/>
        <v/>
      </c>
      <c r="E325" s="560"/>
      <c r="F325" s="559"/>
      <c r="G325" s="559" t="str">
        <f t="shared" si="30"/>
        <v/>
      </c>
      <c r="H325" s="559" t="str">
        <f t="shared" si="31"/>
        <v/>
      </c>
      <c r="I325" s="559" t="str">
        <f t="shared" si="32"/>
        <v/>
      </c>
    </row>
    <row r="326" spans="2:9">
      <c r="B326" s="555" t="str">
        <f t="shared" si="27"/>
        <v/>
      </c>
      <c r="C326" s="556" t="str">
        <f t="shared" si="28"/>
        <v/>
      </c>
      <c r="D326" s="557" t="str">
        <f t="shared" si="29"/>
        <v/>
      </c>
      <c r="E326" s="560"/>
      <c r="F326" s="559"/>
      <c r="G326" s="559" t="str">
        <f t="shared" si="30"/>
        <v/>
      </c>
      <c r="H326" s="559" t="str">
        <f t="shared" si="31"/>
        <v/>
      </c>
      <c r="I326" s="559" t="str">
        <f t="shared" si="32"/>
        <v/>
      </c>
    </row>
    <row r="327" spans="2:9">
      <c r="B327" s="555" t="str">
        <f t="shared" si="27"/>
        <v/>
      </c>
      <c r="C327" s="556" t="str">
        <f t="shared" si="28"/>
        <v/>
      </c>
      <c r="D327" s="557" t="str">
        <f t="shared" si="29"/>
        <v/>
      </c>
      <c r="E327" s="560"/>
      <c r="F327" s="559"/>
      <c r="G327" s="559" t="str">
        <f t="shared" si="30"/>
        <v/>
      </c>
      <c r="H327" s="559" t="str">
        <f t="shared" si="31"/>
        <v/>
      </c>
      <c r="I327" s="559" t="str">
        <f t="shared" si="32"/>
        <v/>
      </c>
    </row>
    <row r="328" spans="2:9">
      <c r="B328" s="555" t="str">
        <f t="shared" si="27"/>
        <v/>
      </c>
      <c r="C328" s="556" t="str">
        <f t="shared" si="28"/>
        <v/>
      </c>
      <c r="D328" s="557" t="str">
        <f t="shared" si="29"/>
        <v/>
      </c>
      <c r="E328" s="560"/>
      <c r="F328" s="559"/>
      <c r="G328" s="559" t="str">
        <f t="shared" si="30"/>
        <v/>
      </c>
      <c r="H328" s="559" t="str">
        <f t="shared" si="31"/>
        <v/>
      </c>
      <c r="I328" s="559" t="str">
        <f t="shared" si="32"/>
        <v/>
      </c>
    </row>
    <row r="329" spans="2:9">
      <c r="B329" s="555" t="str">
        <f t="shared" si="27"/>
        <v/>
      </c>
      <c r="C329" s="556" t="str">
        <f t="shared" si="28"/>
        <v/>
      </c>
      <c r="D329" s="557" t="str">
        <f t="shared" si="29"/>
        <v/>
      </c>
      <c r="E329" s="560"/>
      <c r="F329" s="559"/>
      <c r="G329" s="559" t="str">
        <f t="shared" si="30"/>
        <v/>
      </c>
      <c r="H329" s="559" t="str">
        <f t="shared" si="31"/>
        <v/>
      </c>
      <c r="I329" s="559" t="str">
        <f t="shared" si="32"/>
        <v/>
      </c>
    </row>
    <row r="330" spans="2:9">
      <c r="B330" s="555" t="str">
        <f t="shared" si="27"/>
        <v/>
      </c>
      <c r="C330" s="556" t="str">
        <f t="shared" si="28"/>
        <v/>
      </c>
      <c r="D330" s="557" t="str">
        <f t="shared" si="29"/>
        <v/>
      </c>
      <c r="E330" s="560"/>
      <c r="F330" s="559"/>
      <c r="G330" s="559" t="str">
        <f t="shared" si="30"/>
        <v/>
      </c>
      <c r="H330" s="559" t="str">
        <f t="shared" si="31"/>
        <v/>
      </c>
      <c r="I330" s="559" t="str">
        <f t="shared" si="32"/>
        <v/>
      </c>
    </row>
    <row r="331" spans="2:9">
      <c r="B331" s="555" t="str">
        <f t="shared" si="27"/>
        <v/>
      </c>
      <c r="C331" s="556" t="str">
        <f t="shared" si="28"/>
        <v/>
      </c>
      <c r="D331" s="557" t="str">
        <f t="shared" si="29"/>
        <v/>
      </c>
      <c r="E331" s="560"/>
      <c r="F331" s="559"/>
      <c r="G331" s="559" t="str">
        <f t="shared" si="30"/>
        <v/>
      </c>
      <c r="H331" s="559" t="str">
        <f t="shared" si="31"/>
        <v/>
      </c>
      <c r="I331" s="559" t="str">
        <f t="shared" si="32"/>
        <v/>
      </c>
    </row>
    <row r="332" spans="2:9">
      <c r="B332" s="555" t="str">
        <f t="shared" si="27"/>
        <v/>
      </c>
      <c r="C332" s="556" t="str">
        <f t="shared" si="28"/>
        <v/>
      </c>
      <c r="D332" s="557" t="str">
        <f t="shared" si="29"/>
        <v/>
      </c>
      <c r="E332" s="560"/>
      <c r="F332" s="559"/>
      <c r="G332" s="559" t="str">
        <f t="shared" si="30"/>
        <v/>
      </c>
      <c r="H332" s="559" t="str">
        <f t="shared" si="31"/>
        <v/>
      </c>
      <c r="I332" s="559" t="str">
        <f t="shared" si="32"/>
        <v/>
      </c>
    </row>
    <row r="333" spans="2:9">
      <c r="B333" s="555" t="str">
        <f t="shared" si="27"/>
        <v/>
      </c>
      <c r="C333" s="556" t="str">
        <f t="shared" si="28"/>
        <v/>
      </c>
      <c r="D333" s="557" t="str">
        <f t="shared" si="29"/>
        <v/>
      </c>
      <c r="E333" s="560"/>
      <c r="F333" s="559"/>
      <c r="G333" s="559" t="str">
        <f t="shared" si="30"/>
        <v/>
      </c>
      <c r="H333" s="559" t="str">
        <f t="shared" si="31"/>
        <v/>
      </c>
      <c r="I333" s="559" t="str">
        <f t="shared" si="32"/>
        <v/>
      </c>
    </row>
    <row r="334" spans="2:9">
      <c r="B334" s="555" t="str">
        <f t="shared" si="27"/>
        <v/>
      </c>
      <c r="C334" s="556" t="str">
        <f t="shared" si="28"/>
        <v/>
      </c>
      <c r="D334" s="557" t="str">
        <f t="shared" si="29"/>
        <v/>
      </c>
      <c r="E334" s="560"/>
      <c r="F334" s="559"/>
      <c r="G334" s="559" t="str">
        <f t="shared" si="30"/>
        <v/>
      </c>
      <c r="H334" s="559" t="str">
        <f t="shared" si="31"/>
        <v/>
      </c>
      <c r="I334" s="559" t="str">
        <f t="shared" si="32"/>
        <v/>
      </c>
    </row>
    <row r="335" spans="2:9">
      <c r="B335" s="555" t="str">
        <f t="shared" si="27"/>
        <v/>
      </c>
      <c r="C335" s="556" t="str">
        <f t="shared" si="28"/>
        <v/>
      </c>
      <c r="D335" s="557" t="str">
        <f t="shared" si="29"/>
        <v/>
      </c>
      <c r="E335" s="560"/>
      <c r="F335" s="559"/>
      <c r="G335" s="559" t="str">
        <f t="shared" si="30"/>
        <v/>
      </c>
      <c r="H335" s="559" t="str">
        <f t="shared" si="31"/>
        <v/>
      </c>
      <c r="I335" s="559" t="str">
        <f t="shared" si="32"/>
        <v/>
      </c>
    </row>
    <row r="336" spans="2:9">
      <c r="B336" s="555" t="str">
        <f t="shared" si="27"/>
        <v/>
      </c>
      <c r="C336" s="556" t="str">
        <f t="shared" si="28"/>
        <v/>
      </c>
      <c r="D336" s="557" t="str">
        <f t="shared" si="29"/>
        <v/>
      </c>
      <c r="E336" s="560"/>
      <c r="F336" s="559"/>
      <c r="G336" s="559" t="str">
        <f t="shared" si="30"/>
        <v/>
      </c>
      <c r="H336" s="559" t="str">
        <f t="shared" si="31"/>
        <v/>
      </c>
      <c r="I336" s="559" t="str">
        <f t="shared" si="32"/>
        <v/>
      </c>
    </row>
    <row r="337" spans="2:9">
      <c r="B337" s="555" t="str">
        <f t="shared" si="27"/>
        <v/>
      </c>
      <c r="C337" s="556" t="str">
        <f t="shared" si="28"/>
        <v/>
      </c>
      <c r="D337" s="557" t="str">
        <f t="shared" si="29"/>
        <v/>
      </c>
      <c r="E337" s="560"/>
      <c r="F337" s="559"/>
      <c r="G337" s="559" t="str">
        <f t="shared" si="30"/>
        <v/>
      </c>
      <c r="H337" s="559" t="str">
        <f t="shared" si="31"/>
        <v/>
      </c>
      <c r="I337" s="559" t="str">
        <f t="shared" si="32"/>
        <v/>
      </c>
    </row>
    <row r="338" spans="2:9">
      <c r="B338" s="555" t="str">
        <f t="shared" si="27"/>
        <v/>
      </c>
      <c r="C338" s="556" t="str">
        <f t="shared" si="28"/>
        <v/>
      </c>
      <c r="D338" s="557" t="str">
        <f t="shared" si="29"/>
        <v/>
      </c>
      <c r="E338" s="560"/>
      <c r="F338" s="559"/>
      <c r="G338" s="559" t="str">
        <f t="shared" si="30"/>
        <v/>
      </c>
      <c r="H338" s="559" t="str">
        <f t="shared" si="31"/>
        <v/>
      </c>
      <c r="I338" s="559" t="str">
        <f t="shared" si="32"/>
        <v/>
      </c>
    </row>
    <row r="339" spans="2:9">
      <c r="B339" s="555" t="str">
        <f t="shared" si="27"/>
        <v/>
      </c>
      <c r="C339" s="556" t="str">
        <f t="shared" si="28"/>
        <v/>
      </c>
      <c r="D339" s="557" t="str">
        <f t="shared" si="29"/>
        <v/>
      </c>
      <c r="E339" s="560"/>
      <c r="F339" s="559"/>
      <c r="G339" s="559" t="str">
        <f t="shared" si="30"/>
        <v/>
      </c>
      <c r="H339" s="559" t="str">
        <f t="shared" si="31"/>
        <v/>
      </c>
      <c r="I339" s="559" t="str">
        <f t="shared" si="32"/>
        <v/>
      </c>
    </row>
    <row r="340" spans="2:9">
      <c r="B340" s="555" t="str">
        <f t="shared" si="27"/>
        <v/>
      </c>
      <c r="C340" s="556" t="str">
        <f t="shared" si="28"/>
        <v/>
      </c>
      <c r="D340" s="557" t="str">
        <f t="shared" si="29"/>
        <v/>
      </c>
      <c r="E340" s="560"/>
      <c r="F340" s="559"/>
      <c r="G340" s="559" t="str">
        <f t="shared" si="30"/>
        <v/>
      </c>
      <c r="H340" s="559" t="str">
        <f t="shared" si="31"/>
        <v/>
      </c>
      <c r="I340" s="559" t="str">
        <f t="shared" si="32"/>
        <v/>
      </c>
    </row>
    <row r="341" spans="2:9">
      <c r="B341" s="555" t="str">
        <f t="shared" si="27"/>
        <v/>
      </c>
      <c r="C341" s="556" t="str">
        <f t="shared" si="28"/>
        <v/>
      </c>
      <c r="D341" s="557" t="str">
        <f t="shared" si="29"/>
        <v/>
      </c>
      <c r="E341" s="560"/>
      <c r="F341" s="559"/>
      <c r="G341" s="559" t="str">
        <f t="shared" si="30"/>
        <v/>
      </c>
      <c r="H341" s="559" t="str">
        <f t="shared" si="31"/>
        <v/>
      </c>
      <c r="I341" s="559" t="str">
        <f t="shared" si="32"/>
        <v/>
      </c>
    </row>
    <row r="342" spans="2:9">
      <c r="B342" s="555" t="str">
        <f t="shared" si="27"/>
        <v/>
      </c>
      <c r="C342" s="556" t="str">
        <f t="shared" si="28"/>
        <v/>
      </c>
      <c r="D342" s="557" t="str">
        <f t="shared" si="29"/>
        <v/>
      </c>
      <c r="E342" s="560"/>
      <c r="F342" s="559"/>
      <c r="G342" s="559" t="str">
        <f t="shared" si="30"/>
        <v/>
      </c>
      <c r="H342" s="559" t="str">
        <f t="shared" si="31"/>
        <v/>
      </c>
      <c r="I342" s="559" t="str">
        <f t="shared" si="32"/>
        <v/>
      </c>
    </row>
    <row r="343" spans="2:9">
      <c r="B343" s="555" t="str">
        <f t="shared" si="27"/>
        <v/>
      </c>
      <c r="C343" s="556" t="str">
        <f t="shared" si="28"/>
        <v/>
      </c>
      <c r="D343" s="557" t="str">
        <f t="shared" si="29"/>
        <v/>
      </c>
      <c r="E343" s="560"/>
      <c r="F343" s="559"/>
      <c r="G343" s="559" t="str">
        <f t="shared" si="30"/>
        <v/>
      </c>
      <c r="H343" s="559" t="str">
        <f t="shared" si="31"/>
        <v/>
      </c>
      <c r="I343" s="559" t="str">
        <f t="shared" si="32"/>
        <v/>
      </c>
    </row>
    <row r="344" spans="2:9">
      <c r="B344" s="555" t="str">
        <f t="shared" si="27"/>
        <v/>
      </c>
      <c r="C344" s="556" t="str">
        <f t="shared" si="28"/>
        <v/>
      </c>
      <c r="D344" s="557" t="str">
        <f t="shared" si="29"/>
        <v/>
      </c>
      <c r="E344" s="560"/>
      <c r="F344" s="559"/>
      <c r="G344" s="559" t="str">
        <f t="shared" si="30"/>
        <v/>
      </c>
      <c r="H344" s="559" t="str">
        <f t="shared" si="31"/>
        <v/>
      </c>
      <c r="I344" s="559" t="str">
        <f t="shared" si="32"/>
        <v/>
      </c>
    </row>
    <row r="345" spans="2:9">
      <c r="B345" s="555" t="str">
        <f t="shared" si="27"/>
        <v/>
      </c>
      <c r="C345" s="556" t="str">
        <f t="shared" si="28"/>
        <v/>
      </c>
      <c r="D345" s="557" t="str">
        <f t="shared" si="29"/>
        <v/>
      </c>
      <c r="E345" s="560"/>
      <c r="F345" s="559"/>
      <c r="G345" s="559" t="str">
        <f t="shared" si="30"/>
        <v/>
      </c>
      <c r="H345" s="559" t="str">
        <f t="shared" si="31"/>
        <v/>
      </c>
      <c r="I345" s="559" t="str">
        <f t="shared" si="32"/>
        <v/>
      </c>
    </row>
    <row r="346" spans="2:9">
      <c r="B346" s="555" t="str">
        <f t="shared" si="27"/>
        <v/>
      </c>
      <c r="C346" s="556" t="str">
        <f t="shared" si="28"/>
        <v/>
      </c>
      <c r="D346" s="557" t="str">
        <f t="shared" si="29"/>
        <v/>
      </c>
      <c r="E346" s="560"/>
      <c r="F346" s="559"/>
      <c r="G346" s="559" t="str">
        <f t="shared" si="30"/>
        <v/>
      </c>
      <c r="H346" s="559" t="str">
        <f t="shared" si="31"/>
        <v/>
      </c>
      <c r="I346" s="559" t="str">
        <f t="shared" si="32"/>
        <v/>
      </c>
    </row>
    <row r="347" spans="2:9">
      <c r="B347" s="555" t="str">
        <f t="shared" si="27"/>
        <v/>
      </c>
      <c r="C347" s="556" t="str">
        <f t="shared" si="28"/>
        <v/>
      </c>
      <c r="D347" s="557" t="str">
        <f t="shared" si="29"/>
        <v/>
      </c>
      <c r="E347" s="560"/>
      <c r="F347" s="559"/>
      <c r="G347" s="559" t="str">
        <f t="shared" si="30"/>
        <v/>
      </c>
      <c r="H347" s="559" t="str">
        <f t="shared" si="31"/>
        <v/>
      </c>
      <c r="I347" s="559" t="str">
        <f t="shared" si="32"/>
        <v/>
      </c>
    </row>
    <row r="348" spans="2:9">
      <c r="B348" s="555" t="str">
        <f t="shared" si="27"/>
        <v/>
      </c>
      <c r="C348" s="556" t="str">
        <f t="shared" si="28"/>
        <v/>
      </c>
      <c r="D348" s="557" t="str">
        <f t="shared" si="29"/>
        <v/>
      </c>
      <c r="E348" s="560"/>
      <c r="F348" s="559"/>
      <c r="G348" s="559" t="str">
        <f t="shared" si="30"/>
        <v/>
      </c>
      <c r="H348" s="559" t="str">
        <f t="shared" si="31"/>
        <v/>
      </c>
      <c r="I348" s="559" t="str">
        <f t="shared" si="32"/>
        <v/>
      </c>
    </row>
    <row r="349" spans="2:9">
      <c r="B349" s="555" t="str">
        <f t="shared" si="27"/>
        <v/>
      </c>
      <c r="C349" s="556" t="str">
        <f t="shared" si="28"/>
        <v/>
      </c>
      <c r="D349" s="557" t="str">
        <f t="shared" si="29"/>
        <v/>
      </c>
      <c r="E349" s="560"/>
      <c r="F349" s="559"/>
      <c r="G349" s="559" t="str">
        <f t="shared" si="30"/>
        <v/>
      </c>
      <c r="H349" s="559" t="str">
        <f t="shared" si="31"/>
        <v/>
      </c>
      <c r="I349" s="559" t="str">
        <f t="shared" si="32"/>
        <v/>
      </c>
    </row>
    <row r="350" spans="2:9">
      <c r="B350" s="555" t="str">
        <f t="shared" si="27"/>
        <v/>
      </c>
      <c r="C350" s="556" t="str">
        <f t="shared" si="28"/>
        <v/>
      </c>
      <c r="D350" s="557" t="str">
        <f t="shared" si="29"/>
        <v/>
      </c>
      <c r="E350" s="560"/>
      <c r="F350" s="559"/>
      <c r="G350" s="559" t="str">
        <f t="shared" si="30"/>
        <v/>
      </c>
      <c r="H350" s="559" t="str">
        <f t="shared" si="31"/>
        <v/>
      </c>
      <c r="I350" s="559" t="str">
        <f t="shared" si="32"/>
        <v/>
      </c>
    </row>
    <row r="351" spans="2:9">
      <c r="B351" s="555" t="str">
        <f t="shared" si="27"/>
        <v/>
      </c>
      <c r="C351" s="556" t="str">
        <f t="shared" si="28"/>
        <v/>
      </c>
      <c r="D351" s="557" t="str">
        <f t="shared" si="29"/>
        <v/>
      </c>
      <c r="E351" s="560"/>
      <c r="F351" s="559"/>
      <c r="G351" s="559" t="str">
        <f t="shared" si="30"/>
        <v/>
      </c>
      <c r="H351" s="559" t="str">
        <f t="shared" si="31"/>
        <v/>
      </c>
      <c r="I351" s="559" t="str">
        <f t="shared" si="32"/>
        <v/>
      </c>
    </row>
    <row r="352" spans="2:9">
      <c r="B352" s="555" t="str">
        <f t="shared" si="27"/>
        <v/>
      </c>
      <c r="C352" s="556" t="str">
        <f t="shared" si="28"/>
        <v/>
      </c>
      <c r="D352" s="557" t="str">
        <f t="shared" si="29"/>
        <v/>
      </c>
      <c r="E352" s="560"/>
      <c r="F352" s="559"/>
      <c r="G352" s="559" t="str">
        <f t="shared" si="30"/>
        <v/>
      </c>
      <c r="H352" s="559" t="str">
        <f t="shared" si="31"/>
        <v/>
      </c>
      <c r="I352" s="559" t="str">
        <f t="shared" si="32"/>
        <v/>
      </c>
    </row>
    <row r="353" spans="2:9">
      <c r="B353" s="555" t="str">
        <f t="shared" si="27"/>
        <v/>
      </c>
      <c r="C353" s="556" t="str">
        <f t="shared" si="28"/>
        <v/>
      </c>
      <c r="D353" s="557" t="str">
        <f t="shared" si="29"/>
        <v/>
      </c>
      <c r="E353" s="560"/>
      <c r="F353" s="559"/>
      <c r="G353" s="559" t="str">
        <f t="shared" si="30"/>
        <v/>
      </c>
      <c r="H353" s="559" t="str">
        <f t="shared" si="31"/>
        <v/>
      </c>
      <c r="I353" s="559" t="str">
        <f t="shared" si="32"/>
        <v/>
      </c>
    </row>
    <row r="354" spans="2:9">
      <c r="B354" s="555" t="str">
        <f t="shared" si="27"/>
        <v/>
      </c>
      <c r="C354" s="556" t="str">
        <f t="shared" si="28"/>
        <v/>
      </c>
      <c r="D354" s="557" t="str">
        <f t="shared" si="29"/>
        <v/>
      </c>
      <c r="E354" s="560"/>
      <c r="F354" s="559"/>
      <c r="G354" s="559" t="str">
        <f t="shared" si="30"/>
        <v/>
      </c>
      <c r="H354" s="559" t="str">
        <f t="shared" si="31"/>
        <v/>
      </c>
      <c r="I354" s="559" t="str">
        <f t="shared" si="32"/>
        <v/>
      </c>
    </row>
    <row r="355" spans="2:9">
      <c r="B355" s="555" t="str">
        <f t="shared" si="27"/>
        <v/>
      </c>
      <c r="C355" s="556" t="str">
        <f t="shared" si="28"/>
        <v/>
      </c>
      <c r="D355" s="557" t="str">
        <f t="shared" si="29"/>
        <v/>
      </c>
      <c r="E355" s="560"/>
      <c r="F355" s="559"/>
      <c r="G355" s="559" t="str">
        <f t="shared" si="30"/>
        <v/>
      </c>
      <c r="H355" s="559" t="str">
        <f t="shared" si="31"/>
        <v/>
      </c>
      <c r="I355" s="559" t="str">
        <f t="shared" si="32"/>
        <v/>
      </c>
    </row>
    <row r="356" spans="2:9">
      <c r="B356" s="555" t="str">
        <f t="shared" si="27"/>
        <v/>
      </c>
      <c r="C356" s="556" t="str">
        <f t="shared" si="28"/>
        <v/>
      </c>
      <c r="D356" s="557" t="str">
        <f t="shared" si="29"/>
        <v/>
      </c>
      <c r="E356" s="560"/>
      <c r="F356" s="559"/>
      <c r="G356" s="559" t="str">
        <f t="shared" si="30"/>
        <v/>
      </c>
      <c r="H356" s="559" t="str">
        <f t="shared" si="31"/>
        <v/>
      </c>
      <c r="I356" s="559" t="str">
        <f t="shared" si="32"/>
        <v/>
      </c>
    </row>
    <row r="357" spans="2:9">
      <c r="B357" s="555" t="str">
        <f t="shared" si="27"/>
        <v/>
      </c>
      <c r="C357" s="556" t="str">
        <f t="shared" si="28"/>
        <v/>
      </c>
      <c r="D357" s="557" t="str">
        <f t="shared" si="29"/>
        <v/>
      </c>
      <c r="E357" s="560"/>
      <c r="F357" s="559"/>
      <c r="G357" s="559" t="str">
        <f t="shared" si="30"/>
        <v/>
      </c>
      <c r="H357" s="559" t="str">
        <f t="shared" si="31"/>
        <v/>
      </c>
      <c r="I357" s="559" t="str">
        <f t="shared" si="32"/>
        <v/>
      </c>
    </row>
    <row r="358" spans="2:9">
      <c r="B358" s="555" t="str">
        <f t="shared" si="27"/>
        <v/>
      </c>
      <c r="C358" s="556" t="str">
        <f t="shared" si="28"/>
        <v/>
      </c>
      <c r="D358" s="557" t="str">
        <f t="shared" si="29"/>
        <v/>
      </c>
      <c r="E358" s="560"/>
      <c r="F358" s="559"/>
      <c r="G358" s="559" t="str">
        <f t="shared" si="30"/>
        <v/>
      </c>
      <c r="H358" s="559" t="str">
        <f t="shared" si="31"/>
        <v/>
      </c>
      <c r="I358" s="559" t="str">
        <f t="shared" si="32"/>
        <v/>
      </c>
    </row>
    <row r="359" spans="2:9">
      <c r="B359" s="555" t="str">
        <f t="shared" si="27"/>
        <v/>
      </c>
      <c r="C359" s="556" t="str">
        <f t="shared" si="28"/>
        <v/>
      </c>
      <c r="D359" s="557" t="str">
        <f t="shared" si="29"/>
        <v/>
      </c>
      <c r="E359" s="560"/>
      <c r="F359" s="559"/>
      <c r="G359" s="559" t="str">
        <f t="shared" si="30"/>
        <v/>
      </c>
      <c r="H359" s="559" t="str">
        <f t="shared" si="31"/>
        <v/>
      </c>
      <c r="I359" s="559" t="str">
        <f t="shared" si="32"/>
        <v/>
      </c>
    </row>
    <row r="360" spans="2:9">
      <c r="B360" s="555" t="str">
        <f t="shared" si="27"/>
        <v/>
      </c>
      <c r="C360" s="556" t="str">
        <f t="shared" si="28"/>
        <v/>
      </c>
      <c r="D360" s="557" t="str">
        <f t="shared" si="29"/>
        <v/>
      </c>
      <c r="E360" s="560"/>
      <c r="F360" s="559"/>
      <c r="G360" s="559" t="str">
        <f t="shared" si="30"/>
        <v/>
      </c>
      <c r="H360" s="559" t="str">
        <f t="shared" si="31"/>
        <v/>
      </c>
      <c r="I360" s="559" t="str">
        <f t="shared" si="32"/>
        <v/>
      </c>
    </row>
    <row r="361" spans="2:9">
      <c r="B361" s="555" t="str">
        <f t="shared" si="27"/>
        <v/>
      </c>
      <c r="C361" s="556" t="str">
        <f t="shared" si="28"/>
        <v/>
      </c>
      <c r="D361" s="557" t="str">
        <f t="shared" si="29"/>
        <v/>
      </c>
      <c r="E361" s="560"/>
      <c r="F361" s="559"/>
      <c r="G361" s="559" t="str">
        <f t="shared" si="30"/>
        <v/>
      </c>
      <c r="H361" s="559" t="str">
        <f t="shared" si="31"/>
        <v/>
      </c>
      <c r="I361" s="559" t="str">
        <f t="shared" si="32"/>
        <v/>
      </c>
    </row>
    <row r="362" spans="2:9">
      <c r="B362" s="555" t="str">
        <f t="shared" si="27"/>
        <v/>
      </c>
      <c r="C362" s="556" t="str">
        <f t="shared" si="28"/>
        <v/>
      </c>
      <c r="D362" s="557" t="str">
        <f t="shared" si="29"/>
        <v/>
      </c>
      <c r="E362" s="560"/>
      <c r="F362" s="559"/>
      <c r="G362" s="559" t="str">
        <f t="shared" si="30"/>
        <v/>
      </c>
      <c r="H362" s="559" t="str">
        <f t="shared" si="31"/>
        <v/>
      </c>
      <c r="I362" s="559" t="str">
        <f t="shared" si="32"/>
        <v/>
      </c>
    </row>
    <row r="363" spans="2:9">
      <c r="B363" s="555" t="str">
        <f t="shared" si="27"/>
        <v/>
      </c>
      <c r="C363" s="556" t="str">
        <f t="shared" si="28"/>
        <v/>
      </c>
      <c r="D363" s="557" t="str">
        <f t="shared" si="29"/>
        <v/>
      </c>
      <c r="E363" s="560"/>
      <c r="F363" s="559"/>
      <c r="G363" s="559" t="str">
        <f t="shared" si="30"/>
        <v/>
      </c>
      <c r="H363" s="559" t="str">
        <f t="shared" si="31"/>
        <v/>
      </c>
      <c r="I363" s="559" t="str">
        <f t="shared" si="32"/>
        <v/>
      </c>
    </row>
    <row r="364" spans="2:9">
      <c r="B364" s="555" t="str">
        <f t="shared" si="27"/>
        <v/>
      </c>
      <c r="C364" s="556" t="str">
        <f t="shared" si="28"/>
        <v/>
      </c>
      <c r="D364" s="557" t="str">
        <f t="shared" si="29"/>
        <v/>
      </c>
      <c r="E364" s="560"/>
      <c r="F364" s="559"/>
      <c r="G364" s="559" t="str">
        <f t="shared" si="30"/>
        <v/>
      </c>
      <c r="H364" s="559" t="str">
        <f t="shared" si="31"/>
        <v/>
      </c>
      <c r="I364" s="559" t="str">
        <f t="shared" si="32"/>
        <v/>
      </c>
    </row>
    <row r="365" spans="2:9">
      <c r="B365" s="555" t="str">
        <f t="shared" si="27"/>
        <v/>
      </c>
      <c r="C365" s="556" t="str">
        <f t="shared" si="28"/>
        <v/>
      </c>
      <c r="D365" s="557" t="str">
        <f t="shared" si="29"/>
        <v/>
      </c>
      <c r="E365" s="560"/>
      <c r="F365" s="559"/>
      <c r="G365" s="559" t="str">
        <f t="shared" si="30"/>
        <v/>
      </c>
      <c r="H365" s="559" t="str">
        <f t="shared" si="31"/>
        <v/>
      </c>
      <c r="I365" s="559" t="str">
        <f t="shared" si="32"/>
        <v/>
      </c>
    </row>
    <row r="366" spans="2:9">
      <c r="B366" s="555" t="str">
        <f t="shared" si="27"/>
        <v/>
      </c>
      <c r="C366" s="556" t="str">
        <f t="shared" si="28"/>
        <v/>
      </c>
      <c r="D366" s="557" t="str">
        <f t="shared" si="29"/>
        <v/>
      </c>
      <c r="E366" s="560"/>
      <c r="F366" s="559"/>
      <c r="G366" s="559" t="str">
        <f t="shared" si="30"/>
        <v/>
      </c>
      <c r="H366" s="559" t="str">
        <f t="shared" si="31"/>
        <v/>
      </c>
      <c r="I366" s="559" t="str">
        <f t="shared" si="32"/>
        <v/>
      </c>
    </row>
    <row r="367" spans="2:9">
      <c r="B367" s="555" t="str">
        <f t="shared" si="27"/>
        <v/>
      </c>
      <c r="C367" s="556" t="str">
        <f t="shared" si="28"/>
        <v/>
      </c>
      <c r="D367" s="557" t="str">
        <f t="shared" si="29"/>
        <v/>
      </c>
      <c r="E367" s="560"/>
      <c r="F367" s="559"/>
      <c r="G367" s="559" t="str">
        <f t="shared" si="30"/>
        <v/>
      </c>
      <c r="H367" s="559" t="str">
        <f t="shared" si="31"/>
        <v/>
      </c>
      <c r="I367" s="559" t="str">
        <f t="shared" si="32"/>
        <v/>
      </c>
    </row>
    <row r="368" spans="2:9">
      <c r="B368" s="555" t="str">
        <f t="shared" si="27"/>
        <v/>
      </c>
      <c r="C368" s="556" t="str">
        <f t="shared" si="28"/>
        <v/>
      </c>
      <c r="D368" s="557" t="str">
        <f t="shared" si="29"/>
        <v/>
      </c>
      <c r="E368" s="560"/>
      <c r="F368" s="559"/>
      <c r="G368" s="559" t="str">
        <f t="shared" si="30"/>
        <v/>
      </c>
      <c r="H368" s="559" t="str">
        <f t="shared" si="31"/>
        <v/>
      </c>
      <c r="I368" s="559" t="str">
        <f t="shared" si="32"/>
        <v/>
      </c>
    </row>
    <row r="369" spans="2:9">
      <c r="B369" s="555" t="str">
        <f t="shared" si="27"/>
        <v/>
      </c>
      <c r="C369" s="556" t="str">
        <f t="shared" si="28"/>
        <v/>
      </c>
      <c r="D369" s="557" t="str">
        <f t="shared" si="29"/>
        <v/>
      </c>
      <c r="E369" s="560"/>
      <c r="F369" s="559"/>
      <c r="G369" s="559" t="str">
        <f t="shared" si="30"/>
        <v/>
      </c>
      <c r="H369" s="559" t="str">
        <f t="shared" si="31"/>
        <v/>
      </c>
      <c r="I369" s="559" t="str">
        <f t="shared" si="32"/>
        <v/>
      </c>
    </row>
    <row r="370" spans="2:9">
      <c r="B370" s="555" t="str">
        <f t="shared" si="27"/>
        <v/>
      </c>
      <c r="C370" s="556" t="str">
        <f t="shared" si="28"/>
        <v/>
      </c>
      <c r="D370" s="557" t="str">
        <f t="shared" si="29"/>
        <v/>
      </c>
      <c r="E370" s="560"/>
      <c r="F370" s="559"/>
      <c r="G370" s="559" t="str">
        <f t="shared" si="30"/>
        <v/>
      </c>
      <c r="H370" s="559" t="str">
        <f t="shared" si="31"/>
        <v/>
      </c>
      <c r="I370" s="559" t="str">
        <f t="shared" si="32"/>
        <v/>
      </c>
    </row>
    <row r="371" spans="2:9">
      <c r="B371" s="555" t="str">
        <f t="shared" si="27"/>
        <v/>
      </c>
      <c r="C371" s="556" t="str">
        <f t="shared" si="28"/>
        <v/>
      </c>
      <c r="D371" s="557" t="str">
        <f t="shared" si="29"/>
        <v/>
      </c>
      <c r="E371" s="560"/>
      <c r="F371" s="559"/>
      <c r="G371" s="559" t="str">
        <f t="shared" si="30"/>
        <v/>
      </c>
      <c r="H371" s="559" t="str">
        <f t="shared" si="31"/>
        <v/>
      </c>
      <c r="I371" s="559" t="str">
        <f t="shared" si="32"/>
        <v/>
      </c>
    </row>
    <row r="372" spans="2:9">
      <c r="B372" s="555" t="str">
        <f t="shared" si="27"/>
        <v/>
      </c>
      <c r="C372" s="556" t="str">
        <f t="shared" si="28"/>
        <v/>
      </c>
      <c r="D372" s="557" t="str">
        <f t="shared" si="29"/>
        <v/>
      </c>
      <c r="E372" s="560"/>
      <c r="F372" s="559"/>
      <c r="G372" s="559" t="str">
        <f t="shared" si="30"/>
        <v/>
      </c>
      <c r="H372" s="559" t="str">
        <f t="shared" si="31"/>
        <v/>
      </c>
      <c r="I372" s="559" t="str">
        <f t="shared" si="32"/>
        <v/>
      </c>
    </row>
    <row r="373" spans="2:9">
      <c r="B373" s="555" t="str">
        <f t="shared" si="27"/>
        <v/>
      </c>
      <c r="C373" s="556" t="str">
        <f t="shared" si="28"/>
        <v/>
      </c>
      <c r="D373" s="557" t="str">
        <f t="shared" si="29"/>
        <v/>
      </c>
      <c r="E373" s="560"/>
      <c r="F373" s="559"/>
      <c r="G373" s="559" t="str">
        <f t="shared" si="30"/>
        <v/>
      </c>
      <c r="H373" s="559" t="str">
        <f t="shared" si="31"/>
        <v/>
      </c>
      <c r="I373" s="559" t="str">
        <f t="shared" si="32"/>
        <v/>
      </c>
    </row>
    <row r="374" spans="2:9">
      <c r="B374" s="555" t="str">
        <f t="shared" si="27"/>
        <v/>
      </c>
      <c r="C374" s="556" t="str">
        <f t="shared" si="28"/>
        <v/>
      </c>
      <c r="D374" s="557" t="str">
        <f t="shared" si="29"/>
        <v/>
      </c>
      <c r="E374" s="560"/>
      <c r="F374" s="559"/>
      <c r="G374" s="559" t="str">
        <f t="shared" si="30"/>
        <v/>
      </c>
      <c r="H374" s="559" t="str">
        <f t="shared" si="31"/>
        <v/>
      </c>
      <c r="I374" s="559" t="str">
        <f t="shared" si="32"/>
        <v/>
      </c>
    </row>
    <row r="375" spans="2:9">
      <c r="B375" s="555" t="str">
        <f t="shared" si="27"/>
        <v/>
      </c>
      <c r="C375" s="556" t="str">
        <f t="shared" si="28"/>
        <v/>
      </c>
      <c r="D375" s="557" t="str">
        <f t="shared" si="29"/>
        <v/>
      </c>
      <c r="E375" s="560"/>
      <c r="F375" s="559"/>
      <c r="G375" s="559" t="str">
        <f t="shared" si="30"/>
        <v/>
      </c>
      <c r="H375" s="559" t="str">
        <f t="shared" si="31"/>
        <v/>
      </c>
      <c r="I375" s="559" t="str">
        <f t="shared" si="32"/>
        <v/>
      </c>
    </row>
    <row r="376" spans="2:9">
      <c r="B376" s="555" t="str">
        <f t="shared" si="27"/>
        <v/>
      </c>
      <c r="C376" s="556" t="str">
        <f t="shared" si="28"/>
        <v/>
      </c>
      <c r="D376" s="557" t="str">
        <f t="shared" si="29"/>
        <v/>
      </c>
      <c r="E376" s="560"/>
      <c r="F376" s="559"/>
      <c r="G376" s="559" t="str">
        <f t="shared" si="30"/>
        <v/>
      </c>
      <c r="H376" s="559" t="str">
        <f t="shared" si="31"/>
        <v/>
      </c>
      <c r="I376" s="559" t="str">
        <f t="shared" si="32"/>
        <v/>
      </c>
    </row>
    <row r="377" spans="2:9">
      <c r="B377" s="555" t="str">
        <f t="shared" si="27"/>
        <v/>
      </c>
      <c r="C377" s="556" t="str">
        <f t="shared" si="28"/>
        <v/>
      </c>
      <c r="D377" s="557" t="str">
        <f t="shared" si="29"/>
        <v/>
      </c>
      <c r="E377" s="560"/>
      <c r="F377" s="559"/>
      <c r="G377" s="559" t="str">
        <f t="shared" si="30"/>
        <v/>
      </c>
      <c r="H377" s="559" t="str">
        <f t="shared" si="31"/>
        <v/>
      </c>
      <c r="I377" s="559" t="str">
        <f t="shared" si="32"/>
        <v/>
      </c>
    </row>
    <row r="378" spans="2:9">
      <c r="B378" s="555" t="str">
        <f t="shared" si="27"/>
        <v/>
      </c>
      <c r="C378" s="556" t="str">
        <f t="shared" si="28"/>
        <v/>
      </c>
      <c r="D378" s="557" t="str">
        <f t="shared" si="29"/>
        <v/>
      </c>
      <c r="E378" s="560"/>
      <c r="F378" s="559"/>
      <c r="G378" s="559" t="str">
        <f t="shared" si="30"/>
        <v/>
      </c>
      <c r="H378" s="559" t="str">
        <f t="shared" si="31"/>
        <v/>
      </c>
      <c r="I378" s="559" t="str">
        <f t="shared" si="32"/>
        <v/>
      </c>
    </row>
    <row r="379" spans="2:9">
      <c r="B379" s="555" t="str">
        <f t="shared" si="27"/>
        <v/>
      </c>
      <c r="C379" s="556" t="str">
        <f t="shared" si="28"/>
        <v/>
      </c>
      <c r="D379" s="557" t="str">
        <f t="shared" si="29"/>
        <v/>
      </c>
      <c r="E379" s="560"/>
      <c r="F379" s="559"/>
      <c r="G379" s="559" t="str">
        <f t="shared" si="30"/>
        <v/>
      </c>
      <c r="H379" s="559" t="str">
        <f t="shared" si="31"/>
        <v/>
      </c>
      <c r="I379" s="559" t="str">
        <f t="shared" si="32"/>
        <v/>
      </c>
    </row>
    <row r="380" spans="2:9">
      <c r="B380" s="555" t="str">
        <f t="shared" si="27"/>
        <v/>
      </c>
      <c r="C380" s="556" t="str">
        <f t="shared" si="28"/>
        <v/>
      </c>
      <c r="D380" s="557" t="str">
        <f t="shared" si="29"/>
        <v/>
      </c>
      <c r="E380" s="560"/>
      <c r="F380" s="559"/>
      <c r="G380" s="559" t="str">
        <f t="shared" si="30"/>
        <v/>
      </c>
      <c r="H380" s="559" t="str">
        <f t="shared" si="31"/>
        <v/>
      </c>
      <c r="I380" s="559" t="str">
        <f t="shared" si="32"/>
        <v/>
      </c>
    </row>
    <row r="381" spans="2:9">
      <c r="B381" s="555" t="str">
        <f t="shared" ref="B381:B444" si="33">IF(I380="","",IF(roundOpt,IF(OR(B380&gt;=nper,ROUND(I380,2)&lt;=0),"",B380+1),IF(OR(B380&gt;=nper,I380&lt;=0),"",B380+1)))</f>
        <v/>
      </c>
      <c r="C381" s="556" t="str">
        <f t="shared" ref="C381:C444" si="34">IF(B381="","",IF(OR(periods_per_year=26,periods_per_year=52),IF(periods_per_year=26,IF(B381=1,fpdate,C380+14),IF(periods_per_year=52,IF(B381=1,fpdate,C380+7),"n/a")),IF(periods_per_year=24,DATE(YEAR(fpdate),MONTH(fpdate)+(B381-1)/2+IF(AND(DAY(fpdate)&gt;=15,MOD(B381,2)=0),1,0),IF(MOD(B381,2)=0,IF(DAY(fpdate)&gt;=15,DAY(fpdate)-14,DAY(fpdate)+14),DAY(fpdate))),IF(DAY(DATE(YEAR(fpdate),MONTH(fpdate)+(B381-1)*months_per_period,DAY(fpdate)))&lt;&gt;DAY(fpdate),DATE(YEAR(fpdate),MONTH(fpdate)+(B381-1)*months_per_period+1,0),DATE(YEAR(fpdate),MONTH(fpdate)+(B381-1)*months_per_period,DAY(fpdate))))))</f>
        <v/>
      </c>
      <c r="D381" s="557" t="str">
        <f t="shared" ref="D381:D444" si="35">IF(B381="","",IF(roundOpt,IF(OR(B381=nper,payment&gt;ROUND((1+rate)*I380,2)),ROUND((1+rate)*I380,2),payment),IF(OR(B381=nper,payment&gt;(1+rate)*I380),(1+rate)*I380,payment)))</f>
        <v/>
      </c>
      <c r="E381" s="560"/>
      <c r="F381" s="559"/>
      <c r="G381" s="559" t="str">
        <f t="shared" ref="G381:G444" si="36">IF(B381="","",IF(AND(B381=1,pmtType=1),0,IF(roundOpt,ROUND(rate*I380,2),rate*I380)))</f>
        <v/>
      </c>
      <c r="H381" s="559" t="str">
        <f t="shared" ref="H381:H444" si="37">IF(B381="","",D381-G381+E381)</f>
        <v/>
      </c>
      <c r="I381" s="559" t="str">
        <f t="shared" ref="I381:I444" si="38">IF(B381="","",I380-H381)</f>
        <v/>
      </c>
    </row>
    <row r="382" spans="2:9">
      <c r="B382" s="555" t="str">
        <f t="shared" si="33"/>
        <v/>
      </c>
      <c r="C382" s="556" t="str">
        <f t="shared" si="34"/>
        <v/>
      </c>
      <c r="D382" s="557" t="str">
        <f t="shared" si="35"/>
        <v/>
      </c>
      <c r="E382" s="560"/>
      <c r="F382" s="559"/>
      <c r="G382" s="559" t="str">
        <f t="shared" si="36"/>
        <v/>
      </c>
      <c r="H382" s="559" t="str">
        <f t="shared" si="37"/>
        <v/>
      </c>
      <c r="I382" s="559" t="str">
        <f t="shared" si="38"/>
        <v/>
      </c>
    </row>
    <row r="383" spans="2:9">
      <c r="B383" s="555" t="str">
        <f t="shared" si="33"/>
        <v/>
      </c>
      <c r="C383" s="556" t="str">
        <f t="shared" si="34"/>
        <v/>
      </c>
      <c r="D383" s="557" t="str">
        <f t="shared" si="35"/>
        <v/>
      </c>
      <c r="E383" s="560"/>
      <c r="F383" s="559"/>
      <c r="G383" s="559" t="str">
        <f t="shared" si="36"/>
        <v/>
      </c>
      <c r="H383" s="559" t="str">
        <f t="shared" si="37"/>
        <v/>
      </c>
      <c r="I383" s="559" t="str">
        <f t="shared" si="38"/>
        <v/>
      </c>
    </row>
    <row r="384" spans="2:9">
      <c r="B384" s="555" t="str">
        <f t="shared" si="33"/>
        <v/>
      </c>
      <c r="C384" s="556" t="str">
        <f t="shared" si="34"/>
        <v/>
      </c>
      <c r="D384" s="557" t="str">
        <f t="shared" si="35"/>
        <v/>
      </c>
      <c r="E384" s="560"/>
      <c r="F384" s="559"/>
      <c r="G384" s="559" t="str">
        <f t="shared" si="36"/>
        <v/>
      </c>
      <c r="H384" s="559" t="str">
        <f t="shared" si="37"/>
        <v/>
      </c>
      <c r="I384" s="559" t="str">
        <f t="shared" si="38"/>
        <v/>
      </c>
    </row>
    <row r="385" spans="2:9">
      <c r="B385" s="555" t="str">
        <f t="shared" si="33"/>
        <v/>
      </c>
      <c r="C385" s="556" t="str">
        <f t="shared" si="34"/>
        <v/>
      </c>
      <c r="D385" s="557" t="str">
        <f t="shared" si="35"/>
        <v/>
      </c>
      <c r="E385" s="560"/>
      <c r="F385" s="559"/>
      <c r="G385" s="559" t="str">
        <f t="shared" si="36"/>
        <v/>
      </c>
      <c r="H385" s="559" t="str">
        <f t="shared" si="37"/>
        <v/>
      </c>
      <c r="I385" s="559" t="str">
        <f t="shared" si="38"/>
        <v/>
      </c>
    </row>
    <row r="386" spans="2:9">
      <c r="B386" s="555" t="str">
        <f t="shared" si="33"/>
        <v/>
      </c>
      <c r="C386" s="556" t="str">
        <f t="shared" si="34"/>
        <v/>
      </c>
      <c r="D386" s="557" t="str">
        <f t="shared" si="35"/>
        <v/>
      </c>
      <c r="E386" s="560"/>
      <c r="F386" s="559"/>
      <c r="G386" s="559" t="str">
        <f t="shared" si="36"/>
        <v/>
      </c>
      <c r="H386" s="559" t="str">
        <f t="shared" si="37"/>
        <v/>
      </c>
      <c r="I386" s="559" t="str">
        <f t="shared" si="38"/>
        <v/>
      </c>
    </row>
    <row r="387" spans="2:9">
      <c r="B387" s="555" t="str">
        <f t="shared" si="33"/>
        <v/>
      </c>
      <c r="C387" s="556" t="str">
        <f t="shared" si="34"/>
        <v/>
      </c>
      <c r="D387" s="557" t="str">
        <f t="shared" si="35"/>
        <v/>
      </c>
      <c r="E387" s="560"/>
      <c r="F387" s="559"/>
      <c r="G387" s="559" t="str">
        <f t="shared" si="36"/>
        <v/>
      </c>
      <c r="H387" s="559" t="str">
        <f t="shared" si="37"/>
        <v/>
      </c>
      <c r="I387" s="559" t="str">
        <f t="shared" si="38"/>
        <v/>
      </c>
    </row>
    <row r="388" spans="2:9">
      <c r="B388" s="555" t="str">
        <f t="shared" si="33"/>
        <v/>
      </c>
      <c r="C388" s="556" t="str">
        <f t="shared" si="34"/>
        <v/>
      </c>
      <c r="D388" s="557" t="str">
        <f t="shared" si="35"/>
        <v/>
      </c>
      <c r="E388" s="560"/>
      <c r="F388" s="559"/>
      <c r="G388" s="559" t="str">
        <f t="shared" si="36"/>
        <v/>
      </c>
      <c r="H388" s="559" t="str">
        <f t="shared" si="37"/>
        <v/>
      </c>
      <c r="I388" s="559" t="str">
        <f t="shared" si="38"/>
        <v/>
      </c>
    </row>
    <row r="389" spans="2:9">
      <c r="B389" s="555" t="str">
        <f t="shared" si="33"/>
        <v/>
      </c>
      <c r="C389" s="556" t="str">
        <f t="shared" si="34"/>
        <v/>
      </c>
      <c r="D389" s="557" t="str">
        <f t="shared" si="35"/>
        <v/>
      </c>
      <c r="E389" s="560"/>
      <c r="F389" s="559"/>
      <c r="G389" s="559" t="str">
        <f t="shared" si="36"/>
        <v/>
      </c>
      <c r="H389" s="559" t="str">
        <f t="shared" si="37"/>
        <v/>
      </c>
      <c r="I389" s="559" t="str">
        <f t="shared" si="38"/>
        <v/>
      </c>
    </row>
    <row r="390" spans="2:9">
      <c r="B390" s="555" t="str">
        <f t="shared" si="33"/>
        <v/>
      </c>
      <c r="C390" s="556" t="str">
        <f t="shared" si="34"/>
        <v/>
      </c>
      <c r="D390" s="557" t="str">
        <f t="shared" si="35"/>
        <v/>
      </c>
      <c r="E390" s="560"/>
      <c r="F390" s="559"/>
      <c r="G390" s="559" t="str">
        <f t="shared" si="36"/>
        <v/>
      </c>
      <c r="H390" s="559" t="str">
        <f t="shared" si="37"/>
        <v/>
      </c>
      <c r="I390" s="559" t="str">
        <f t="shared" si="38"/>
        <v/>
      </c>
    </row>
    <row r="391" spans="2:9">
      <c r="B391" s="555" t="str">
        <f t="shared" si="33"/>
        <v/>
      </c>
      <c r="C391" s="556" t="str">
        <f t="shared" si="34"/>
        <v/>
      </c>
      <c r="D391" s="557" t="str">
        <f t="shared" si="35"/>
        <v/>
      </c>
      <c r="E391" s="560"/>
      <c r="F391" s="559"/>
      <c r="G391" s="559" t="str">
        <f t="shared" si="36"/>
        <v/>
      </c>
      <c r="H391" s="559" t="str">
        <f t="shared" si="37"/>
        <v/>
      </c>
      <c r="I391" s="559" t="str">
        <f t="shared" si="38"/>
        <v/>
      </c>
    </row>
    <row r="392" spans="2:9">
      <c r="B392" s="555" t="str">
        <f t="shared" si="33"/>
        <v/>
      </c>
      <c r="C392" s="556" t="str">
        <f t="shared" si="34"/>
        <v/>
      </c>
      <c r="D392" s="557" t="str">
        <f t="shared" si="35"/>
        <v/>
      </c>
      <c r="E392" s="560"/>
      <c r="F392" s="559"/>
      <c r="G392" s="559" t="str">
        <f t="shared" si="36"/>
        <v/>
      </c>
      <c r="H392" s="559" t="str">
        <f t="shared" si="37"/>
        <v/>
      </c>
      <c r="I392" s="559" t="str">
        <f t="shared" si="38"/>
        <v/>
      </c>
    </row>
    <row r="393" spans="2:9">
      <c r="B393" s="555" t="str">
        <f t="shared" si="33"/>
        <v/>
      </c>
      <c r="C393" s="556" t="str">
        <f t="shared" si="34"/>
        <v/>
      </c>
      <c r="D393" s="557" t="str">
        <f t="shared" si="35"/>
        <v/>
      </c>
      <c r="E393" s="560"/>
      <c r="F393" s="559"/>
      <c r="G393" s="559" t="str">
        <f t="shared" si="36"/>
        <v/>
      </c>
      <c r="H393" s="559" t="str">
        <f t="shared" si="37"/>
        <v/>
      </c>
      <c r="I393" s="559" t="str">
        <f t="shared" si="38"/>
        <v/>
      </c>
    </row>
    <row r="394" spans="2:9">
      <c r="B394" s="555" t="str">
        <f t="shared" si="33"/>
        <v/>
      </c>
      <c r="C394" s="556" t="str">
        <f t="shared" si="34"/>
        <v/>
      </c>
      <c r="D394" s="557" t="str">
        <f t="shared" si="35"/>
        <v/>
      </c>
      <c r="E394" s="560"/>
      <c r="F394" s="559"/>
      <c r="G394" s="559" t="str">
        <f t="shared" si="36"/>
        <v/>
      </c>
      <c r="H394" s="559" t="str">
        <f t="shared" si="37"/>
        <v/>
      </c>
      <c r="I394" s="559" t="str">
        <f t="shared" si="38"/>
        <v/>
      </c>
    </row>
    <row r="395" spans="2:9">
      <c r="B395" s="555" t="str">
        <f t="shared" si="33"/>
        <v/>
      </c>
      <c r="C395" s="556" t="str">
        <f t="shared" si="34"/>
        <v/>
      </c>
      <c r="D395" s="557" t="str">
        <f t="shared" si="35"/>
        <v/>
      </c>
      <c r="E395" s="560"/>
      <c r="F395" s="559"/>
      <c r="G395" s="559" t="str">
        <f t="shared" si="36"/>
        <v/>
      </c>
      <c r="H395" s="559" t="str">
        <f t="shared" si="37"/>
        <v/>
      </c>
      <c r="I395" s="559" t="str">
        <f t="shared" si="38"/>
        <v/>
      </c>
    </row>
    <row r="396" spans="2:9">
      <c r="B396" s="555" t="str">
        <f t="shared" si="33"/>
        <v/>
      </c>
      <c r="C396" s="556" t="str">
        <f t="shared" si="34"/>
        <v/>
      </c>
      <c r="D396" s="557" t="str">
        <f t="shared" si="35"/>
        <v/>
      </c>
      <c r="E396" s="560"/>
      <c r="F396" s="559"/>
      <c r="G396" s="559" t="str">
        <f t="shared" si="36"/>
        <v/>
      </c>
      <c r="H396" s="559" t="str">
        <f t="shared" si="37"/>
        <v/>
      </c>
      <c r="I396" s="559" t="str">
        <f t="shared" si="38"/>
        <v/>
      </c>
    </row>
    <row r="397" spans="2:9">
      <c r="B397" s="555" t="str">
        <f t="shared" si="33"/>
        <v/>
      </c>
      <c r="C397" s="556" t="str">
        <f t="shared" si="34"/>
        <v/>
      </c>
      <c r="D397" s="557" t="str">
        <f t="shared" si="35"/>
        <v/>
      </c>
      <c r="E397" s="560"/>
      <c r="F397" s="559"/>
      <c r="G397" s="559" t="str">
        <f t="shared" si="36"/>
        <v/>
      </c>
      <c r="H397" s="559" t="str">
        <f t="shared" si="37"/>
        <v/>
      </c>
      <c r="I397" s="559" t="str">
        <f t="shared" si="38"/>
        <v/>
      </c>
    </row>
    <row r="398" spans="2:9">
      <c r="B398" s="555" t="str">
        <f t="shared" si="33"/>
        <v/>
      </c>
      <c r="C398" s="556" t="str">
        <f t="shared" si="34"/>
        <v/>
      </c>
      <c r="D398" s="557" t="str">
        <f t="shared" si="35"/>
        <v/>
      </c>
      <c r="E398" s="560"/>
      <c r="F398" s="559"/>
      <c r="G398" s="559" t="str">
        <f t="shared" si="36"/>
        <v/>
      </c>
      <c r="H398" s="559" t="str">
        <f t="shared" si="37"/>
        <v/>
      </c>
      <c r="I398" s="559" t="str">
        <f t="shared" si="38"/>
        <v/>
      </c>
    </row>
    <row r="399" spans="2:9">
      <c r="B399" s="555" t="str">
        <f t="shared" si="33"/>
        <v/>
      </c>
      <c r="C399" s="556" t="str">
        <f t="shared" si="34"/>
        <v/>
      </c>
      <c r="D399" s="557" t="str">
        <f t="shared" si="35"/>
        <v/>
      </c>
      <c r="E399" s="560"/>
      <c r="F399" s="559"/>
      <c r="G399" s="559" t="str">
        <f t="shared" si="36"/>
        <v/>
      </c>
      <c r="H399" s="559" t="str">
        <f t="shared" si="37"/>
        <v/>
      </c>
      <c r="I399" s="559" t="str">
        <f t="shared" si="38"/>
        <v/>
      </c>
    </row>
    <row r="400" spans="2:9">
      <c r="B400" s="555" t="str">
        <f t="shared" si="33"/>
        <v/>
      </c>
      <c r="C400" s="556" t="str">
        <f t="shared" si="34"/>
        <v/>
      </c>
      <c r="D400" s="557" t="str">
        <f t="shared" si="35"/>
        <v/>
      </c>
      <c r="E400" s="560"/>
      <c r="F400" s="559"/>
      <c r="G400" s="559" t="str">
        <f t="shared" si="36"/>
        <v/>
      </c>
      <c r="H400" s="559" t="str">
        <f t="shared" si="37"/>
        <v/>
      </c>
      <c r="I400" s="559" t="str">
        <f t="shared" si="38"/>
        <v/>
      </c>
    </row>
    <row r="401" spans="2:9">
      <c r="B401" s="555" t="str">
        <f t="shared" si="33"/>
        <v/>
      </c>
      <c r="C401" s="556" t="str">
        <f t="shared" si="34"/>
        <v/>
      </c>
      <c r="D401" s="557" t="str">
        <f t="shared" si="35"/>
        <v/>
      </c>
      <c r="E401" s="560"/>
      <c r="F401" s="559"/>
      <c r="G401" s="559" t="str">
        <f t="shared" si="36"/>
        <v/>
      </c>
      <c r="H401" s="559" t="str">
        <f t="shared" si="37"/>
        <v/>
      </c>
      <c r="I401" s="559" t="str">
        <f t="shared" si="38"/>
        <v/>
      </c>
    </row>
    <row r="402" spans="2:9">
      <c r="B402" s="555" t="str">
        <f t="shared" si="33"/>
        <v/>
      </c>
      <c r="C402" s="556" t="str">
        <f t="shared" si="34"/>
        <v/>
      </c>
      <c r="D402" s="557" t="str">
        <f t="shared" si="35"/>
        <v/>
      </c>
      <c r="E402" s="560"/>
      <c r="F402" s="559"/>
      <c r="G402" s="559" t="str">
        <f t="shared" si="36"/>
        <v/>
      </c>
      <c r="H402" s="559" t="str">
        <f t="shared" si="37"/>
        <v/>
      </c>
      <c r="I402" s="559" t="str">
        <f t="shared" si="38"/>
        <v/>
      </c>
    </row>
    <row r="403" spans="2:9">
      <c r="B403" s="555" t="str">
        <f t="shared" si="33"/>
        <v/>
      </c>
      <c r="C403" s="556" t="str">
        <f t="shared" si="34"/>
        <v/>
      </c>
      <c r="D403" s="557" t="str">
        <f t="shared" si="35"/>
        <v/>
      </c>
      <c r="E403" s="560"/>
      <c r="F403" s="559"/>
      <c r="G403" s="559" t="str">
        <f t="shared" si="36"/>
        <v/>
      </c>
      <c r="H403" s="559" t="str">
        <f t="shared" si="37"/>
        <v/>
      </c>
      <c r="I403" s="559" t="str">
        <f t="shared" si="38"/>
        <v/>
      </c>
    </row>
    <row r="404" spans="2:9">
      <c r="B404" s="555" t="str">
        <f t="shared" si="33"/>
        <v/>
      </c>
      <c r="C404" s="556" t="str">
        <f t="shared" si="34"/>
        <v/>
      </c>
      <c r="D404" s="557" t="str">
        <f t="shared" si="35"/>
        <v/>
      </c>
      <c r="E404" s="560"/>
      <c r="F404" s="559"/>
      <c r="G404" s="559" t="str">
        <f t="shared" si="36"/>
        <v/>
      </c>
      <c r="H404" s="559" t="str">
        <f t="shared" si="37"/>
        <v/>
      </c>
      <c r="I404" s="559" t="str">
        <f t="shared" si="38"/>
        <v/>
      </c>
    </row>
    <row r="405" spans="2:9">
      <c r="B405" s="555" t="str">
        <f t="shared" si="33"/>
        <v/>
      </c>
      <c r="C405" s="556" t="str">
        <f t="shared" si="34"/>
        <v/>
      </c>
      <c r="D405" s="557" t="str">
        <f t="shared" si="35"/>
        <v/>
      </c>
      <c r="E405" s="560"/>
      <c r="F405" s="559"/>
      <c r="G405" s="559" t="str">
        <f t="shared" si="36"/>
        <v/>
      </c>
      <c r="H405" s="559" t="str">
        <f t="shared" si="37"/>
        <v/>
      </c>
      <c r="I405" s="559" t="str">
        <f t="shared" si="38"/>
        <v/>
      </c>
    </row>
    <row r="406" spans="2:9">
      <c r="B406" s="555" t="str">
        <f t="shared" si="33"/>
        <v/>
      </c>
      <c r="C406" s="556" t="str">
        <f t="shared" si="34"/>
        <v/>
      </c>
      <c r="D406" s="557" t="str">
        <f t="shared" si="35"/>
        <v/>
      </c>
      <c r="E406" s="560"/>
      <c r="F406" s="559"/>
      <c r="G406" s="559" t="str">
        <f t="shared" si="36"/>
        <v/>
      </c>
      <c r="H406" s="559" t="str">
        <f t="shared" si="37"/>
        <v/>
      </c>
      <c r="I406" s="559" t="str">
        <f t="shared" si="38"/>
        <v/>
      </c>
    </row>
    <row r="407" spans="2:9">
      <c r="B407" s="555" t="str">
        <f t="shared" si="33"/>
        <v/>
      </c>
      <c r="C407" s="556" t="str">
        <f t="shared" si="34"/>
        <v/>
      </c>
      <c r="D407" s="557" t="str">
        <f t="shared" si="35"/>
        <v/>
      </c>
      <c r="E407" s="560"/>
      <c r="F407" s="559"/>
      <c r="G407" s="559" t="str">
        <f t="shared" si="36"/>
        <v/>
      </c>
      <c r="H407" s="559" t="str">
        <f t="shared" si="37"/>
        <v/>
      </c>
      <c r="I407" s="559" t="str">
        <f t="shared" si="38"/>
        <v/>
      </c>
    </row>
    <row r="408" spans="2:9">
      <c r="B408" s="555" t="str">
        <f t="shared" si="33"/>
        <v/>
      </c>
      <c r="C408" s="556" t="str">
        <f t="shared" si="34"/>
        <v/>
      </c>
      <c r="D408" s="557" t="str">
        <f t="shared" si="35"/>
        <v/>
      </c>
      <c r="E408" s="560"/>
      <c r="F408" s="559"/>
      <c r="G408" s="559" t="str">
        <f t="shared" si="36"/>
        <v/>
      </c>
      <c r="H408" s="559" t="str">
        <f t="shared" si="37"/>
        <v/>
      </c>
      <c r="I408" s="559" t="str">
        <f t="shared" si="38"/>
        <v/>
      </c>
    </row>
    <row r="409" spans="2:9">
      <c r="B409" s="555" t="str">
        <f t="shared" si="33"/>
        <v/>
      </c>
      <c r="C409" s="556" t="str">
        <f t="shared" si="34"/>
        <v/>
      </c>
      <c r="D409" s="557" t="str">
        <f t="shared" si="35"/>
        <v/>
      </c>
      <c r="E409" s="560"/>
      <c r="F409" s="559"/>
      <c r="G409" s="559" t="str">
        <f t="shared" si="36"/>
        <v/>
      </c>
      <c r="H409" s="559" t="str">
        <f t="shared" si="37"/>
        <v/>
      </c>
      <c r="I409" s="559" t="str">
        <f t="shared" si="38"/>
        <v/>
      </c>
    </row>
    <row r="410" spans="2:9">
      <c r="B410" s="555" t="str">
        <f t="shared" si="33"/>
        <v/>
      </c>
      <c r="C410" s="556" t="str">
        <f t="shared" si="34"/>
        <v/>
      </c>
      <c r="D410" s="557" t="str">
        <f t="shared" si="35"/>
        <v/>
      </c>
      <c r="E410" s="560"/>
      <c r="F410" s="559"/>
      <c r="G410" s="559" t="str">
        <f t="shared" si="36"/>
        <v/>
      </c>
      <c r="H410" s="559" t="str">
        <f t="shared" si="37"/>
        <v/>
      </c>
      <c r="I410" s="559" t="str">
        <f t="shared" si="38"/>
        <v/>
      </c>
    </row>
    <row r="411" spans="2:9">
      <c r="B411" s="555" t="str">
        <f t="shared" si="33"/>
        <v/>
      </c>
      <c r="C411" s="556" t="str">
        <f t="shared" si="34"/>
        <v/>
      </c>
      <c r="D411" s="557" t="str">
        <f t="shared" si="35"/>
        <v/>
      </c>
      <c r="E411" s="560"/>
      <c r="F411" s="559"/>
      <c r="G411" s="559" t="str">
        <f t="shared" si="36"/>
        <v/>
      </c>
      <c r="H411" s="559" t="str">
        <f t="shared" si="37"/>
        <v/>
      </c>
      <c r="I411" s="559" t="str">
        <f t="shared" si="38"/>
        <v/>
      </c>
    </row>
    <row r="412" spans="2:9">
      <c r="B412" s="555" t="str">
        <f t="shared" si="33"/>
        <v/>
      </c>
      <c r="C412" s="556" t="str">
        <f t="shared" si="34"/>
        <v/>
      </c>
      <c r="D412" s="557" t="str">
        <f t="shared" si="35"/>
        <v/>
      </c>
      <c r="E412" s="560"/>
      <c r="F412" s="559"/>
      <c r="G412" s="559" t="str">
        <f t="shared" si="36"/>
        <v/>
      </c>
      <c r="H412" s="559" t="str">
        <f t="shared" si="37"/>
        <v/>
      </c>
      <c r="I412" s="559" t="str">
        <f t="shared" si="38"/>
        <v/>
      </c>
    </row>
    <row r="413" spans="2:9">
      <c r="B413" s="555" t="str">
        <f t="shared" si="33"/>
        <v/>
      </c>
      <c r="C413" s="556" t="str">
        <f t="shared" si="34"/>
        <v/>
      </c>
      <c r="D413" s="557" t="str">
        <f t="shared" si="35"/>
        <v/>
      </c>
      <c r="E413" s="560"/>
      <c r="F413" s="559"/>
      <c r="G413" s="559" t="str">
        <f t="shared" si="36"/>
        <v/>
      </c>
      <c r="H413" s="559" t="str">
        <f t="shared" si="37"/>
        <v/>
      </c>
      <c r="I413" s="559" t="str">
        <f t="shared" si="38"/>
        <v/>
      </c>
    </row>
    <row r="414" spans="2:9">
      <c r="B414" s="555" t="str">
        <f t="shared" si="33"/>
        <v/>
      </c>
      <c r="C414" s="556" t="str">
        <f t="shared" si="34"/>
        <v/>
      </c>
      <c r="D414" s="557" t="str">
        <f t="shared" si="35"/>
        <v/>
      </c>
      <c r="E414" s="560"/>
      <c r="F414" s="559"/>
      <c r="G414" s="559" t="str">
        <f t="shared" si="36"/>
        <v/>
      </c>
      <c r="H414" s="559" t="str">
        <f t="shared" si="37"/>
        <v/>
      </c>
      <c r="I414" s="559" t="str">
        <f t="shared" si="38"/>
        <v/>
      </c>
    </row>
    <row r="415" spans="2:9">
      <c r="B415" s="555" t="str">
        <f t="shared" si="33"/>
        <v/>
      </c>
      <c r="C415" s="556" t="str">
        <f t="shared" si="34"/>
        <v/>
      </c>
      <c r="D415" s="557" t="str">
        <f t="shared" si="35"/>
        <v/>
      </c>
      <c r="E415" s="560"/>
      <c r="F415" s="559"/>
      <c r="G415" s="559" t="str">
        <f t="shared" si="36"/>
        <v/>
      </c>
      <c r="H415" s="559" t="str">
        <f t="shared" si="37"/>
        <v/>
      </c>
      <c r="I415" s="559" t="str">
        <f t="shared" si="38"/>
        <v/>
      </c>
    </row>
    <row r="416" spans="2:9">
      <c r="B416" s="555" t="str">
        <f t="shared" si="33"/>
        <v/>
      </c>
      <c r="C416" s="556" t="str">
        <f t="shared" si="34"/>
        <v/>
      </c>
      <c r="D416" s="557" t="str">
        <f t="shared" si="35"/>
        <v/>
      </c>
      <c r="E416" s="560"/>
      <c r="F416" s="559"/>
      <c r="G416" s="559" t="str">
        <f t="shared" si="36"/>
        <v/>
      </c>
      <c r="H416" s="559" t="str">
        <f t="shared" si="37"/>
        <v/>
      </c>
      <c r="I416" s="559" t="str">
        <f t="shared" si="38"/>
        <v/>
      </c>
    </row>
    <row r="417" spans="2:9">
      <c r="B417" s="555" t="str">
        <f t="shared" si="33"/>
        <v/>
      </c>
      <c r="C417" s="556" t="str">
        <f t="shared" si="34"/>
        <v/>
      </c>
      <c r="D417" s="557" t="str">
        <f t="shared" si="35"/>
        <v/>
      </c>
      <c r="E417" s="560"/>
      <c r="F417" s="559"/>
      <c r="G417" s="559" t="str">
        <f t="shared" si="36"/>
        <v/>
      </c>
      <c r="H417" s="559" t="str">
        <f t="shared" si="37"/>
        <v/>
      </c>
      <c r="I417" s="559" t="str">
        <f t="shared" si="38"/>
        <v/>
      </c>
    </row>
    <row r="418" spans="2:9">
      <c r="B418" s="555" t="str">
        <f t="shared" si="33"/>
        <v/>
      </c>
      <c r="C418" s="556" t="str">
        <f t="shared" si="34"/>
        <v/>
      </c>
      <c r="D418" s="557" t="str">
        <f t="shared" si="35"/>
        <v/>
      </c>
      <c r="E418" s="560"/>
      <c r="F418" s="559"/>
      <c r="G418" s="559" t="str">
        <f t="shared" si="36"/>
        <v/>
      </c>
      <c r="H418" s="559" t="str">
        <f t="shared" si="37"/>
        <v/>
      </c>
      <c r="I418" s="559" t="str">
        <f t="shared" si="38"/>
        <v/>
      </c>
    </row>
    <row r="419" spans="2:9">
      <c r="B419" s="555" t="str">
        <f t="shared" si="33"/>
        <v/>
      </c>
      <c r="C419" s="556" t="str">
        <f t="shared" si="34"/>
        <v/>
      </c>
      <c r="D419" s="557" t="str">
        <f t="shared" si="35"/>
        <v/>
      </c>
      <c r="E419" s="560"/>
      <c r="F419" s="559"/>
      <c r="G419" s="559" t="str">
        <f t="shared" si="36"/>
        <v/>
      </c>
      <c r="H419" s="559" t="str">
        <f t="shared" si="37"/>
        <v/>
      </c>
      <c r="I419" s="559" t="str">
        <f t="shared" si="38"/>
        <v/>
      </c>
    </row>
    <row r="420" spans="2:9">
      <c r="B420" s="555" t="str">
        <f t="shared" si="33"/>
        <v/>
      </c>
      <c r="C420" s="556" t="str">
        <f t="shared" si="34"/>
        <v/>
      </c>
      <c r="D420" s="557" t="str">
        <f t="shared" si="35"/>
        <v/>
      </c>
      <c r="E420" s="560"/>
      <c r="F420" s="559"/>
      <c r="G420" s="559" t="str">
        <f t="shared" si="36"/>
        <v/>
      </c>
      <c r="H420" s="559" t="str">
        <f t="shared" si="37"/>
        <v/>
      </c>
      <c r="I420" s="559" t="str">
        <f t="shared" si="38"/>
        <v/>
      </c>
    </row>
    <row r="421" spans="2:9">
      <c r="B421" s="555" t="str">
        <f t="shared" si="33"/>
        <v/>
      </c>
      <c r="C421" s="556" t="str">
        <f t="shared" si="34"/>
        <v/>
      </c>
      <c r="D421" s="557" t="str">
        <f t="shared" si="35"/>
        <v/>
      </c>
      <c r="E421" s="560"/>
      <c r="F421" s="559"/>
      <c r="G421" s="559" t="str">
        <f t="shared" si="36"/>
        <v/>
      </c>
      <c r="H421" s="559" t="str">
        <f t="shared" si="37"/>
        <v/>
      </c>
      <c r="I421" s="559" t="str">
        <f t="shared" si="38"/>
        <v/>
      </c>
    </row>
    <row r="422" spans="2:9">
      <c r="B422" s="555" t="str">
        <f t="shared" si="33"/>
        <v/>
      </c>
      <c r="C422" s="556" t="str">
        <f t="shared" si="34"/>
        <v/>
      </c>
      <c r="D422" s="557" t="str">
        <f t="shared" si="35"/>
        <v/>
      </c>
      <c r="E422" s="560"/>
      <c r="F422" s="559"/>
      <c r="G422" s="559" t="str">
        <f t="shared" si="36"/>
        <v/>
      </c>
      <c r="H422" s="559" t="str">
        <f t="shared" si="37"/>
        <v/>
      </c>
      <c r="I422" s="559" t="str">
        <f t="shared" si="38"/>
        <v/>
      </c>
    </row>
    <row r="423" spans="2:9">
      <c r="B423" s="555" t="str">
        <f t="shared" si="33"/>
        <v/>
      </c>
      <c r="C423" s="556" t="str">
        <f t="shared" si="34"/>
        <v/>
      </c>
      <c r="D423" s="557" t="str">
        <f t="shared" si="35"/>
        <v/>
      </c>
      <c r="E423" s="560"/>
      <c r="F423" s="559"/>
      <c r="G423" s="559" t="str">
        <f t="shared" si="36"/>
        <v/>
      </c>
      <c r="H423" s="559" t="str">
        <f t="shared" si="37"/>
        <v/>
      </c>
      <c r="I423" s="559" t="str">
        <f t="shared" si="38"/>
        <v/>
      </c>
    </row>
    <row r="424" spans="2:9">
      <c r="B424" s="555" t="str">
        <f t="shared" si="33"/>
        <v/>
      </c>
      <c r="C424" s="556" t="str">
        <f t="shared" si="34"/>
        <v/>
      </c>
      <c r="D424" s="557" t="str">
        <f t="shared" si="35"/>
        <v/>
      </c>
      <c r="E424" s="560"/>
      <c r="F424" s="559"/>
      <c r="G424" s="559" t="str">
        <f t="shared" si="36"/>
        <v/>
      </c>
      <c r="H424" s="559" t="str">
        <f t="shared" si="37"/>
        <v/>
      </c>
      <c r="I424" s="559" t="str">
        <f t="shared" si="38"/>
        <v/>
      </c>
    </row>
    <row r="425" spans="2:9">
      <c r="B425" s="555" t="str">
        <f t="shared" si="33"/>
        <v/>
      </c>
      <c r="C425" s="556" t="str">
        <f t="shared" si="34"/>
        <v/>
      </c>
      <c r="D425" s="557" t="str">
        <f t="shared" si="35"/>
        <v/>
      </c>
      <c r="E425" s="560"/>
      <c r="F425" s="559"/>
      <c r="G425" s="559" t="str">
        <f t="shared" si="36"/>
        <v/>
      </c>
      <c r="H425" s="559" t="str">
        <f t="shared" si="37"/>
        <v/>
      </c>
      <c r="I425" s="559" t="str">
        <f t="shared" si="38"/>
        <v/>
      </c>
    </row>
    <row r="426" spans="2:9">
      <c r="B426" s="555" t="str">
        <f t="shared" si="33"/>
        <v/>
      </c>
      <c r="C426" s="556" t="str">
        <f t="shared" si="34"/>
        <v/>
      </c>
      <c r="D426" s="557" t="str">
        <f t="shared" si="35"/>
        <v/>
      </c>
      <c r="E426" s="560"/>
      <c r="F426" s="559"/>
      <c r="G426" s="559" t="str">
        <f t="shared" si="36"/>
        <v/>
      </c>
      <c r="H426" s="559" t="str">
        <f t="shared" si="37"/>
        <v/>
      </c>
      <c r="I426" s="559" t="str">
        <f t="shared" si="38"/>
        <v/>
      </c>
    </row>
    <row r="427" spans="2:9">
      <c r="B427" s="555" t="str">
        <f t="shared" si="33"/>
        <v/>
      </c>
      <c r="C427" s="556" t="str">
        <f t="shared" si="34"/>
        <v/>
      </c>
      <c r="D427" s="557" t="str">
        <f t="shared" si="35"/>
        <v/>
      </c>
      <c r="E427" s="560"/>
      <c r="F427" s="559"/>
      <c r="G427" s="559" t="str">
        <f t="shared" si="36"/>
        <v/>
      </c>
      <c r="H427" s="559" t="str">
        <f t="shared" si="37"/>
        <v/>
      </c>
      <c r="I427" s="559" t="str">
        <f t="shared" si="38"/>
        <v/>
      </c>
    </row>
    <row r="428" spans="2:9">
      <c r="B428" s="555" t="str">
        <f t="shared" si="33"/>
        <v/>
      </c>
      <c r="C428" s="556" t="str">
        <f t="shared" si="34"/>
        <v/>
      </c>
      <c r="D428" s="557" t="str">
        <f t="shared" si="35"/>
        <v/>
      </c>
      <c r="E428" s="560"/>
      <c r="F428" s="559"/>
      <c r="G428" s="559" t="str">
        <f t="shared" si="36"/>
        <v/>
      </c>
      <c r="H428" s="559" t="str">
        <f t="shared" si="37"/>
        <v/>
      </c>
      <c r="I428" s="559" t="str">
        <f t="shared" si="38"/>
        <v/>
      </c>
    </row>
    <row r="429" spans="2:9">
      <c r="B429" s="555" t="str">
        <f t="shared" si="33"/>
        <v/>
      </c>
      <c r="C429" s="556" t="str">
        <f t="shared" si="34"/>
        <v/>
      </c>
      <c r="D429" s="557" t="str">
        <f t="shared" si="35"/>
        <v/>
      </c>
      <c r="E429" s="560"/>
      <c r="F429" s="559"/>
      <c r="G429" s="559" t="str">
        <f t="shared" si="36"/>
        <v/>
      </c>
      <c r="H429" s="559" t="str">
        <f t="shared" si="37"/>
        <v/>
      </c>
      <c r="I429" s="559" t="str">
        <f t="shared" si="38"/>
        <v/>
      </c>
    </row>
    <row r="430" spans="2:9">
      <c r="B430" s="555" t="str">
        <f t="shared" si="33"/>
        <v/>
      </c>
      <c r="C430" s="556" t="str">
        <f t="shared" si="34"/>
        <v/>
      </c>
      <c r="D430" s="557" t="str">
        <f t="shared" si="35"/>
        <v/>
      </c>
      <c r="E430" s="560"/>
      <c r="F430" s="559"/>
      <c r="G430" s="559" t="str">
        <f t="shared" si="36"/>
        <v/>
      </c>
      <c r="H430" s="559" t="str">
        <f t="shared" si="37"/>
        <v/>
      </c>
      <c r="I430" s="559" t="str">
        <f t="shared" si="38"/>
        <v/>
      </c>
    </row>
    <row r="431" spans="2:9">
      <c r="B431" s="555" t="str">
        <f t="shared" si="33"/>
        <v/>
      </c>
      <c r="C431" s="556" t="str">
        <f t="shared" si="34"/>
        <v/>
      </c>
      <c r="D431" s="557" t="str">
        <f t="shared" si="35"/>
        <v/>
      </c>
      <c r="E431" s="560"/>
      <c r="F431" s="559"/>
      <c r="G431" s="559" t="str">
        <f t="shared" si="36"/>
        <v/>
      </c>
      <c r="H431" s="559" t="str">
        <f t="shared" si="37"/>
        <v/>
      </c>
      <c r="I431" s="559" t="str">
        <f t="shared" si="38"/>
        <v/>
      </c>
    </row>
    <row r="432" spans="2:9">
      <c r="B432" s="555" t="str">
        <f t="shared" si="33"/>
        <v/>
      </c>
      <c r="C432" s="556" t="str">
        <f t="shared" si="34"/>
        <v/>
      </c>
      <c r="D432" s="557" t="str">
        <f t="shared" si="35"/>
        <v/>
      </c>
      <c r="E432" s="560"/>
      <c r="F432" s="559"/>
      <c r="G432" s="559" t="str">
        <f t="shared" si="36"/>
        <v/>
      </c>
      <c r="H432" s="559" t="str">
        <f t="shared" si="37"/>
        <v/>
      </c>
      <c r="I432" s="559" t="str">
        <f t="shared" si="38"/>
        <v/>
      </c>
    </row>
    <row r="433" spans="2:9">
      <c r="B433" s="555" t="str">
        <f t="shared" si="33"/>
        <v/>
      </c>
      <c r="C433" s="556" t="str">
        <f t="shared" si="34"/>
        <v/>
      </c>
      <c r="D433" s="557" t="str">
        <f t="shared" si="35"/>
        <v/>
      </c>
      <c r="E433" s="560"/>
      <c r="F433" s="559"/>
      <c r="G433" s="559" t="str">
        <f t="shared" si="36"/>
        <v/>
      </c>
      <c r="H433" s="559" t="str">
        <f t="shared" si="37"/>
        <v/>
      </c>
      <c r="I433" s="559" t="str">
        <f t="shared" si="38"/>
        <v/>
      </c>
    </row>
    <row r="434" spans="2:9">
      <c r="B434" s="555" t="str">
        <f t="shared" si="33"/>
        <v/>
      </c>
      <c r="C434" s="556" t="str">
        <f t="shared" si="34"/>
        <v/>
      </c>
      <c r="D434" s="557" t="str">
        <f t="shared" si="35"/>
        <v/>
      </c>
      <c r="E434" s="560"/>
      <c r="F434" s="559"/>
      <c r="G434" s="559" t="str">
        <f t="shared" si="36"/>
        <v/>
      </c>
      <c r="H434" s="559" t="str">
        <f t="shared" si="37"/>
        <v/>
      </c>
      <c r="I434" s="559" t="str">
        <f t="shared" si="38"/>
        <v/>
      </c>
    </row>
    <row r="435" spans="2:9">
      <c r="B435" s="555" t="str">
        <f t="shared" si="33"/>
        <v/>
      </c>
      <c r="C435" s="556" t="str">
        <f t="shared" si="34"/>
        <v/>
      </c>
      <c r="D435" s="557" t="str">
        <f t="shared" si="35"/>
        <v/>
      </c>
      <c r="E435" s="560"/>
      <c r="F435" s="559"/>
      <c r="G435" s="559" t="str">
        <f t="shared" si="36"/>
        <v/>
      </c>
      <c r="H435" s="559" t="str">
        <f t="shared" si="37"/>
        <v/>
      </c>
      <c r="I435" s="559" t="str">
        <f t="shared" si="38"/>
        <v/>
      </c>
    </row>
    <row r="436" spans="2:9">
      <c r="B436" s="555" t="str">
        <f t="shared" si="33"/>
        <v/>
      </c>
      <c r="C436" s="556" t="str">
        <f t="shared" si="34"/>
        <v/>
      </c>
      <c r="D436" s="557" t="str">
        <f t="shared" si="35"/>
        <v/>
      </c>
      <c r="E436" s="560"/>
      <c r="F436" s="559"/>
      <c r="G436" s="559" t="str">
        <f t="shared" si="36"/>
        <v/>
      </c>
      <c r="H436" s="559" t="str">
        <f t="shared" si="37"/>
        <v/>
      </c>
      <c r="I436" s="559" t="str">
        <f t="shared" si="38"/>
        <v/>
      </c>
    </row>
    <row r="437" spans="2:9">
      <c r="B437" s="555" t="str">
        <f t="shared" si="33"/>
        <v/>
      </c>
      <c r="C437" s="556" t="str">
        <f t="shared" si="34"/>
        <v/>
      </c>
      <c r="D437" s="557" t="str">
        <f t="shared" si="35"/>
        <v/>
      </c>
      <c r="E437" s="560"/>
      <c r="F437" s="559"/>
      <c r="G437" s="559" t="str">
        <f t="shared" si="36"/>
        <v/>
      </c>
      <c r="H437" s="559" t="str">
        <f t="shared" si="37"/>
        <v/>
      </c>
      <c r="I437" s="559" t="str">
        <f t="shared" si="38"/>
        <v/>
      </c>
    </row>
    <row r="438" spans="2:9">
      <c r="B438" s="555" t="str">
        <f t="shared" si="33"/>
        <v/>
      </c>
      <c r="C438" s="556" t="str">
        <f t="shared" si="34"/>
        <v/>
      </c>
      <c r="D438" s="557" t="str">
        <f t="shared" si="35"/>
        <v/>
      </c>
      <c r="E438" s="560"/>
      <c r="F438" s="559"/>
      <c r="G438" s="559" t="str">
        <f t="shared" si="36"/>
        <v/>
      </c>
      <c r="H438" s="559" t="str">
        <f t="shared" si="37"/>
        <v/>
      </c>
      <c r="I438" s="559" t="str">
        <f t="shared" si="38"/>
        <v/>
      </c>
    </row>
    <row r="439" spans="2:9">
      <c r="B439" s="555" t="str">
        <f t="shared" si="33"/>
        <v/>
      </c>
      <c r="C439" s="556" t="str">
        <f t="shared" si="34"/>
        <v/>
      </c>
      <c r="D439" s="557" t="str">
        <f t="shared" si="35"/>
        <v/>
      </c>
      <c r="E439" s="560"/>
      <c r="F439" s="559"/>
      <c r="G439" s="559" t="str">
        <f t="shared" si="36"/>
        <v/>
      </c>
      <c r="H439" s="559" t="str">
        <f t="shared" si="37"/>
        <v/>
      </c>
      <c r="I439" s="559" t="str">
        <f t="shared" si="38"/>
        <v/>
      </c>
    </row>
    <row r="440" spans="2:9">
      <c r="B440" s="555" t="str">
        <f t="shared" si="33"/>
        <v/>
      </c>
      <c r="C440" s="556" t="str">
        <f t="shared" si="34"/>
        <v/>
      </c>
      <c r="D440" s="557" t="str">
        <f t="shared" si="35"/>
        <v/>
      </c>
      <c r="E440" s="560"/>
      <c r="F440" s="559"/>
      <c r="G440" s="559" t="str">
        <f t="shared" si="36"/>
        <v/>
      </c>
      <c r="H440" s="559" t="str">
        <f t="shared" si="37"/>
        <v/>
      </c>
      <c r="I440" s="559" t="str">
        <f t="shared" si="38"/>
        <v/>
      </c>
    </row>
    <row r="441" spans="2:9">
      <c r="B441" s="555" t="str">
        <f t="shared" si="33"/>
        <v/>
      </c>
      <c r="C441" s="556" t="str">
        <f t="shared" si="34"/>
        <v/>
      </c>
      <c r="D441" s="557" t="str">
        <f t="shared" si="35"/>
        <v/>
      </c>
      <c r="E441" s="560"/>
      <c r="F441" s="559"/>
      <c r="G441" s="559" t="str">
        <f t="shared" si="36"/>
        <v/>
      </c>
      <c r="H441" s="559" t="str">
        <f t="shared" si="37"/>
        <v/>
      </c>
      <c r="I441" s="559" t="str">
        <f t="shared" si="38"/>
        <v/>
      </c>
    </row>
    <row r="442" spans="2:9">
      <c r="B442" s="555" t="str">
        <f t="shared" si="33"/>
        <v/>
      </c>
      <c r="C442" s="556" t="str">
        <f t="shared" si="34"/>
        <v/>
      </c>
      <c r="D442" s="557" t="str">
        <f t="shared" si="35"/>
        <v/>
      </c>
      <c r="E442" s="560"/>
      <c r="F442" s="559"/>
      <c r="G442" s="559" t="str">
        <f t="shared" si="36"/>
        <v/>
      </c>
      <c r="H442" s="559" t="str">
        <f t="shared" si="37"/>
        <v/>
      </c>
      <c r="I442" s="559" t="str">
        <f t="shared" si="38"/>
        <v/>
      </c>
    </row>
    <row r="443" spans="2:9">
      <c r="B443" s="555" t="str">
        <f t="shared" si="33"/>
        <v/>
      </c>
      <c r="C443" s="556" t="str">
        <f t="shared" si="34"/>
        <v/>
      </c>
      <c r="D443" s="557" t="str">
        <f t="shared" si="35"/>
        <v/>
      </c>
      <c r="E443" s="560"/>
      <c r="F443" s="559"/>
      <c r="G443" s="559" t="str">
        <f t="shared" si="36"/>
        <v/>
      </c>
      <c r="H443" s="559" t="str">
        <f t="shared" si="37"/>
        <v/>
      </c>
      <c r="I443" s="559" t="str">
        <f t="shared" si="38"/>
        <v/>
      </c>
    </row>
    <row r="444" spans="2:9">
      <c r="B444" s="555" t="str">
        <f t="shared" si="33"/>
        <v/>
      </c>
      <c r="C444" s="556" t="str">
        <f t="shared" si="34"/>
        <v/>
      </c>
      <c r="D444" s="557" t="str">
        <f t="shared" si="35"/>
        <v/>
      </c>
      <c r="E444" s="560"/>
      <c r="F444" s="559"/>
      <c r="G444" s="559" t="str">
        <f t="shared" si="36"/>
        <v/>
      </c>
      <c r="H444" s="559" t="str">
        <f t="shared" si="37"/>
        <v/>
      </c>
      <c r="I444" s="559" t="str">
        <f t="shared" si="38"/>
        <v/>
      </c>
    </row>
    <row r="445" spans="2:9">
      <c r="B445" s="555" t="str">
        <f t="shared" ref="B445:B508" si="39">IF(I444="","",IF(roundOpt,IF(OR(B444&gt;=nper,ROUND(I444,2)&lt;=0),"",B444+1),IF(OR(B444&gt;=nper,I444&lt;=0),"",B444+1)))</f>
        <v/>
      </c>
      <c r="C445" s="556" t="str">
        <f t="shared" ref="C445:C508" si="40">IF(B445="","",IF(OR(periods_per_year=26,periods_per_year=52),IF(periods_per_year=26,IF(B445=1,fpdate,C444+14),IF(periods_per_year=52,IF(B445=1,fpdate,C444+7),"n/a")),IF(periods_per_year=24,DATE(YEAR(fpdate),MONTH(fpdate)+(B445-1)/2+IF(AND(DAY(fpdate)&gt;=15,MOD(B445,2)=0),1,0),IF(MOD(B445,2)=0,IF(DAY(fpdate)&gt;=15,DAY(fpdate)-14,DAY(fpdate)+14),DAY(fpdate))),IF(DAY(DATE(YEAR(fpdate),MONTH(fpdate)+(B445-1)*months_per_period,DAY(fpdate)))&lt;&gt;DAY(fpdate),DATE(YEAR(fpdate),MONTH(fpdate)+(B445-1)*months_per_period+1,0),DATE(YEAR(fpdate),MONTH(fpdate)+(B445-1)*months_per_period,DAY(fpdate))))))</f>
        <v/>
      </c>
      <c r="D445" s="557" t="str">
        <f t="shared" ref="D445:D508" si="41">IF(B445="","",IF(roundOpt,IF(OR(B445=nper,payment&gt;ROUND((1+rate)*I444,2)),ROUND((1+rate)*I444,2),payment),IF(OR(B445=nper,payment&gt;(1+rate)*I444),(1+rate)*I444,payment)))</f>
        <v/>
      </c>
      <c r="E445" s="560"/>
      <c r="F445" s="559"/>
      <c r="G445" s="559" t="str">
        <f t="shared" ref="G445:G508" si="42">IF(B445="","",IF(AND(B445=1,pmtType=1),0,IF(roundOpt,ROUND(rate*I444,2),rate*I444)))</f>
        <v/>
      </c>
      <c r="H445" s="559" t="str">
        <f t="shared" ref="H445:H508" si="43">IF(B445="","",D445-G445+E445)</f>
        <v/>
      </c>
      <c r="I445" s="559" t="str">
        <f t="shared" ref="I445:I508" si="44">IF(B445="","",I444-H445)</f>
        <v/>
      </c>
    </row>
    <row r="446" spans="2:9">
      <c r="B446" s="555" t="str">
        <f t="shared" si="39"/>
        <v/>
      </c>
      <c r="C446" s="556" t="str">
        <f t="shared" si="40"/>
        <v/>
      </c>
      <c r="D446" s="557" t="str">
        <f t="shared" si="41"/>
        <v/>
      </c>
      <c r="E446" s="560"/>
      <c r="F446" s="559"/>
      <c r="G446" s="559" t="str">
        <f t="shared" si="42"/>
        <v/>
      </c>
      <c r="H446" s="559" t="str">
        <f t="shared" si="43"/>
        <v/>
      </c>
      <c r="I446" s="559" t="str">
        <f t="shared" si="44"/>
        <v/>
      </c>
    </row>
    <row r="447" spans="2:9">
      <c r="B447" s="555" t="str">
        <f t="shared" si="39"/>
        <v/>
      </c>
      <c r="C447" s="556" t="str">
        <f t="shared" si="40"/>
        <v/>
      </c>
      <c r="D447" s="557" t="str">
        <f t="shared" si="41"/>
        <v/>
      </c>
      <c r="E447" s="560"/>
      <c r="F447" s="559"/>
      <c r="G447" s="559" t="str">
        <f t="shared" si="42"/>
        <v/>
      </c>
      <c r="H447" s="559" t="str">
        <f t="shared" si="43"/>
        <v/>
      </c>
      <c r="I447" s="559" t="str">
        <f t="shared" si="44"/>
        <v/>
      </c>
    </row>
    <row r="448" spans="2:9">
      <c r="B448" s="555" t="str">
        <f t="shared" si="39"/>
        <v/>
      </c>
      <c r="C448" s="556" t="str">
        <f t="shared" si="40"/>
        <v/>
      </c>
      <c r="D448" s="557" t="str">
        <f t="shared" si="41"/>
        <v/>
      </c>
      <c r="E448" s="560"/>
      <c r="F448" s="559"/>
      <c r="G448" s="559" t="str">
        <f t="shared" si="42"/>
        <v/>
      </c>
      <c r="H448" s="559" t="str">
        <f t="shared" si="43"/>
        <v/>
      </c>
      <c r="I448" s="559" t="str">
        <f t="shared" si="44"/>
        <v/>
      </c>
    </row>
    <row r="449" spans="2:9">
      <c r="B449" s="555" t="str">
        <f t="shared" si="39"/>
        <v/>
      </c>
      <c r="C449" s="556" t="str">
        <f t="shared" si="40"/>
        <v/>
      </c>
      <c r="D449" s="557" t="str">
        <f t="shared" si="41"/>
        <v/>
      </c>
      <c r="E449" s="560"/>
      <c r="F449" s="559"/>
      <c r="G449" s="559" t="str">
        <f t="shared" si="42"/>
        <v/>
      </c>
      <c r="H449" s="559" t="str">
        <f t="shared" si="43"/>
        <v/>
      </c>
      <c r="I449" s="559" t="str">
        <f t="shared" si="44"/>
        <v/>
      </c>
    </row>
    <row r="450" spans="2:9">
      <c r="B450" s="555" t="str">
        <f t="shared" si="39"/>
        <v/>
      </c>
      <c r="C450" s="556" t="str">
        <f t="shared" si="40"/>
        <v/>
      </c>
      <c r="D450" s="557" t="str">
        <f t="shared" si="41"/>
        <v/>
      </c>
      <c r="E450" s="560"/>
      <c r="F450" s="559"/>
      <c r="G450" s="559" t="str">
        <f t="shared" si="42"/>
        <v/>
      </c>
      <c r="H450" s="559" t="str">
        <f t="shared" si="43"/>
        <v/>
      </c>
      <c r="I450" s="559" t="str">
        <f t="shared" si="44"/>
        <v/>
      </c>
    </row>
    <row r="451" spans="2:9">
      <c r="B451" s="555" t="str">
        <f t="shared" si="39"/>
        <v/>
      </c>
      <c r="C451" s="556" t="str">
        <f t="shared" si="40"/>
        <v/>
      </c>
      <c r="D451" s="557" t="str">
        <f t="shared" si="41"/>
        <v/>
      </c>
      <c r="E451" s="560"/>
      <c r="F451" s="559"/>
      <c r="G451" s="559" t="str">
        <f t="shared" si="42"/>
        <v/>
      </c>
      <c r="H451" s="559" t="str">
        <f t="shared" si="43"/>
        <v/>
      </c>
      <c r="I451" s="559" t="str">
        <f t="shared" si="44"/>
        <v/>
      </c>
    </row>
    <row r="452" spans="2:9">
      <c r="B452" s="555" t="str">
        <f t="shared" si="39"/>
        <v/>
      </c>
      <c r="C452" s="556" t="str">
        <f t="shared" si="40"/>
        <v/>
      </c>
      <c r="D452" s="557" t="str">
        <f t="shared" si="41"/>
        <v/>
      </c>
      <c r="E452" s="560"/>
      <c r="F452" s="559"/>
      <c r="G452" s="559" t="str">
        <f t="shared" si="42"/>
        <v/>
      </c>
      <c r="H452" s="559" t="str">
        <f t="shared" si="43"/>
        <v/>
      </c>
      <c r="I452" s="559" t="str">
        <f t="shared" si="44"/>
        <v/>
      </c>
    </row>
    <row r="453" spans="2:9">
      <c r="B453" s="555" t="str">
        <f t="shared" si="39"/>
        <v/>
      </c>
      <c r="C453" s="556" t="str">
        <f t="shared" si="40"/>
        <v/>
      </c>
      <c r="D453" s="557" t="str">
        <f t="shared" si="41"/>
        <v/>
      </c>
      <c r="E453" s="560"/>
      <c r="F453" s="559"/>
      <c r="G453" s="559" t="str">
        <f t="shared" si="42"/>
        <v/>
      </c>
      <c r="H453" s="559" t="str">
        <f t="shared" si="43"/>
        <v/>
      </c>
      <c r="I453" s="559" t="str">
        <f t="shared" si="44"/>
        <v/>
      </c>
    </row>
    <row r="454" spans="2:9">
      <c r="B454" s="555" t="str">
        <f t="shared" si="39"/>
        <v/>
      </c>
      <c r="C454" s="556" t="str">
        <f t="shared" si="40"/>
        <v/>
      </c>
      <c r="D454" s="557" t="str">
        <f t="shared" si="41"/>
        <v/>
      </c>
      <c r="E454" s="560"/>
      <c r="F454" s="559"/>
      <c r="G454" s="559" t="str">
        <f t="shared" si="42"/>
        <v/>
      </c>
      <c r="H454" s="559" t="str">
        <f t="shared" si="43"/>
        <v/>
      </c>
      <c r="I454" s="559" t="str">
        <f t="shared" si="44"/>
        <v/>
      </c>
    </row>
    <row r="455" spans="2:9">
      <c r="B455" s="555" t="str">
        <f t="shared" si="39"/>
        <v/>
      </c>
      <c r="C455" s="556" t="str">
        <f t="shared" si="40"/>
        <v/>
      </c>
      <c r="D455" s="557" t="str">
        <f t="shared" si="41"/>
        <v/>
      </c>
      <c r="E455" s="560"/>
      <c r="F455" s="559"/>
      <c r="G455" s="559" t="str">
        <f t="shared" si="42"/>
        <v/>
      </c>
      <c r="H455" s="559" t="str">
        <f t="shared" si="43"/>
        <v/>
      </c>
      <c r="I455" s="559" t="str">
        <f t="shared" si="44"/>
        <v/>
      </c>
    </row>
    <row r="456" spans="2:9">
      <c r="B456" s="555" t="str">
        <f t="shared" si="39"/>
        <v/>
      </c>
      <c r="C456" s="556" t="str">
        <f t="shared" si="40"/>
        <v/>
      </c>
      <c r="D456" s="557" t="str">
        <f t="shared" si="41"/>
        <v/>
      </c>
      <c r="E456" s="560"/>
      <c r="F456" s="559"/>
      <c r="G456" s="559" t="str">
        <f t="shared" si="42"/>
        <v/>
      </c>
      <c r="H456" s="559" t="str">
        <f t="shared" si="43"/>
        <v/>
      </c>
      <c r="I456" s="559" t="str">
        <f t="shared" si="44"/>
        <v/>
      </c>
    </row>
    <row r="457" spans="2:9">
      <c r="B457" s="555" t="str">
        <f t="shared" si="39"/>
        <v/>
      </c>
      <c r="C457" s="556" t="str">
        <f t="shared" si="40"/>
        <v/>
      </c>
      <c r="D457" s="557" t="str">
        <f t="shared" si="41"/>
        <v/>
      </c>
      <c r="E457" s="560"/>
      <c r="F457" s="559"/>
      <c r="G457" s="559" t="str">
        <f t="shared" si="42"/>
        <v/>
      </c>
      <c r="H457" s="559" t="str">
        <f t="shared" si="43"/>
        <v/>
      </c>
      <c r="I457" s="559" t="str">
        <f t="shared" si="44"/>
        <v/>
      </c>
    </row>
    <row r="458" spans="2:9">
      <c r="B458" s="555" t="str">
        <f t="shared" si="39"/>
        <v/>
      </c>
      <c r="C458" s="556" t="str">
        <f t="shared" si="40"/>
        <v/>
      </c>
      <c r="D458" s="557" t="str">
        <f t="shared" si="41"/>
        <v/>
      </c>
      <c r="E458" s="560"/>
      <c r="F458" s="559"/>
      <c r="G458" s="559" t="str">
        <f t="shared" si="42"/>
        <v/>
      </c>
      <c r="H458" s="559" t="str">
        <f t="shared" si="43"/>
        <v/>
      </c>
      <c r="I458" s="559" t="str">
        <f t="shared" si="44"/>
        <v/>
      </c>
    </row>
    <row r="459" spans="2:9">
      <c r="B459" s="555" t="str">
        <f t="shared" si="39"/>
        <v/>
      </c>
      <c r="C459" s="556" t="str">
        <f t="shared" si="40"/>
        <v/>
      </c>
      <c r="D459" s="557" t="str">
        <f t="shared" si="41"/>
        <v/>
      </c>
      <c r="E459" s="560"/>
      <c r="F459" s="559"/>
      <c r="G459" s="559" t="str">
        <f t="shared" si="42"/>
        <v/>
      </c>
      <c r="H459" s="559" t="str">
        <f t="shared" si="43"/>
        <v/>
      </c>
      <c r="I459" s="559" t="str">
        <f t="shared" si="44"/>
        <v/>
      </c>
    </row>
    <row r="460" spans="2:9">
      <c r="B460" s="555" t="str">
        <f t="shared" si="39"/>
        <v/>
      </c>
      <c r="C460" s="556" t="str">
        <f t="shared" si="40"/>
        <v/>
      </c>
      <c r="D460" s="557" t="str">
        <f t="shared" si="41"/>
        <v/>
      </c>
      <c r="E460" s="560"/>
      <c r="F460" s="559"/>
      <c r="G460" s="559" t="str">
        <f t="shared" si="42"/>
        <v/>
      </c>
      <c r="H460" s="559" t="str">
        <f t="shared" si="43"/>
        <v/>
      </c>
      <c r="I460" s="559" t="str">
        <f t="shared" si="44"/>
        <v/>
      </c>
    </row>
    <row r="461" spans="2:9">
      <c r="B461" s="555" t="str">
        <f t="shared" si="39"/>
        <v/>
      </c>
      <c r="C461" s="556" t="str">
        <f t="shared" si="40"/>
        <v/>
      </c>
      <c r="D461" s="557" t="str">
        <f t="shared" si="41"/>
        <v/>
      </c>
      <c r="E461" s="560"/>
      <c r="F461" s="559"/>
      <c r="G461" s="559" t="str">
        <f t="shared" si="42"/>
        <v/>
      </c>
      <c r="H461" s="559" t="str">
        <f t="shared" si="43"/>
        <v/>
      </c>
      <c r="I461" s="559" t="str">
        <f t="shared" si="44"/>
        <v/>
      </c>
    </row>
    <row r="462" spans="2:9">
      <c r="B462" s="555" t="str">
        <f t="shared" si="39"/>
        <v/>
      </c>
      <c r="C462" s="556" t="str">
        <f t="shared" si="40"/>
        <v/>
      </c>
      <c r="D462" s="557" t="str">
        <f t="shared" si="41"/>
        <v/>
      </c>
      <c r="E462" s="560"/>
      <c r="F462" s="559"/>
      <c r="G462" s="559" t="str">
        <f t="shared" si="42"/>
        <v/>
      </c>
      <c r="H462" s="559" t="str">
        <f t="shared" si="43"/>
        <v/>
      </c>
      <c r="I462" s="559" t="str">
        <f t="shared" si="44"/>
        <v/>
      </c>
    </row>
    <row r="463" spans="2:9">
      <c r="B463" s="555" t="str">
        <f t="shared" si="39"/>
        <v/>
      </c>
      <c r="C463" s="556" t="str">
        <f t="shared" si="40"/>
        <v/>
      </c>
      <c r="D463" s="557" t="str">
        <f t="shared" si="41"/>
        <v/>
      </c>
      <c r="E463" s="560"/>
      <c r="F463" s="559"/>
      <c r="G463" s="559" t="str">
        <f t="shared" si="42"/>
        <v/>
      </c>
      <c r="H463" s="559" t="str">
        <f t="shared" si="43"/>
        <v/>
      </c>
      <c r="I463" s="559" t="str">
        <f t="shared" si="44"/>
        <v/>
      </c>
    </row>
    <row r="464" spans="2:9">
      <c r="B464" s="555" t="str">
        <f t="shared" si="39"/>
        <v/>
      </c>
      <c r="C464" s="556" t="str">
        <f t="shared" si="40"/>
        <v/>
      </c>
      <c r="D464" s="557" t="str">
        <f t="shared" si="41"/>
        <v/>
      </c>
      <c r="E464" s="560"/>
      <c r="F464" s="559"/>
      <c r="G464" s="559" t="str">
        <f t="shared" si="42"/>
        <v/>
      </c>
      <c r="H464" s="559" t="str">
        <f t="shared" si="43"/>
        <v/>
      </c>
      <c r="I464" s="559" t="str">
        <f t="shared" si="44"/>
        <v/>
      </c>
    </row>
    <row r="465" spans="2:9">
      <c r="B465" s="555" t="str">
        <f t="shared" si="39"/>
        <v/>
      </c>
      <c r="C465" s="556" t="str">
        <f t="shared" si="40"/>
        <v/>
      </c>
      <c r="D465" s="557" t="str">
        <f t="shared" si="41"/>
        <v/>
      </c>
      <c r="E465" s="560"/>
      <c r="F465" s="559"/>
      <c r="G465" s="559" t="str">
        <f t="shared" si="42"/>
        <v/>
      </c>
      <c r="H465" s="559" t="str">
        <f t="shared" si="43"/>
        <v/>
      </c>
      <c r="I465" s="559" t="str">
        <f t="shared" si="44"/>
        <v/>
      </c>
    </row>
    <row r="466" spans="2:9">
      <c r="B466" s="555" t="str">
        <f t="shared" si="39"/>
        <v/>
      </c>
      <c r="C466" s="556" t="str">
        <f t="shared" si="40"/>
        <v/>
      </c>
      <c r="D466" s="557" t="str">
        <f t="shared" si="41"/>
        <v/>
      </c>
      <c r="E466" s="560"/>
      <c r="F466" s="559"/>
      <c r="G466" s="559" t="str">
        <f t="shared" si="42"/>
        <v/>
      </c>
      <c r="H466" s="559" t="str">
        <f t="shared" si="43"/>
        <v/>
      </c>
      <c r="I466" s="559" t="str">
        <f t="shared" si="44"/>
        <v/>
      </c>
    </row>
    <row r="467" spans="2:9">
      <c r="B467" s="555" t="str">
        <f t="shared" si="39"/>
        <v/>
      </c>
      <c r="C467" s="556" t="str">
        <f t="shared" si="40"/>
        <v/>
      </c>
      <c r="D467" s="557" t="str">
        <f t="shared" si="41"/>
        <v/>
      </c>
      <c r="E467" s="560"/>
      <c r="F467" s="559"/>
      <c r="G467" s="559" t="str">
        <f t="shared" si="42"/>
        <v/>
      </c>
      <c r="H467" s="559" t="str">
        <f t="shared" si="43"/>
        <v/>
      </c>
      <c r="I467" s="559" t="str">
        <f t="shared" si="44"/>
        <v/>
      </c>
    </row>
    <row r="468" spans="2:9">
      <c r="B468" s="555" t="str">
        <f t="shared" si="39"/>
        <v/>
      </c>
      <c r="C468" s="556" t="str">
        <f t="shared" si="40"/>
        <v/>
      </c>
      <c r="D468" s="557" t="str">
        <f t="shared" si="41"/>
        <v/>
      </c>
      <c r="E468" s="560"/>
      <c r="F468" s="559"/>
      <c r="G468" s="559" t="str">
        <f t="shared" si="42"/>
        <v/>
      </c>
      <c r="H468" s="559" t="str">
        <f t="shared" si="43"/>
        <v/>
      </c>
      <c r="I468" s="559" t="str">
        <f t="shared" si="44"/>
        <v/>
      </c>
    </row>
    <row r="469" spans="2:9">
      <c r="B469" s="555" t="str">
        <f t="shared" si="39"/>
        <v/>
      </c>
      <c r="C469" s="556" t="str">
        <f t="shared" si="40"/>
        <v/>
      </c>
      <c r="D469" s="557" t="str">
        <f t="shared" si="41"/>
        <v/>
      </c>
      <c r="E469" s="560"/>
      <c r="F469" s="559"/>
      <c r="G469" s="559" t="str">
        <f t="shared" si="42"/>
        <v/>
      </c>
      <c r="H469" s="559" t="str">
        <f t="shared" si="43"/>
        <v/>
      </c>
      <c r="I469" s="559" t="str">
        <f t="shared" si="44"/>
        <v/>
      </c>
    </row>
    <row r="470" spans="2:9">
      <c r="B470" s="555" t="str">
        <f t="shared" si="39"/>
        <v/>
      </c>
      <c r="C470" s="556" t="str">
        <f t="shared" si="40"/>
        <v/>
      </c>
      <c r="D470" s="557" t="str">
        <f t="shared" si="41"/>
        <v/>
      </c>
      <c r="E470" s="560"/>
      <c r="F470" s="559"/>
      <c r="G470" s="559" t="str">
        <f t="shared" si="42"/>
        <v/>
      </c>
      <c r="H470" s="559" t="str">
        <f t="shared" si="43"/>
        <v/>
      </c>
      <c r="I470" s="559" t="str">
        <f t="shared" si="44"/>
        <v/>
      </c>
    </row>
    <row r="471" spans="2:9">
      <c r="B471" s="555" t="str">
        <f t="shared" si="39"/>
        <v/>
      </c>
      <c r="C471" s="556" t="str">
        <f t="shared" si="40"/>
        <v/>
      </c>
      <c r="D471" s="557" t="str">
        <f t="shared" si="41"/>
        <v/>
      </c>
      <c r="E471" s="560"/>
      <c r="F471" s="559"/>
      <c r="G471" s="559" t="str">
        <f t="shared" si="42"/>
        <v/>
      </c>
      <c r="H471" s="559" t="str">
        <f t="shared" si="43"/>
        <v/>
      </c>
      <c r="I471" s="559" t="str">
        <f t="shared" si="44"/>
        <v/>
      </c>
    </row>
    <row r="472" spans="2:9">
      <c r="B472" s="555" t="str">
        <f t="shared" si="39"/>
        <v/>
      </c>
      <c r="C472" s="556" t="str">
        <f t="shared" si="40"/>
        <v/>
      </c>
      <c r="D472" s="557" t="str">
        <f t="shared" si="41"/>
        <v/>
      </c>
      <c r="E472" s="560"/>
      <c r="F472" s="559"/>
      <c r="G472" s="559" t="str">
        <f t="shared" si="42"/>
        <v/>
      </c>
      <c r="H472" s="559" t="str">
        <f t="shared" si="43"/>
        <v/>
      </c>
      <c r="I472" s="559" t="str">
        <f t="shared" si="44"/>
        <v/>
      </c>
    </row>
    <row r="473" spans="2:9">
      <c r="B473" s="555" t="str">
        <f t="shared" si="39"/>
        <v/>
      </c>
      <c r="C473" s="556" t="str">
        <f t="shared" si="40"/>
        <v/>
      </c>
      <c r="D473" s="557" t="str">
        <f t="shared" si="41"/>
        <v/>
      </c>
      <c r="E473" s="560"/>
      <c r="F473" s="559"/>
      <c r="G473" s="559" t="str">
        <f t="shared" si="42"/>
        <v/>
      </c>
      <c r="H473" s="559" t="str">
        <f t="shared" si="43"/>
        <v/>
      </c>
      <c r="I473" s="559" t="str">
        <f t="shared" si="44"/>
        <v/>
      </c>
    </row>
    <row r="474" spans="2:9">
      <c r="B474" s="555" t="str">
        <f t="shared" si="39"/>
        <v/>
      </c>
      <c r="C474" s="556" t="str">
        <f t="shared" si="40"/>
        <v/>
      </c>
      <c r="D474" s="557" t="str">
        <f t="shared" si="41"/>
        <v/>
      </c>
      <c r="E474" s="560"/>
      <c r="F474" s="559"/>
      <c r="G474" s="559" t="str">
        <f t="shared" si="42"/>
        <v/>
      </c>
      <c r="H474" s="559" t="str">
        <f t="shared" si="43"/>
        <v/>
      </c>
      <c r="I474" s="559" t="str">
        <f t="shared" si="44"/>
        <v/>
      </c>
    </row>
    <row r="475" spans="2:9">
      <c r="B475" s="555" t="str">
        <f t="shared" si="39"/>
        <v/>
      </c>
      <c r="C475" s="556" t="str">
        <f t="shared" si="40"/>
        <v/>
      </c>
      <c r="D475" s="557" t="str">
        <f t="shared" si="41"/>
        <v/>
      </c>
      <c r="E475" s="560"/>
      <c r="F475" s="559"/>
      <c r="G475" s="559" t="str">
        <f t="shared" si="42"/>
        <v/>
      </c>
      <c r="H475" s="559" t="str">
        <f t="shared" si="43"/>
        <v/>
      </c>
      <c r="I475" s="559" t="str">
        <f t="shared" si="44"/>
        <v/>
      </c>
    </row>
    <row r="476" spans="2:9">
      <c r="B476" s="555" t="str">
        <f t="shared" si="39"/>
        <v/>
      </c>
      <c r="C476" s="556" t="str">
        <f t="shared" si="40"/>
        <v/>
      </c>
      <c r="D476" s="557" t="str">
        <f t="shared" si="41"/>
        <v/>
      </c>
      <c r="E476" s="560"/>
      <c r="F476" s="559"/>
      <c r="G476" s="559" t="str">
        <f t="shared" si="42"/>
        <v/>
      </c>
      <c r="H476" s="559" t="str">
        <f t="shared" si="43"/>
        <v/>
      </c>
      <c r="I476" s="559" t="str">
        <f t="shared" si="44"/>
        <v/>
      </c>
    </row>
    <row r="477" spans="2:9">
      <c r="B477" s="555" t="str">
        <f t="shared" si="39"/>
        <v/>
      </c>
      <c r="C477" s="556" t="str">
        <f t="shared" si="40"/>
        <v/>
      </c>
      <c r="D477" s="557" t="str">
        <f t="shared" si="41"/>
        <v/>
      </c>
      <c r="E477" s="560"/>
      <c r="F477" s="559"/>
      <c r="G477" s="559" t="str">
        <f t="shared" si="42"/>
        <v/>
      </c>
      <c r="H477" s="559" t="str">
        <f t="shared" si="43"/>
        <v/>
      </c>
      <c r="I477" s="559" t="str">
        <f t="shared" si="44"/>
        <v/>
      </c>
    </row>
    <row r="478" spans="2:9">
      <c r="B478" s="555" t="str">
        <f t="shared" si="39"/>
        <v/>
      </c>
      <c r="C478" s="556" t="str">
        <f t="shared" si="40"/>
        <v/>
      </c>
      <c r="D478" s="557" t="str">
        <f t="shared" si="41"/>
        <v/>
      </c>
      <c r="E478" s="560"/>
      <c r="F478" s="559"/>
      <c r="G478" s="559" t="str">
        <f t="shared" si="42"/>
        <v/>
      </c>
      <c r="H478" s="559" t="str">
        <f t="shared" si="43"/>
        <v/>
      </c>
      <c r="I478" s="559" t="str">
        <f t="shared" si="44"/>
        <v/>
      </c>
    </row>
    <row r="479" spans="2:9">
      <c r="B479" s="555" t="str">
        <f t="shared" si="39"/>
        <v/>
      </c>
      <c r="C479" s="556" t="str">
        <f t="shared" si="40"/>
        <v/>
      </c>
      <c r="D479" s="557" t="str">
        <f t="shared" si="41"/>
        <v/>
      </c>
      <c r="E479" s="560"/>
      <c r="F479" s="559"/>
      <c r="G479" s="559" t="str">
        <f t="shared" si="42"/>
        <v/>
      </c>
      <c r="H479" s="559" t="str">
        <f t="shared" si="43"/>
        <v/>
      </c>
      <c r="I479" s="559" t="str">
        <f t="shared" si="44"/>
        <v/>
      </c>
    </row>
    <row r="480" spans="2:9">
      <c r="B480" s="555" t="str">
        <f t="shared" si="39"/>
        <v/>
      </c>
      <c r="C480" s="556" t="str">
        <f t="shared" si="40"/>
        <v/>
      </c>
      <c r="D480" s="557" t="str">
        <f t="shared" si="41"/>
        <v/>
      </c>
      <c r="E480" s="560"/>
      <c r="F480" s="559"/>
      <c r="G480" s="559" t="str">
        <f t="shared" si="42"/>
        <v/>
      </c>
      <c r="H480" s="559" t="str">
        <f t="shared" si="43"/>
        <v/>
      </c>
      <c r="I480" s="559" t="str">
        <f t="shared" si="44"/>
        <v/>
      </c>
    </row>
    <row r="481" spans="2:9">
      <c r="B481" s="555" t="str">
        <f t="shared" si="39"/>
        <v/>
      </c>
      <c r="C481" s="556" t="str">
        <f t="shared" si="40"/>
        <v/>
      </c>
      <c r="D481" s="557" t="str">
        <f t="shared" si="41"/>
        <v/>
      </c>
      <c r="E481" s="560"/>
      <c r="F481" s="559"/>
      <c r="G481" s="559" t="str">
        <f t="shared" si="42"/>
        <v/>
      </c>
      <c r="H481" s="559" t="str">
        <f t="shared" si="43"/>
        <v/>
      </c>
      <c r="I481" s="559" t="str">
        <f t="shared" si="44"/>
        <v/>
      </c>
    </row>
    <row r="482" spans="2:9">
      <c r="B482" s="555" t="str">
        <f t="shared" si="39"/>
        <v/>
      </c>
      <c r="C482" s="556" t="str">
        <f t="shared" si="40"/>
        <v/>
      </c>
      <c r="D482" s="557" t="str">
        <f t="shared" si="41"/>
        <v/>
      </c>
      <c r="E482" s="560"/>
      <c r="F482" s="559"/>
      <c r="G482" s="559" t="str">
        <f t="shared" si="42"/>
        <v/>
      </c>
      <c r="H482" s="559" t="str">
        <f t="shared" si="43"/>
        <v/>
      </c>
      <c r="I482" s="559" t="str">
        <f t="shared" si="44"/>
        <v/>
      </c>
    </row>
    <row r="483" spans="2:9">
      <c r="B483" s="555" t="str">
        <f t="shared" si="39"/>
        <v/>
      </c>
      <c r="C483" s="556" t="str">
        <f t="shared" si="40"/>
        <v/>
      </c>
      <c r="D483" s="557" t="str">
        <f t="shared" si="41"/>
        <v/>
      </c>
      <c r="E483" s="560"/>
      <c r="F483" s="559"/>
      <c r="G483" s="559" t="str">
        <f t="shared" si="42"/>
        <v/>
      </c>
      <c r="H483" s="559" t="str">
        <f t="shared" si="43"/>
        <v/>
      </c>
      <c r="I483" s="559" t="str">
        <f t="shared" si="44"/>
        <v/>
      </c>
    </row>
    <row r="484" spans="2:9">
      <c r="B484" s="555" t="str">
        <f t="shared" si="39"/>
        <v/>
      </c>
      <c r="C484" s="556" t="str">
        <f t="shared" si="40"/>
        <v/>
      </c>
      <c r="D484" s="557" t="str">
        <f t="shared" si="41"/>
        <v/>
      </c>
      <c r="E484" s="560"/>
      <c r="F484" s="559"/>
      <c r="G484" s="559" t="str">
        <f t="shared" si="42"/>
        <v/>
      </c>
      <c r="H484" s="559" t="str">
        <f t="shared" si="43"/>
        <v/>
      </c>
      <c r="I484" s="559" t="str">
        <f t="shared" si="44"/>
        <v/>
      </c>
    </row>
    <row r="485" spans="2:9">
      <c r="B485" s="555" t="str">
        <f t="shared" si="39"/>
        <v/>
      </c>
      <c r="C485" s="556" t="str">
        <f t="shared" si="40"/>
        <v/>
      </c>
      <c r="D485" s="557" t="str">
        <f t="shared" si="41"/>
        <v/>
      </c>
      <c r="E485" s="560"/>
      <c r="F485" s="559"/>
      <c r="G485" s="559" t="str">
        <f t="shared" si="42"/>
        <v/>
      </c>
      <c r="H485" s="559" t="str">
        <f t="shared" si="43"/>
        <v/>
      </c>
      <c r="I485" s="559" t="str">
        <f t="shared" si="44"/>
        <v/>
      </c>
    </row>
    <row r="486" spans="2:9">
      <c r="B486" s="555" t="str">
        <f t="shared" si="39"/>
        <v/>
      </c>
      <c r="C486" s="556" t="str">
        <f t="shared" si="40"/>
        <v/>
      </c>
      <c r="D486" s="557" t="str">
        <f t="shared" si="41"/>
        <v/>
      </c>
      <c r="E486" s="560"/>
      <c r="F486" s="559"/>
      <c r="G486" s="559" t="str">
        <f t="shared" si="42"/>
        <v/>
      </c>
      <c r="H486" s="559" t="str">
        <f t="shared" si="43"/>
        <v/>
      </c>
      <c r="I486" s="559" t="str">
        <f t="shared" si="44"/>
        <v/>
      </c>
    </row>
    <row r="487" spans="2:9">
      <c r="B487" s="555" t="str">
        <f t="shared" si="39"/>
        <v/>
      </c>
      <c r="C487" s="556" t="str">
        <f t="shared" si="40"/>
        <v/>
      </c>
      <c r="D487" s="557" t="str">
        <f t="shared" si="41"/>
        <v/>
      </c>
      <c r="E487" s="560"/>
      <c r="F487" s="559"/>
      <c r="G487" s="559" t="str">
        <f t="shared" si="42"/>
        <v/>
      </c>
      <c r="H487" s="559" t="str">
        <f t="shared" si="43"/>
        <v/>
      </c>
      <c r="I487" s="559" t="str">
        <f t="shared" si="44"/>
        <v/>
      </c>
    </row>
    <row r="488" spans="2:9">
      <c r="B488" s="555" t="str">
        <f t="shared" si="39"/>
        <v/>
      </c>
      <c r="C488" s="556" t="str">
        <f t="shared" si="40"/>
        <v/>
      </c>
      <c r="D488" s="557" t="str">
        <f t="shared" si="41"/>
        <v/>
      </c>
      <c r="E488" s="560"/>
      <c r="F488" s="559"/>
      <c r="G488" s="559" t="str">
        <f t="shared" si="42"/>
        <v/>
      </c>
      <c r="H488" s="559" t="str">
        <f t="shared" si="43"/>
        <v/>
      </c>
      <c r="I488" s="559" t="str">
        <f t="shared" si="44"/>
        <v/>
      </c>
    </row>
    <row r="489" spans="2:9">
      <c r="B489" s="555" t="str">
        <f t="shared" si="39"/>
        <v/>
      </c>
      <c r="C489" s="556" t="str">
        <f t="shared" si="40"/>
        <v/>
      </c>
      <c r="D489" s="557" t="str">
        <f t="shared" si="41"/>
        <v/>
      </c>
      <c r="E489" s="560"/>
      <c r="F489" s="559"/>
      <c r="G489" s="559" t="str">
        <f t="shared" si="42"/>
        <v/>
      </c>
      <c r="H489" s="559" t="str">
        <f t="shared" si="43"/>
        <v/>
      </c>
      <c r="I489" s="559" t="str">
        <f t="shared" si="44"/>
        <v/>
      </c>
    </row>
    <row r="490" spans="2:9">
      <c r="B490" s="555" t="str">
        <f t="shared" si="39"/>
        <v/>
      </c>
      <c r="C490" s="556" t="str">
        <f t="shared" si="40"/>
        <v/>
      </c>
      <c r="D490" s="557" t="str">
        <f t="shared" si="41"/>
        <v/>
      </c>
      <c r="E490" s="560"/>
      <c r="F490" s="559"/>
      <c r="G490" s="559" t="str">
        <f t="shared" si="42"/>
        <v/>
      </c>
      <c r="H490" s="559" t="str">
        <f t="shared" si="43"/>
        <v/>
      </c>
      <c r="I490" s="559" t="str">
        <f t="shared" si="44"/>
        <v/>
      </c>
    </row>
    <row r="491" spans="2:9">
      <c r="B491" s="555" t="str">
        <f t="shared" si="39"/>
        <v/>
      </c>
      <c r="C491" s="556" t="str">
        <f t="shared" si="40"/>
        <v/>
      </c>
      <c r="D491" s="557" t="str">
        <f t="shared" si="41"/>
        <v/>
      </c>
      <c r="E491" s="560"/>
      <c r="F491" s="559"/>
      <c r="G491" s="559" t="str">
        <f t="shared" si="42"/>
        <v/>
      </c>
      <c r="H491" s="559" t="str">
        <f t="shared" si="43"/>
        <v/>
      </c>
      <c r="I491" s="559" t="str">
        <f t="shared" si="44"/>
        <v/>
      </c>
    </row>
    <row r="492" spans="2:9">
      <c r="B492" s="555" t="str">
        <f t="shared" si="39"/>
        <v/>
      </c>
      <c r="C492" s="556" t="str">
        <f t="shared" si="40"/>
        <v/>
      </c>
      <c r="D492" s="557" t="str">
        <f t="shared" si="41"/>
        <v/>
      </c>
      <c r="E492" s="560"/>
      <c r="F492" s="559"/>
      <c r="G492" s="559" t="str">
        <f t="shared" si="42"/>
        <v/>
      </c>
      <c r="H492" s="559" t="str">
        <f t="shared" si="43"/>
        <v/>
      </c>
      <c r="I492" s="559" t="str">
        <f t="shared" si="44"/>
        <v/>
      </c>
    </row>
    <row r="493" spans="2:9">
      <c r="B493" s="555" t="str">
        <f t="shared" si="39"/>
        <v/>
      </c>
      <c r="C493" s="556" t="str">
        <f t="shared" si="40"/>
        <v/>
      </c>
      <c r="D493" s="557" t="str">
        <f t="shared" si="41"/>
        <v/>
      </c>
      <c r="E493" s="560"/>
      <c r="F493" s="559"/>
      <c r="G493" s="559" t="str">
        <f t="shared" si="42"/>
        <v/>
      </c>
      <c r="H493" s="559" t="str">
        <f t="shared" si="43"/>
        <v/>
      </c>
      <c r="I493" s="559" t="str">
        <f t="shared" si="44"/>
        <v/>
      </c>
    </row>
    <row r="494" spans="2:9">
      <c r="B494" s="555" t="str">
        <f t="shared" si="39"/>
        <v/>
      </c>
      <c r="C494" s="556" t="str">
        <f t="shared" si="40"/>
        <v/>
      </c>
      <c r="D494" s="557" t="str">
        <f t="shared" si="41"/>
        <v/>
      </c>
      <c r="E494" s="560"/>
      <c r="F494" s="559"/>
      <c r="G494" s="559" t="str">
        <f t="shared" si="42"/>
        <v/>
      </c>
      <c r="H494" s="559" t="str">
        <f t="shared" si="43"/>
        <v/>
      </c>
      <c r="I494" s="559" t="str">
        <f t="shared" si="44"/>
        <v/>
      </c>
    </row>
    <row r="495" spans="2:9">
      <c r="B495" s="555" t="str">
        <f t="shared" si="39"/>
        <v/>
      </c>
      <c r="C495" s="556" t="str">
        <f t="shared" si="40"/>
        <v/>
      </c>
      <c r="D495" s="557" t="str">
        <f t="shared" si="41"/>
        <v/>
      </c>
      <c r="E495" s="560"/>
      <c r="F495" s="559"/>
      <c r="G495" s="559" t="str">
        <f t="shared" si="42"/>
        <v/>
      </c>
      <c r="H495" s="559" t="str">
        <f t="shared" si="43"/>
        <v/>
      </c>
      <c r="I495" s="559" t="str">
        <f t="shared" si="44"/>
        <v/>
      </c>
    </row>
    <row r="496" spans="2:9">
      <c r="B496" s="555" t="str">
        <f t="shared" si="39"/>
        <v/>
      </c>
      <c r="C496" s="556" t="str">
        <f t="shared" si="40"/>
        <v/>
      </c>
      <c r="D496" s="557" t="str">
        <f t="shared" si="41"/>
        <v/>
      </c>
      <c r="E496" s="560"/>
      <c r="F496" s="559"/>
      <c r="G496" s="559" t="str">
        <f t="shared" si="42"/>
        <v/>
      </c>
      <c r="H496" s="559" t="str">
        <f t="shared" si="43"/>
        <v/>
      </c>
      <c r="I496" s="559" t="str">
        <f t="shared" si="44"/>
        <v/>
      </c>
    </row>
    <row r="497" spans="2:9">
      <c r="B497" s="555" t="str">
        <f t="shared" si="39"/>
        <v/>
      </c>
      <c r="C497" s="556" t="str">
        <f t="shared" si="40"/>
        <v/>
      </c>
      <c r="D497" s="557" t="str">
        <f t="shared" si="41"/>
        <v/>
      </c>
      <c r="E497" s="560"/>
      <c r="F497" s="559"/>
      <c r="G497" s="559" t="str">
        <f t="shared" si="42"/>
        <v/>
      </c>
      <c r="H497" s="559" t="str">
        <f t="shared" si="43"/>
        <v/>
      </c>
      <c r="I497" s="559" t="str">
        <f t="shared" si="44"/>
        <v/>
      </c>
    </row>
    <row r="498" spans="2:9">
      <c r="B498" s="555" t="str">
        <f t="shared" si="39"/>
        <v/>
      </c>
      <c r="C498" s="556" t="str">
        <f t="shared" si="40"/>
        <v/>
      </c>
      <c r="D498" s="557" t="str">
        <f t="shared" si="41"/>
        <v/>
      </c>
      <c r="E498" s="560"/>
      <c r="F498" s="559"/>
      <c r="G498" s="559" t="str">
        <f t="shared" si="42"/>
        <v/>
      </c>
      <c r="H498" s="559" t="str">
        <f t="shared" si="43"/>
        <v/>
      </c>
      <c r="I498" s="559" t="str">
        <f t="shared" si="44"/>
        <v/>
      </c>
    </row>
    <row r="499" spans="2:9">
      <c r="B499" s="555" t="str">
        <f t="shared" si="39"/>
        <v/>
      </c>
      <c r="C499" s="556" t="str">
        <f t="shared" si="40"/>
        <v/>
      </c>
      <c r="D499" s="557" t="str">
        <f t="shared" si="41"/>
        <v/>
      </c>
      <c r="E499" s="560"/>
      <c r="F499" s="559"/>
      <c r="G499" s="559" t="str">
        <f t="shared" si="42"/>
        <v/>
      </c>
      <c r="H499" s="559" t="str">
        <f t="shared" si="43"/>
        <v/>
      </c>
      <c r="I499" s="559" t="str">
        <f t="shared" si="44"/>
        <v/>
      </c>
    </row>
    <row r="500" spans="2:9">
      <c r="B500" s="555" t="str">
        <f t="shared" si="39"/>
        <v/>
      </c>
      <c r="C500" s="556" t="str">
        <f t="shared" si="40"/>
        <v/>
      </c>
      <c r="D500" s="557" t="str">
        <f t="shared" si="41"/>
        <v/>
      </c>
      <c r="E500" s="560"/>
      <c r="F500" s="559"/>
      <c r="G500" s="559" t="str">
        <f t="shared" si="42"/>
        <v/>
      </c>
      <c r="H500" s="559" t="str">
        <f t="shared" si="43"/>
        <v/>
      </c>
      <c r="I500" s="559" t="str">
        <f t="shared" si="44"/>
        <v/>
      </c>
    </row>
    <row r="501" spans="2:9">
      <c r="B501" s="555" t="str">
        <f t="shared" si="39"/>
        <v/>
      </c>
      <c r="C501" s="556" t="str">
        <f t="shared" si="40"/>
        <v/>
      </c>
      <c r="D501" s="557" t="str">
        <f t="shared" si="41"/>
        <v/>
      </c>
      <c r="E501" s="560"/>
      <c r="F501" s="559"/>
      <c r="G501" s="559" t="str">
        <f t="shared" si="42"/>
        <v/>
      </c>
      <c r="H501" s="559" t="str">
        <f t="shared" si="43"/>
        <v/>
      </c>
      <c r="I501" s="559" t="str">
        <f t="shared" si="44"/>
        <v/>
      </c>
    </row>
    <row r="502" spans="2:9">
      <c r="B502" s="555" t="str">
        <f t="shared" si="39"/>
        <v/>
      </c>
      <c r="C502" s="556" t="str">
        <f t="shared" si="40"/>
        <v/>
      </c>
      <c r="D502" s="557" t="str">
        <f t="shared" si="41"/>
        <v/>
      </c>
      <c r="E502" s="560"/>
      <c r="F502" s="559"/>
      <c r="G502" s="559" t="str">
        <f t="shared" si="42"/>
        <v/>
      </c>
      <c r="H502" s="559" t="str">
        <f t="shared" si="43"/>
        <v/>
      </c>
      <c r="I502" s="559" t="str">
        <f t="shared" si="44"/>
        <v/>
      </c>
    </row>
    <row r="503" spans="2:9">
      <c r="B503" s="555" t="str">
        <f t="shared" si="39"/>
        <v/>
      </c>
      <c r="C503" s="556" t="str">
        <f t="shared" si="40"/>
        <v/>
      </c>
      <c r="D503" s="557" t="str">
        <f t="shared" si="41"/>
        <v/>
      </c>
      <c r="E503" s="560"/>
      <c r="F503" s="559"/>
      <c r="G503" s="559" t="str">
        <f t="shared" si="42"/>
        <v/>
      </c>
      <c r="H503" s="559" t="str">
        <f t="shared" si="43"/>
        <v/>
      </c>
      <c r="I503" s="559" t="str">
        <f t="shared" si="44"/>
        <v/>
      </c>
    </row>
    <row r="504" spans="2:9">
      <c r="B504" s="555" t="str">
        <f t="shared" si="39"/>
        <v/>
      </c>
      <c r="C504" s="556" t="str">
        <f t="shared" si="40"/>
        <v/>
      </c>
      <c r="D504" s="557" t="str">
        <f t="shared" si="41"/>
        <v/>
      </c>
      <c r="E504" s="560"/>
      <c r="F504" s="559"/>
      <c r="G504" s="559" t="str">
        <f t="shared" si="42"/>
        <v/>
      </c>
      <c r="H504" s="559" t="str">
        <f t="shared" si="43"/>
        <v/>
      </c>
      <c r="I504" s="559" t="str">
        <f t="shared" si="44"/>
        <v/>
      </c>
    </row>
    <row r="505" spans="2:9">
      <c r="B505" s="555" t="str">
        <f t="shared" si="39"/>
        <v/>
      </c>
      <c r="C505" s="556" t="str">
        <f t="shared" si="40"/>
        <v/>
      </c>
      <c r="D505" s="557" t="str">
        <f t="shared" si="41"/>
        <v/>
      </c>
      <c r="E505" s="560"/>
      <c r="F505" s="559"/>
      <c r="G505" s="559" t="str">
        <f t="shared" si="42"/>
        <v/>
      </c>
      <c r="H505" s="559" t="str">
        <f t="shared" si="43"/>
        <v/>
      </c>
      <c r="I505" s="559" t="str">
        <f t="shared" si="44"/>
        <v/>
      </c>
    </row>
    <row r="506" spans="2:9">
      <c r="B506" s="555" t="str">
        <f t="shared" si="39"/>
        <v/>
      </c>
      <c r="C506" s="556" t="str">
        <f t="shared" si="40"/>
        <v/>
      </c>
      <c r="D506" s="557" t="str">
        <f t="shared" si="41"/>
        <v/>
      </c>
      <c r="E506" s="560"/>
      <c r="F506" s="559"/>
      <c r="G506" s="559" t="str">
        <f t="shared" si="42"/>
        <v/>
      </c>
      <c r="H506" s="559" t="str">
        <f t="shared" si="43"/>
        <v/>
      </c>
      <c r="I506" s="559" t="str">
        <f t="shared" si="44"/>
        <v/>
      </c>
    </row>
    <row r="507" spans="2:9">
      <c r="B507" s="555" t="str">
        <f t="shared" si="39"/>
        <v/>
      </c>
      <c r="C507" s="556" t="str">
        <f t="shared" si="40"/>
        <v/>
      </c>
      <c r="D507" s="557" t="str">
        <f t="shared" si="41"/>
        <v/>
      </c>
      <c r="E507" s="560"/>
      <c r="F507" s="559"/>
      <c r="G507" s="559" t="str">
        <f t="shared" si="42"/>
        <v/>
      </c>
      <c r="H507" s="559" t="str">
        <f t="shared" si="43"/>
        <v/>
      </c>
      <c r="I507" s="559" t="str">
        <f t="shared" si="44"/>
        <v/>
      </c>
    </row>
    <row r="508" spans="2:9">
      <c r="B508" s="555" t="str">
        <f t="shared" si="39"/>
        <v/>
      </c>
      <c r="C508" s="556" t="str">
        <f t="shared" si="40"/>
        <v/>
      </c>
      <c r="D508" s="557" t="str">
        <f t="shared" si="41"/>
        <v/>
      </c>
      <c r="E508" s="560"/>
      <c r="F508" s="559"/>
      <c r="G508" s="559" t="str">
        <f t="shared" si="42"/>
        <v/>
      </c>
      <c r="H508" s="559" t="str">
        <f t="shared" si="43"/>
        <v/>
      </c>
      <c r="I508" s="559" t="str">
        <f t="shared" si="44"/>
        <v/>
      </c>
    </row>
    <row r="509" spans="2:9">
      <c r="B509" s="555" t="str">
        <f t="shared" ref="B509:B572" si="45">IF(I508="","",IF(roundOpt,IF(OR(B508&gt;=nper,ROUND(I508,2)&lt;=0),"",B508+1),IF(OR(B508&gt;=nper,I508&lt;=0),"",B508+1)))</f>
        <v/>
      </c>
      <c r="C509" s="556" t="str">
        <f t="shared" ref="C509:C572" si="46">IF(B509="","",IF(OR(periods_per_year=26,periods_per_year=52),IF(periods_per_year=26,IF(B509=1,fpdate,C508+14),IF(periods_per_year=52,IF(B509=1,fpdate,C508+7),"n/a")),IF(periods_per_year=24,DATE(YEAR(fpdate),MONTH(fpdate)+(B509-1)/2+IF(AND(DAY(fpdate)&gt;=15,MOD(B509,2)=0),1,0),IF(MOD(B509,2)=0,IF(DAY(fpdate)&gt;=15,DAY(fpdate)-14,DAY(fpdate)+14),DAY(fpdate))),IF(DAY(DATE(YEAR(fpdate),MONTH(fpdate)+(B509-1)*months_per_period,DAY(fpdate)))&lt;&gt;DAY(fpdate),DATE(YEAR(fpdate),MONTH(fpdate)+(B509-1)*months_per_period+1,0),DATE(YEAR(fpdate),MONTH(fpdate)+(B509-1)*months_per_period,DAY(fpdate))))))</f>
        <v/>
      </c>
      <c r="D509" s="557" t="str">
        <f t="shared" ref="D509:D572" si="47">IF(B509="","",IF(roundOpt,IF(OR(B509=nper,payment&gt;ROUND((1+rate)*I508,2)),ROUND((1+rate)*I508,2),payment),IF(OR(B509=nper,payment&gt;(1+rate)*I508),(1+rate)*I508,payment)))</f>
        <v/>
      </c>
      <c r="E509" s="560"/>
      <c r="F509" s="559"/>
      <c r="G509" s="559" t="str">
        <f t="shared" ref="G509:G572" si="48">IF(B509="","",IF(AND(B509=1,pmtType=1),0,IF(roundOpt,ROUND(rate*I508,2),rate*I508)))</f>
        <v/>
      </c>
      <c r="H509" s="559" t="str">
        <f t="shared" ref="H509:H572" si="49">IF(B509="","",D509-G509+E509)</f>
        <v/>
      </c>
      <c r="I509" s="559" t="str">
        <f t="shared" ref="I509:I572" si="50">IF(B509="","",I508-H509)</f>
        <v/>
      </c>
    </row>
    <row r="510" spans="2:9">
      <c r="B510" s="555" t="str">
        <f t="shared" si="45"/>
        <v/>
      </c>
      <c r="C510" s="556" t="str">
        <f t="shared" si="46"/>
        <v/>
      </c>
      <c r="D510" s="557" t="str">
        <f t="shared" si="47"/>
        <v/>
      </c>
      <c r="E510" s="560"/>
      <c r="F510" s="559"/>
      <c r="G510" s="559" t="str">
        <f t="shared" si="48"/>
        <v/>
      </c>
      <c r="H510" s="559" t="str">
        <f t="shared" si="49"/>
        <v/>
      </c>
      <c r="I510" s="559" t="str">
        <f t="shared" si="50"/>
        <v/>
      </c>
    </row>
    <row r="511" spans="2:9">
      <c r="B511" s="555" t="str">
        <f t="shared" si="45"/>
        <v/>
      </c>
      <c r="C511" s="556" t="str">
        <f t="shared" si="46"/>
        <v/>
      </c>
      <c r="D511" s="557" t="str">
        <f t="shared" si="47"/>
        <v/>
      </c>
      <c r="E511" s="560"/>
      <c r="F511" s="559"/>
      <c r="G511" s="559" t="str">
        <f t="shared" si="48"/>
        <v/>
      </c>
      <c r="H511" s="559" t="str">
        <f t="shared" si="49"/>
        <v/>
      </c>
      <c r="I511" s="559" t="str">
        <f t="shared" si="50"/>
        <v/>
      </c>
    </row>
    <row r="512" spans="2:9">
      <c r="B512" s="555" t="str">
        <f t="shared" si="45"/>
        <v/>
      </c>
      <c r="C512" s="556" t="str">
        <f t="shared" si="46"/>
        <v/>
      </c>
      <c r="D512" s="557" t="str">
        <f t="shared" si="47"/>
        <v/>
      </c>
      <c r="E512" s="560"/>
      <c r="F512" s="559"/>
      <c r="G512" s="559" t="str">
        <f t="shared" si="48"/>
        <v/>
      </c>
      <c r="H512" s="559" t="str">
        <f t="shared" si="49"/>
        <v/>
      </c>
      <c r="I512" s="559" t="str">
        <f t="shared" si="50"/>
        <v/>
      </c>
    </row>
    <row r="513" spans="2:9">
      <c r="B513" s="555" t="str">
        <f t="shared" si="45"/>
        <v/>
      </c>
      <c r="C513" s="556" t="str">
        <f t="shared" si="46"/>
        <v/>
      </c>
      <c r="D513" s="557" t="str">
        <f t="shared" si="47"/>
        <v/>
      </c>
      <c r="E513" s="560"/>
      <c r="F513" s="559"/>
      <c r="G513" s="559" t="str">
        <f t="shared" si="48"/>
        <v/>
      </c>
      <c r="H513" s="559" t="str">
        <f t="shared" si="49"/>
        <v/>
      </c>
      <c r="I513" s="559" t="str">
        <f t="shared" si="50"/>
        <v/>
      </c>
    </row>
    <row r="514" spans="2:9">
      <c r="B514" s="555" t="str">
        <f t="shared" si="45"/>
        <v/>
      </c>
      <c r="C514" s="556" t="str">
        <f t="shared" si="46"/>
        <v/>
      </c>
      <c r="D514" s="557" t="str">
        <f t="shared" si="47"/>
        <v/>
      </c>
      <c r="E514" s="560"/>
      <c r="F514" s="559"/>
      <c r="G514" s="559" t="str">
        <f t="shared" si="48"/>
        <v/>
      </c>
      <c r="H514" s="559" t="str">
        <f t="shared" si="49"/>
        <v/>
      </c>
      <c r="I514" s="559" t="str">
        <f t="shared" si="50"/>
        <v/>
      </c>
    </row>
    <row r="515" spans="2:9">
      <c r="B515" s="555" t="str">
        <f t="shared" si="45"/>
        <v/>
      </c>
      <c r="C515" s="556" t="str">
        <f t="shared" si="46"/>
        <v/>
      </c>
      <c r="D515" s="557" t="str">
        <f t="shared" si="47"/>
        <v/>
      </c>
      <c r="E515" s="560"/>
      <c r="F515" s="559"/>
      <c r="G515" s="559" t="str">
        <f t="shared" si="48"/>
        <v/>
      </c>
      <c r="H515" s="559" t="str">
        <f t="shared" si="49"/>
        <v/>
      </c>
      <c r="I515" s="559" t="str">
        <f t="shared" si="50"/>
        <v/>
      </c>
    </row>
    <row r="516" spans="2:9">
      <c r="B516" s="555" t="str">
        <f t="shared" si="45"/>
        <v/>
      </c>
      <c r="C516" s="556" t="str">
        <f t="shared" si="46"/>
        <v/>
      </c>
      <c r="D516" s="557" t="str">
        <f t="shared" si="47"/>
        <v/>
      </c>
      <c r="E516" s="560"/>
      <c r="F516" s="559"/>
      <c r="G516" s="559" t="str">
        <f t="shared" si="48"/>
        <v/>
      </c>
      <c r="H516" s="559" t="str">
        <f t="shared" si="49"/>
        <v/>
      </c>
      <c r="I516" s="559" t="str">
        <f t="shared" si="50"/>
        <v/>
      </c>
    </row>
    <row r="517" spans="2:9">
      <c r="B517" s="555" t="str">
        <f t="shared" si="45"/>
        <v/>
      </c>
      <c r="C517" s="556" t="str">
        <f t="shared" si="46"/>
        <v/>
      </c>
      <c r="D517" s="557" t="str">
        <f t="shared" si="47"/>
        <v/>
      </c>
      <c r="E517" s="560"/>
      <c r="F517" s="559"/>
      <c r="G517" s="559" t="str">
        <f t="shared" si="48"/>
        <v/>
      </c>
      <c r="H517" s="559" t="str">
        <f t="shared" si="49"/>
        <v/>
      </c>
      <c r="I517" s="559" t="str">
        <f t="shared" si="50"/>
        <v/>
      </c>
    </row>
    <row r="518" spans="2:9">
      <c r="B518" s="555" t="str">
        <f t="shared" si="45"/>
        <v/>
      </c>
      <c r="C518" s="556" t="str">
        <f t="shared" si="46"/>
        <v/>
      </c>
      <c r="D518" s="557" t="str">
        <f t="shared" si="47"/>
        <v/>
      </c>
      <c r="E518" s="560"/>
      <c r="F518" s="559"/>
      <c r="G518" s="559" t="str">
        <f t="shared" si="48"/>
        <v/>
      </c>
      <c r="H518" s="559" t="str">
        <f t="shared" si="49"/>
        <v/>
      </c>
      <c r="I518" s="559" t="str">
        <f t="shared" si="50"/>
        <v/>
      </c>
    </row>
    <row r="519" spans="2:9">
      <c r="B519" s="555" t="str">
        <f t="shared" si="45"/>
        <v/>
      </c>
      <c r="C519" s="556" t="str">
        <f t="shared" si="46"/>
        <v/>
      </c>
      <c r="D519" s="557" t="str">
        <f t="shared" si="47"/>
        <v/>
      </c>
      <c r="E519" s="560"/>
      <c r="F519" s="559"/>
      <c r="G519" s="559" t="str">
        <f t="shared" si="48"/>
        <v/>
      </c>
      <c r="H519" s="559" t="str">
        <f t="shared" si="49"/>
        <v/>
      </c>
      <c r="I519" s="559" t="str">
        <f t="shared" si="50"/>
        <v/>
      </c>
    </row>
    <row r="520" spans="2:9">
      <c r="B520" s="555" t="str">
        <f t="shared" si="45"/>
        <v/>
      </c>
      <c r="C520" s="556" t="str">
        <f t="shared" si="46"/>
        <v/>
      </c>
      <c r="D520" s="557" t="str">
        <f t="shared" si="47"/>
        <v/>
      </c>
      <c r="E520" s="560"/>
      <c r="F520" s="559"/>
      <c r="G520" s="559" t="str">
        <f t="shared" si="48"/>
        <v/>
      </c>
      <c r="H520" s="559" t="str">
        <f t="shared" si="49"/>
        <v/>
      </c>
      <c r="I520" s="559" t="str">
        <f t="shared" si="50"/>
        <v/>
      </c>
    </row>
    <row r="521" spans="2:9">
      <c r="B521" s="555" t="str">
        <f t="shared" si="45"/>
        <v/>
      </c>
      <c r="C521" s="556" t="str">
        <f t="shared" si="46"/>
        <v/>
      </c>
      <c r="D521" s="557" t="str">
        <f t="shared" si="47"/>
        <v/>
      </c>
      <c r="E521" s="560"/>
      <c r="F521" s="559"/>
      <c r="G521" s="559" t="str">
        <f t="shared" si="48"/>
        <v/>
      </c>
      <c r="H521" s="559" t="str">
        <f t="shared" si="49"/>
        <v/>
      </c>
      <c r="I521" s="559" t="str">
        <f t="shared" si="50"/>
        <v/>
      </c>
    </row>
    <row r="522" spans="2:9">
      <c r="B522" s="555" t="str">
        <f t="shared" si="45"/>
        <v/>
      </c>
      <c r="C522" s="556" t="str">
        <f t="shared" si="46"/>
        <v/>
      </c>
      <c r="D522" s="557" t="str">
        <f t="shared" si="47"/>
        <v/>
      </c>
      <c r="E522" s="560"/>
      <c r="F522" s="559"/>
      <c r="G522" s="559" t="str">
        <f t="shared" si="48"/>
        <v/>
      </c>
      <c r="H522" s="559" t="str">
        <f t="shared" si="49"/>
        <v/>
      </c>
      <c r="I522" s="559" t="str">
        <f t="shared" si="50"/>
        <v/>
      </c>
    </row>
    <row r="523" spans="2:9">
      <c r="B523" s="555" t="str">
        <f t="shared" si="45"/>
        <v/>
      </c>
      <c r="C523" s="556" t="str">
        <f t="shared" si="46"/>
        <v/>
      </c>
      <c r="D523" s="557" t="str">
        <f t="shared" si="47"/>
        <v/>
      </c>
      <c r="E523" s="560"/>
      <c r="F523" s="559"/>
      <c r="G523" s="559" t="str">
        <f t="shared" si="48"/>
        <v/>
      </c>
      <c r="H523" s="559" t="str">
        <f t="shared" si="49"/>
        <v/>
      </c>
      <c r="I523" s="559" t="str">
        <f t="shared" si="50"/>
        <v/>
      </c>
    </row>
    <row r="524" spans="2:9">
      <c r="B524" s="555" t="str">
        <f t="shared" si="45"/>
        <v/>
      </c>
      <c r="C524" s="556" t="str">
        <f t="shared" si="46"/>
        <v/>
      </c>
      <c r="D524" s="557" t="str">
        <f t="shared" si="47"/>
        <v/>
      </c>
      <c r="E524" s="560"/>
      <c r="F524" s="559"/>
      <c r="G524" s="559" t="str">
        <f t="shared" si="48"/>
        <v/>
      </c>
      <c r="H524" s="559" t="str">
        <f t="shared" si="49"/>
        <v/>
      </c>
      <c r="I524" s="559" t="str">
        <f t="shared" si="50"/>
        <v/>
      </c>
    </row>
    <row r="525" spans="2:9">
      <c r="B525" s="555" t="str">
        <f t="shared" si="45"/>
        <v/>
      </c>
      <c r="C525" s="556" t="str">
        <f t="shared" si="46"/>
        <v/>
      </c>
      <c r="D525" s="557" t="str">
        <f t="shared" si="47"/>
        <v/>
      </c>
      <c r="E525" s="560"/>
      <c r="F525" s="559"/>
      <c r="G525" s="559" t="str">
        <f t="shared" si="48"/>
        <v/>
      </c>
      <c r="H525" s="559" t="str">
        <f t="shared" si="49"/>
        <v/>
      </c>
      <c r="I525" s="559" t="str">
        <f t="shared" si="50"/>
        <v/>
      </c>
    </row>
    <row r="526" spans="2:9">
      <c r="B526" s="555" t="str">
        <f t="shared" si="45"/>
        <v/>
      </c>
      <c r="C526" s="556" t="str">
        <f t="shared" si="46"/>
        <v/>
      </c>
      <c r="D526" s="557" t="str">
        <f t="shared" si="47"/>
        <v/>
      </c>
      <c r="E526" s="560"/>
      <c r="F526" s="559"/>
      <c r="G526" s="559" t="str">
        <f t="shared" si="48"/>
        <v/>
      </c>
      <c r="H526" s="559" t="str">
        <f t="shared" si="49"/>
        <v/>
      </c>
      <c r="I526" s="559" t="str">
        <f t="shared" si="50"/>
        <v/>
      </c>
    </row>
    <row r="527" spans="2:9">
      <c r="B527" s="555" t="str">
        <f t="shared" si="45"/>
        <v/>
      </c>
      <c r="C527" s="556" t="str">
        <f t="shared" si="46"/>
        <v/>
      </c>
      <c r="D527" s="557" t="str">
        <f t="shared" si="47"/>
        <v/>
      </c>
      <c r="E527" s="560"/>
      <c r="F527" s="559"/>
      <c r="G527" s="559" t="str">
        <f t="shared" si="48"/>
        <v/>
      </c>
      <c r="H527" s="559" t="str">
        <f t="shared" si="49"/>
        <v/>
      </c>
      <c r="I527" s="559" t="str">
        <f t="shared" si="50"/>
        <v/>
      </c>
    </row>
    <row r="528" spans="2:9">
      <c r="B528" s="555" t="str">
        <f t="shared" si="45"/>
        <v/>
      </c>
      <c r="C528" s="556" t="str">
        <f t="shared" si="46"/>
        <v/>
      </c>
      <c r="D528" s="557" t="str">
        <f t="shared" si="47"/>
        <v/>
      </c>
      <c r="E528" s="560"/>
      <c r="F528" s="559"/>
      <c r="G528" s="559" t="str">
        <f t="shared" si="48"/>
        <v/>
      </c>
      <c r="H528" s="559" t="str">
        <f t="shared" si="49"/>
        <v/>
      </c>
      <c r="I528" s="559" t="str">
        <f t="shared" si="50"/>
        <v/>
      </c>
    </row>
    <row r="529" spans="2:9">
      <c r="B529" s="555" t="str">
        <f t="shared" si="45"/>
        <v/>
      </c>
      <c r="C529" s="556" t="str">
        <f t="shared" si="46"/>
        <v/>
      </c>
      <c r="D529" s="557" t="str">
        <f t="shared" si="47"/>
        <v/>
      </c>
      <c r="E529" s="560"/>
      <c r="F529" s="559"/>
      <c r="G529" s="559" t="str">
        <f t="shared" si="48"/>
        <v/>
      </c>
      <c r="H529" s="559" t="str">
        <f t="shared" si="49"/>
        <v/>
      </c>
      <c r="I529" s="559" t="str">
        <f t="shared" si="50"/>
        <v/>
      </c>
    </row>
    <row r="530" spans="2:9">
      <c r="B530" s="555" t="str">
        <f t="shared" si="45"/>
        <v/>
      </c>
      <c r="C530" s="556" t="str">
        <f t="shared" si="46"/>
        <v/>
      </c>
      <c r="D530" s="557" t="str">
        <f t="shared" si="47"/>
        <v/>
      </c>
      <c r="E530" s="560"/>
      <c r="F530" s="559"/>
      <c r="G530" s="559" t="str">
        <f t="shared" si="48"/>
        <v/>
      </c>
      <c r="H530" s="559" t="str">
        <f t="shared" si="49"/>
        <v/>
      </c>
      <c r="I530" s="559" t="str">
        <f t="shared" si="50"/>
        <v/>
      </c>
    </row>
    <row r="531" spans="2:9">
      <c r="B531" s="555" t="str">
        <f t="shared" si="45"/>
        <v/>
      </c>
      <c r="C531" s="556" t="str">
        <f t="shared" si="46"/>
        <v/>
      </c>
      <c r="D531" s="557" t="str">
        <f t="shared" si="47"/>
        <v/>
      </c>
      <c r="E531" s="560"/>
      <c r="F531" s="559"/>
      <c r="G531" s="559" t="str">
        <f t="shared" si="48"/>
        <v/>
      </c>
      <c r="H531" s="559" t="str">
        <f t="shared" si="49"/>
        <v/>
      </c>
      <c r="I531" s="559" t="str">
        <f t="shared" si="50"/>
        <v/>
      </c>
    </row>
    <row r="532" spans="2:9">
      <c r="B532" s="555" t="str">
        <f t="shared" si="45"/>
        <v/>
      </c>
      <c r="C532" s="556" t="str">
        <f t="shared" si="46"/>
        <v/>
      </c>
      <c r="D532" s="557" t="str">
        <f t="shared" si="47"/>
        <v/>
      </c>
      <c r="E532" s="560"/>
      <c r="F532" s="559"/>
      <c r="G532" s="559" t="str">
        <f t="shared" si="48"/>
        <v/>
      </c>
      <c r="H532" s="559" t="str">
        <f t="shared" si="49"/>
        <v/>
      </c>
      <c r="I532" s="559" t="str">
        <f t="shared" si="50"/>
        <v/>
      </c>
    </row>
    <row r="533" spans="2:9">
      <c r="B533" s="555" t="str">
        <f t="shared" si="45"/>
        <v/>
      </c>
      <c r="C533" s="556" t="str">
        <f t="shared" si="46"/>
        <v/>
      </c>
      <c r="D533" s="557" t="str">
        <f t="shared" si="47"/>
        <v/>
      </c>
      <c r="E533" s="560"/>
      <c r="F533" s="559"/>
      <c r="G533" s="559" t="str">
        <f t="shared" si="48"/>
        <v/>
      </c>
      <c r="H533" s="559" t="str">
        <f t="shared" si="49"/>
        <v/>
      </c>
      <c r="I533" s="559" t="str">
        <f t="shared" si="50"/>
        <v/>
      </c>
    </row>
    <row r="534" spans="2:9">
      <c r="B534" s="555" t="str">
        <f t="shared" si="45"/>
        <v/>
      </c>
      <c r="C534" s="556" t="str">
        <f t="shared" si="46"/>
        <v/>
      </c>
      <c r="D534" s="557" t="str">
        <f t="shared" si="47"/>
        <v/>
      </c>
      <c r="E534" s="560"/>
      <c r="F534" s="559"/>
      <c r="G534" s="559" t="str">
        <f t="shared" si="48"/>
        <v/>
      </c>
      <c r="H534" s="559" t="str">
        <f t="shared" si="49"/>
        <v/>
      </c>
      <c r="I534" s="559" t="str">
        <f t="shared" si="50"/>
        <v/>
      </c>
    </row>
    <row r="535" spans="2:9">
      <c r="B535" s="555" t="str">
        <f t="shared" si="45"/>
        <v/>
      </c>
      <c r="C535" s="556" t="str">
        <f t="shared" si="46"/>
        <v/>
      </c>
      <c r="D535" s="557" t="str">
        <f t="shared" si="47"/>
        <v/>
      </c>
      <c r="E535" s="560"/>
      <c r="F535" s="559"/>
      <c r="G535" s="559" t="str">
        <f t="shared" si="48"/>
        <v/>
      </c>
      <c r="H535" s="559" t="str">
        <f t="shared" si="49"/>
        <v/>
      </c>
      <c r="I535" s="559" t="str">
        <f t="shared" si="50"/>
        <v/>
      </c>
    </row>
    <row r="536" spans="2:9">
      <c r="B536" s="555" t="str">
        <f t="shared" si="45"/>
        <v/>
      </c>
      <c r="C536" s="556" t="str">
        <f t="shared" si="46"/>
        <v/>
      </c>
      <c r="D536" s="557" t="str">
        <f t="shared" si="47"/>
        <v/>
      </c>
      <c r="E536" s="560"/>
      <c r="F536" s="559"/>
      <c r="G536" s="559" t="str">
        <f t="shared" si="48"/>
        <v/>
      </c>
      <c r="H536" s="559" t="str">
        <f t="shared" si="49"/>
        <v/>
      </c>
      <c r="I536" s="559" t="str">
        <f t="shared" si="50"/>
        <v/>
      </c>
    </row>
    <row r="537" spans="2:9">
      <c r="B537" s="555" t="str">
        <f t="shared" si="45"/>
        <v/>
      </c>
      <c r="C537" s="556" t="str">
        <f t="shared" si="46"/>
        <v/>
      </c>
      <c r="D537" s="557" t="str">
        <f t="shared" si="47"/>
        <v/>
      </c>
      <c r="E537" s="560"/>
      <c r="F537" s="559"/>
      <c r="G537" s="559" t="str">
        <f t="shared" si="48"/>
        <v/>
      </c>
      <c r="H537" s="559" t="str">
        <f t="shared" si="49"/>
        <v/>
      </c>
      <c r="I537" s="559" t="str">
        <f t="shared" si="50"/>
        <v/>
      </c>
    </row>
    <row r="538" spans="2:9">
      <c r="B538" s="555" t="str">
        <f t="shared" si="45"/>
        <v/>
      </c>
      <c r="C538" s="556" t="str">
        <f t="shared" si="46"/>
        <v/>
      </c>
      <c r="D538" s="557" t="str">
        <f t="shared" si="47"/>
        <v/>
      </c>
      <c r="E538" s="560"/>
      <c r="F538" s="559"/>
      <c r="G538" s="559" t="str">
        <f t="shared" si="48"/>
        <v/>
      </c>
      <c r="H538" s="559" t="str">
        <f t="shared" si="49"/>
        <v/>
      </c>
      <c r="I538" s="559" t="str">
        <f t="shared" si="50"/>
        <v/>
      </c>
    </row>
    <row r="539" spans="2:9">
      <c r="B539" s="555" t="str">
        <f t="shared" si="45"/>
        <v/>
      </c>
      <c r="C539" s="556" t="str">
        <f t="shared" si="46"/>
        <v/>
      </c>
      <c r="D539" s="557" t="str">
        <f t="shared" si="47"/>
        <v/>
      </c>
      <c r="E539" s="560"/>
      <c r="F539" s="559"/>
      <c r="G539" s="559" t="str">
        <f t="shared" si="48"/>
        <v/>
      </c>
      <c r="H539" s="559" t="str">
        <f t="shared" si="49"/>
        <v/>
      </c>
      <c r="I539" s="559" t="str">
        <f t="shared" si="50"/>
        <v/>
      </c>
    </row>
    <row r="540" spans="2:9">
      <c r="B540" s="555" t="str">
        <f t="shared" si="45"/>
        <v/>
      </c>
      <c r="C540" s="556" t="str">
        <f t="shared" si="46"/>
        <v/>
      </c>
      <c r="D540" s="557" t="str">
        <f t="shared" si="47"/>
        <v/>
      </c>
      <c r="E540" s="560"/>
      <c r="F540" s="559"/>
      <c r="G540" s="559" t="str">
        <f t="shared" si="48"/>
        <v/>
      </c>
      <c r="H540" s="559" t="str">
        <f t="shared" si="49"/>
        <v/>
      </c>
      <c r="I540" s="559" t="str">
        <f t="shared" si="50"/>
        <v/>
      </c>
    </row>
    <row r="541" spans="2:9">
      <c r="B541" s="555" t="str">
        <f t="shared" si="45"/>
        <v/>
      </c>
      <c r="C541" s="556" t="str">
        <f t="shared" si="46"/>
        <v/>
      </c>
      <c r="D541" s="557" t="str">
        <f t="shared" si="47"/>
        <v/>
      </c>
      <c r="E541" s="560"/>
      <c r="F541" s="559"/>
      <c r="G541" s="559" t="str">
        <f t="shared" si="48"/>
        <v/>
      </c>
      <c r="H541" s="559" t="str">
        <f t="shared" si="49"/>
        <v/>
      </c>
      <c r="I541" s="559" t="str">
        <f t="shared" si="50"/>
        <v/>
      </c>
    </row>
    <row r="542" spans="2:9">
      <c r="B542" s="555" t="str">
        <f t="shared" si="45"/>
        <v/>
      </c>
      <c r="C542" s="556" t="str">
        <f t="shared" si="46"/>
        <v/>
      </c>
      <c r="D542" s="557" t="str">
        <f t="shared" si="47"/>
        <v/>
      </c>
      <c r="E542" s="560"/>
      <c r="F542" s="559"/>
      <c r="G542" s="559" t="str">
        <f t="shared" si="48"/>
        <v/>
      </c>
      <c r="H542" s="559" t="str">
        <f t="shared" si="49"/>
        <v/>
      </c>
      <c r="I542" s="559" t="str">
        <f t="shared" si="50"/>
        <v/>
      </c>
    </row>
    <row r="543" spans="2:9">
      <c r="B543" s="555" t="str">
        <f t="shared" si="45"/>
        <v/>
      </c>
      <c r="C543" s="556" t="str">
        <f t="shared" si="46"/>
        <v/>
      </c>
      <c r="D543" s="557" t="str">
        <f t="shared" si="47"/>
        <v/>
      </c>
      <c r="E543" s="560"/>
      <c r="F543" s="559"/>
      <c r="G543" s="559" t="str">
        <f t="shared" si="48"/>
        <v/>
      </c>
      <c r="H543" s="559" t="str">
        <f t="shared" si="49"/>
        <v/>
      </c>
      <c r="I543" s="559" t="str">
        <f t="shared" si="50"/>
        <v/>
      </c>
    </row>
    <row r="544" spans="2:9">
      <c r="B544" s="555" t="str">
        <f t="shared" si="45"/>
        <v/>
      </c>
      <c r="C544" s="556" t="str">
        <f t="shared" si="46"/>
        <v/>
      </c>
      <c r="D544" s="557" t="str">
        <f t="shared" si="47"/>
        <v/>
      </c>
      <c r="E544" s="560"/>
      <c r="F544" s="559"/>
      <c r="G544" s="559" t="str">
        <f t="shared" si="48"/>
        <v/>
      </c>
      <c r="H544" s="559" t="str">
        <f t="shared" si="49"/>
        <v/>
      </c>
      <c r="I544" s="559" t="str">
        <f t="shared" si="50"/>
        <v/>
      </c>
    </row>
    <row r="545" spans="2:9">
      <c r="B545" s="555" t="str">
        <f t="shared" si="45"/>
        <v/>
      </c>
      <c r="C545" s="556" t="str">
        <f t="shared" si="46"/>
        <v/>
      </c>
      <c r="D545" s="557" t="str">
        <f t="shared" si="47"/>
        <v/>
      </c>
      <c r="E545" s="560"/>
      <c r="F545" s="559"/>
      <c r="G545" s="559" t="str">
        <f t="shared" si="48"/>
        <v/>
      </c>
      <c r="H545" s="559" t="str">
        <f t="shared" si="49"/>
        <v/>
      </c>
      <c r="I545" s="559" t="str">
        <f t="shared" si="50"/>
        <v/>
      </c>
    </row>
    <row r="546" spans="2:9">
      <c r="B546" s="555" t="str">
        <f t="shared" si="45"/>
        <v/>
      </c>
      <c r="C546" s="556" t="str">
        <f t="shared" si="46"/>
        <v/>
      </c>
      <c r="D546" s="557" t="str">
        <f t="shared" si="47"/>
        <v/>
      </c>
      <c r="E546" s="560"/>
      <c r="F546" s="559"/>
      <c r="G546" s="559" t="str">
        <f t="shared" si="48"/>
        <v/>
      </c>
      <c r="H546" s="559" t="str">
        <f t="shared" si="49"/>
        <v/>
      </c>
      <c r="I546" s="559" t="str">
        <f t="shared" si="50"/>
        <v/>
      </c>
    </row>
    <row r="547" spans="2:9">
      <c r="B547" s="555" t="str">
        <f t="shared" si="45"/>
        <v/>
      </c>
      <c r="C547" s="556" t="str">
        <f t="shared" si="46"/>
        <v/>
      </c>
      <c r="D547" s="557" t="str">
        <f t="shared" si="47"/>
        <v/>
      </c>
      <c r="E547" s="560"/>
      <c r="F547" s="559"/>
      <c r="G547" s="559" t="str">
        <f t="shared" si="48"/>
        <v/>
      </c>
      <c r="H547" s="559" t="str">
        <f t="shared" si="49"/>
        <v/>
      </c>
      <c r="I547" s="559" t="str">
        <f t="shared" si="50"/>
        <v/>
      </c>
    </row>
    <row r="548" spans="2:9">
      <c r="B548" s="555" t="str">
        <f t="shared" si="45"/>
        <v/>
      </c>
      <c r="C548" s="556" t="str">
        <f t="shared" si="46"/>
        <v/>
      </c>
      <c r="D548" s="557" t="str">
        <f t="shared" si="47"/>
        <v/>
      </c>
      <c r="E548" s="560"/>
      <c r="F548" s="559"/>
      <c r="G548" s="559" t="str">
        <f t="shared" si="48"/>
        <v/>
      </c>
      <c r="H548" s="559" t="str">
        <f t="shared" si="49"/>
        <v/>
      </c>
      <c r="I548" s="559" t="str">
        <f t="shared" si="50"/>
        <v/>
      </c>
    </row>
    <row r="549" spans="2:9">
      <c r="B549" s="555" t="str">
        <f t="shared" si="45"/>
        <v/>
      </c>
      <c r="C549" s="556" t="str">
        <f t="shared" si="46"/>
        <v/>
      </c>
      <c r="D549" s="557" t="str">
        <f t="shared" si="47"/>
        <v/>
      </c>
      <c r="E549" s="560"/>
      <c r="F549" s="559"/>
      <c r="G549" s="559" t="str">
        <f t="shared" si="48"/>
        <v/>
      </c>
      <c r="H549" s="559" t="str">
        <f t="shared" si="49"/>
        <v/>
      </c>
      <c r="I549" s="559" t="str">
        <f t="shared" si="50"/>
        <v/>
      </c>
    </row>
    <row r="550" spans="2:9">
      <c r="B550" s="555" t="str">
        <f t="shared" si="45"/>
        <v/>
      </c>
      <c r="C550" s="556" t="str">
        <f t="shared" si="46"/>
        <v/>
      </c>
      <c r="D550" s="557" t="str">
        <f t="shared" si="47"/>
        <v/>
      </c>
      <c r="E550" s="560"/>
      <c r="F550" s="559"/>
      <c r="G550" s="559" t="str">
        <f t="shared" si="48"/>
        <v/>
      </c>
      <c r="H550" s="559" t="str">
        <f t="shared" si="49"/>
        <v/>
      </c>
      <c r="I550" s="559" t="str">
        <f t="shared" si="50"/>
        <v/>
      </c>
    </row>
    <row r="551" spans="2:9">
      <c r="B551" s="555" t="str">
        <f t="shared" si="45"/>
        <v/>
      </c>
      <c r="C551" s="556" t="str">
        <f t="shared" si="46"/>
        <v/>
      </c>
      <c r="D551" s="557" t="str">
        <f t="shared" si="47"/>
        <v/>
      </c>
      <c r="E551" s="560"/>
      <c r="F551" s="559"/>
      <c r="G551" s="559" t="str">
        <f t="shared" si="48"/>
        <v/>
      </c>
      <c r="H551" s="559" t="str">
        <f t="shared" si="49"/>
        <v/>
      </c>
      <c r="I551" s="559" t="str">
        <f t="shared" si="50"/>
        <v/>
      </c>
    </row>
    <row r="552" spans="2:9">
      <c r="B552" s="555" t="str">
        <f t="shared" si="45"/>
        <v/>
      </c>
      <c r="C552" s="556" t="str">
        <f t="shared" si="46"/>
        <v/>
      </c>
      <c r="D552" s="557" t="str">
        <f t="shared" si="47"/>
        <v/>
      </c>
      <c r="E552" s="560"/>
      <c r="F552" s="559"/>
      <c r="G552" s="559" t="str">
        <f t="shared" si="48"/>
        <v/>
      </c>
      <c r="H552" s="559" t="str">
        <f t="shared" si="49"/>
        <v/>
      </c>
      <c r="I552" s="559" t="str">
        <f t="shared" si="50"/>
        <v/>
      </c>
    </row>
    <row r="553" spans="2:9">
      <c r="B553" s="555" t="str">
        <f t="shared" si="45"/>
        <v/>
      </c>
      <c r="C553" s="556" t="str">
        <f t="shared" si="46"/>
        <v/>
      </c>
      <c r="D553" s="557" t="str">
        <f t="shared" si="47"/>
        <v/>
      </c>
      <c r="E553" s="560"/>
      <c r="F553" s="559"/>
      <c r="G553" s="559" t="str">
        <f t="shared" si="48"/>
        <v/>
      </c>
      <c r="H553" s="559" t="str">
        <f t="shared" si="49"/>
        <v/>
      </c>
      <c r="I553" s="559" t="str">
        <f t="shared" si="50"/>
        <v/>
      </c>
    </row>
    <row r="554" spans="2:9">
      <c r="B554" s="555" t="str">
        <f t="shared" si="45"/>
        <v/>
      </c>
      <c r="C554" s="556" t="str">
        <f t="shared" si="46"/>
        <v/>
      </c>
      <c r="D554" s="557" t="str">
        <f t="shared" si="47"/>
        <v/>
      </c>
      <c r="E554" s="560"/>
      <c r="F554" s="559"/>
      <c r="G554" s="559" t="str">
        <f t="shared" si="48"/>
        <v/>
      </c>
      <c r="H554" s="559" t="str">
        <f t="shared" si="49"/>
        <v/>
      </c>
      <c r="I554" s="559" t="str">
        <f t="shared" si="50"/>
        <v/>
      </c>
    </row>
    <row r="555" spans="2:9">
      <c r="B555" s="555" t="str">
        <f t="shared" si="45"/>
        <v/>
      </c>
      <c r="C555" s="556" t="str">
        <f t="shared" si="46"/>
        <v/>
      </c>
      <c r="D555" s="557" t="str">
        <f t="shared" si="47"/>
        <v/>
      </c>
      <c r="E555" s="560"/>
      <c r="F555" s="559"/>
      <c r="G555" s="559" t="str">
        <f t="shared" si="48"/>
        <v/>
      </c>
      <c r="H555" s="559" t="str">
        <f t="shared" si="49"/>
        <v/>
      </c>
      <c r="I555" s="559" t="str">
        <f t="shared" si="50"/>
        <v/>
      </c>
    </row>
    <row r="556" spans="2:9">
      <c r="B556" s="555" t="str">
        <f t="shared" si="45"/>
        <v/>
      </c>
      <c r="C556" s="556" t="str">
        <f t="shared" si="46"/>
        <v/>
      </c>
      <c r="D556" s="557" t="str">
        <f t="shared" si="47"/>
        <v/>
      </c>
      <c r="E556" s="560"/>
      <c r="F556" s="559"/>
      <c r="G556" s="559" t="str">
        <f t="shared" si="48"/>
        <v/>
      </c>
      <c r="H556" s="559" t="str">
        <f t="shared" si="49"/>
        <v/>
      </c>
      <c r="I556" s="559" t="str">
        <f t="shared" si="50"/>
        <v/>
      </c>
    </row>
    <row r="557" spans="2:9">
      <c r="B557" s="555" t="str">
        <f t="shared" si="45"/>
        <v/>
      </c>
      <c r="C557" s="556" t="str">
        <f t="shared" si="46"/>
        <v/>
      </c>
      <c r="D557" s="557" t="str">
        <f t="shared" si="47"/>
        <v/>
      </c>
      <c r="E557" s="560"/>
      <c r="F557" s="559"/>
      <c r="G557" s="559" t="str">
        <f t="shared" si="48"/>
        <v/>
      </c>
      <c r="H557" s="559" t="str">
        <f t="shared" si="49"/>
        <v/>
      </c>
      <c r="I557" s="559" t="str">
        <f t="shared" si="50"/>
        <v/>
      </c>
    </row>
    <row r="558" spans="2:9">
      <c r="B558" s="555" t="str">
        <f t="shared" si="45"/>
        <v/>
      </c>
      <c r="C558" s="556" t="str">
        <f t="shared" si="46"/>
        <v/>
      </c>
      <c r="D558" s="557" t="str">
        <f t="shared" si="47"/>
        <v/>
      </c>
      <c r="E558" s="560"/>
      <c r="F558" s="559"/>
      <c r="G558" s="559" t="str">
        <f t="shared" si="48"/>
        <v/>
      </c>
      <c r="H558" s="559" t="str">
        <f t="shared" si="49"/>
        <v/>
      </c>
      <c r="I558" s="559" t="str">
        <f t="shared" si="50"/>
        <v/>
      </c>
    </row>
    <row r="559" spans="2:9">
      <c r="B559" s="555" t="str">
        <f t="shared" si="45"/>
        <v/>
      </c>
      <c r="C559" s="556" t="str">
        <f t="shared" si="46"/>
        <v/>
      </c>
      <c r="D559" s="557" t="str">
        <f t="shared" si="47"/>
        <v/>
      </c>
      <c r="E559" s="560"/>
      <c r="F559" s="559"/>
      <c r="G559" s="559" t="str">
        <f t="shared" si="48"/>
        <v/>
      </c>
      <c r="H559" s="559" t="str">
        <f t="shared" si="49"/>
        <v/>
      </c>
      <c r="I559" s="559" t="str">
        <f t="shared" si="50"/>
        <v/>
      </c>
    </row>
    <row r="560" spans="2:9">
      <c r="B560" s="555" t="str">
        <f t="shared" si="45"/>
        <v/>
      </c>
      <c r="C560" s="556" t="str">
        <f t="shared" si="46"/>
        <v/>
      </c>
      <c r="D560" s="557" t="str">
        <f t="shared" si="47"/>
        <v/>
      </c>
      <c r="E560" s="560"/>
      <c r="F560" s="559"/>
      <c r="G560" s="559" t="str">
        <f t="shared" si="48"/>
        <v/>
      </c>
      <c r="H560" s="559" t="str">
        <f t="shared" si="49"/>
        <v/>
      </c>
      <c r="I560" s="559" t="str">
        <f t="shared" si="50"/>
        <v/>
      </c>
    </row>
    <row r="561" spans="2:9">
      <c r="B561" s="555" t="str">
        <f t="shared" si="45"/>
        <v/>
      </c>
      <c r="C561" s="556" t="str">
        <f t="shared" si="46"/>
        <v/>
      </c>
      <c r="D561" s="557" t="str">
        <f t="shared" si="47"/>
        <v/>
      </c>
      <c r="E561" s="560"/>
      <c r="F561" s="559"/>
      <c r="G561" s="559" t="str">
        <f t="shared" si="48"/>
        <v/>
      </c>
      <c r="H561" s="559" t="str">
        <f t="shared" si="49"/>
        <v/>
      </c>
      <c r="I561" s="559" t="str">
        <f t="shared" si="50"/>
        <v/>
      </c>
    </row>
    <row r="562" spans="2:9">
      <c r="B562" s="555" t="str">
        <f t="shared" si="45"/>
        <v/>
      </c>
      <c r="C562" s="556" t="str">
        <f t="shared" si="46"/>
        <v/>
      </c>
      <c r="D562" s="557" t="str">
        <f t="shared" si="47"/>
        <v/>
      </c>
      <c r="E562" s="560"/>
      <c r="F562" s="559"/>
      <c r="G562" s="559" t="str">
        <f t="shared" si="48"/>
        <v/>
      </c>
      <c r="H562" s="559" t="str">
        <f t="shared" si="49"/>
        <v/>
      </c>
      <c r="I562" s="559" t="str">
        <f t="shared" si="50"/>
        <v/>
      </c>
    </row>
    <row r="563" spans="2:9">
      <c r="B563" s="555" t="str">
        <f t="shared" si="45"/>
        <v/>
      </c>
      <c r="C563" s="556" t="str">
        <f t="shared" si="46"/>
        <v/>
      </c>
      <c r="D563" s="557" t="str">
        <f t="shared" si="47"/>
        <v/>
      </c>
      <c r="E563" s="560"/>
      <c r="F563" s="559"/>
      <c r="G563" s="559" t="str">
        <f t="shared" si="48"/>
        <v/>
      </c>
      <c r="H563" s="559" t="str">
        <f t="shared" si="49"/>
        <v/>
      </c>
      <c r="I563" s="559" t="str">
        <f t="shared" si="50"/>
        <v/>
      </c>
    </row>
    <row r="564" spans="2:9">
      <c r="B564" s="555" t="str">
        <f t="shared" si="45"/>
        <v/>
      </c>
      <c r="C564" s="556" t="str">
        <f t="shared" si="46"/>
        <v/>
      </c>
      <c r="D564" s="557" t="str">
        <f t="shared" si="47"/>
        <v/>
      </c>
      <c r="E564" s="560"/>
      <c r="F564" s="559"/>
      <c r="G564" s="559" t="str">
        <f t="shared" si="48"/>
        <v/>
      </c>
      <c r="H564" s="559" t="str">
        <f t="shared" si="49"/>
        <v/>
      </c>
      <c r="I564" s="559" t="str">
        <f t="shared" si="50"/>
        <v/>
      </c>
    </row>
    <row r="565" spans="2:9">
      <c r="B565" s="555" t="str">
        <f t="shared" si="45"/>
        <v/>
      </c>
      <c r="C565" s="556" t="str">
        <f t="shared" si="46"/>
        <v/>
      </c>
      <c r="D565" s="557" t="str">
        <f t="shared" si="47"/>
        <v/>
      </c>
      <c r="E565" s="560"/>
      <c r="F565" s="559"/>
      <c r="G565" s="559" t="str">
        <f t="shared" si="48"/>
        <v/>
      </c>
      <c r="H565" s="559" t="str">
        <f t="shared" si="49"/>
        <v/>
      </c>
      <c r="I565" s="559" t="str">
        <f t="shared" si="50"/>
        <v/>
      </c>
    </row>
    <row r="566" spans="2:9">
      <c r="B566" s="555" t="str">
        <f t="shared" si="45"/>
        <v/>
      </c>
      <c r="C566" s="556" t="str">
        <f t="shared" si="46"/>
        <v/>
      </c>
      <c r="D566" s="557" t="str">
        <f t="shared" si="47"/>
        <v/>
      </c>
      <c r="E566" s="560"/>
      <c r="F566" s="559"/>
      <c r="G566" s="559" t="str">
        <f t="shared" si="48"/>
        <v/>
      </c>
      <c r="H566" s="559" t="str">
        <f t="shared" si="49"/>
        <v/>
      </c>
      <c r="I566" s="559" t="str">
        <f t="shared" si="50"/>
        <v/>
      </c>
    </row>
    <row r="567" spans="2:9">
      <c r="B567" s="555" t="str">
        <f t="shared" si="45"/>
        <v/>
      </c>
      <c r="C567" s="556" t="str">
        <f t="shared" si="46"/>
        <v/>
      </c>
      <c r="D567" s="557" t="str">
        <f t="shared" si="47"/>
        <v/>
      </c>
      <c r="E567" s="560"/>
      <c r="F567" s="559"/>
      <c r="G567" s="559" t="str">
        <f t="shared" si="48"/>
        <v/>
      </c>
      <c r="H567" s="559" t="str">
        <f t="shared" si="49"/>
        <v/>
      </c>
      <c r="I567" s="559" t="str">
        <f t="shared" si="50"/>
        <v/>
      </c>
    </row>
    <row r="568" spans="2:9">
      <c r="B568" s="555" t="str">
        <f t="shared" si="45"/>
        <v/>
      </c>
      <c r="C568" s="556" t="str">
        <f t="shared" si="46"/>
        <v/>
      </c>
      <c r="D568" s="557" t="str">
        <f t="shared" si="47"/>
        <v/>
      </c>
      <c r="E568" s="560"/>
      <c r="F568" s="559"/>
      <c r="G568" s="559" t="str">
        <f t="shared" si="48"/>
        <v/>
      </c>
      <c r="H568" s="559" t="str">
        <f t="shared" si="49"/>
        <v/>
      </c>
      <c r="I568" s="559" t="str">
        <f t="shared" si="50"/>
        <v/>
      </c>
    </row>
    <row r="569" spans="2:9">
      <c r="B569" s="555" t="str">
        <f t="shared" si="45"/>
        <v/>
      </c>
      <c r="C569" s="556" t="str">
        <f t="shared" si="46"/>
        <v/>
      </c>
      <c r="D569" s="557" t="str">
        <f t="shared" si="47"/>
        <v/>
      </c>
      <c r="E569" s="560"/>
      <c r="F569" s="559"/>
      <c r="G569" s="559" t="str">
        <f t="shared" si="48"/>
        <v/>
      </c>
      <c r="H569" s="559" t="str">
        <f t="shared" si="49"/>
        <v/>
      </c>
      <c r="I569" s="559" t="str">
        <f t="shared" si="50"/>
        <v/>
      </c>
    </row>
    <row r="570" spans="2:9">
      <c r="B570" s="555" t="str">
        <f t="shared" si="45"/>
        <v/>
      </c>
      <c r="C570" s="556" t="str">
        <f t="shared" si="46"/>
        <v/>
      </c>
      <c r="D570" s="557" t="str">
        <f t="shared" si="47"/>
        <v/>
      </c>
      <c r="E570" s="560"/>
      <c r="F570" s="559"/>
      <c r="G570" s="559" t="str">
        <f t="shared" si="48"/>
        <v/>
      </c>
      <c r="H570" s="559" t="str">
        <f t="shared" si="49"/>
        <v/>
      </c>
      <c r="I570" s="559" t="str">
        <f t="shared" si="50"/>
        <v/>
      </c>
    </row>
    <row r="571" spans="2:9">
      <c r="B571" s="555" t="str">
        <f t="shared" si="45"/>
        <v/>
      </c>
      <c r="C571" s="556" t="str">
        <f t="shared" si="46"/>
        <v/>
      </c>
      <c r="D571" s="557" t="str">
        <f t="shared" si="47"/>
        <v/>
      </c>
      <c r="E571" s="560"/>
      <c r="F571" s="559"/>
      <c r="G571" s="559" t="str">
        <f t="shared" si="48"/>
        <v/>
      </c>
      <c r="H571" s="559" t="str">
        <f t="shared" si="49"/>
        <v/>
      </c>
      <c r="I571" s="559" t="str">
        <f t="shared" si="50"/>
        <v/>
      </c>
    </row>
    <row r="572" spans="2:9">
      <c r="B572" s="555" t="str">
        <f t="shared" si="45"/>
        <v/>
      </c>
      <c r="C572" s="556" t="str">
        <f t="shared" si="46"/>
        <v/>
      </c>
      <c r="D572" s="557" t="str">
        <f t="shared" si="47"/>
        <v/>
      </c>
      <c r="E572" s="560"/>
      <c r="F572" s="559"/>
      <c r="G572" s="559" t="str">
        <f t="shared" si="48"/>
        <v/>
      </c>
      <c r="H572" s="559" t="str">
        <f t="shared" si="49"/>
        <v/>
      </c>
      <c r="I572" s="559" t="str">
        <f t="shared" si="50"/>
        <v/>
      </c>
    </row>
    <row r="573" spans="2:9">
      <c r="B573" s="555" t="str">
        <f t="shared" ref="B573:B636" si="51">IF(I572="","",IF(roundOpt,IF(OR(B572&gt;=nper,ROUND(I572,2)&lt;=0),"",B572+1),IF(OR(B572&gt;=nper,I572&lt;=0),"",B572+1)))</f>
        <v/>
      </c>
      <c r="C573" s="556" t="str">
        <f t="shared" ref="C573:C636" si="52">IF(B573="","",IF(OR(periods_per_year=26,periods_per_year=52),IF(periods_per_year=26,IF(B573=1,fpdate,C572+14),IF(periods_per_year=52,IF(B573=1,fpdate,C572+7),"n/a")),IF(periods_per_year=24,DATE(YEAR(fpdate),MONTH(fpdate)+(B573-1)/2+IF(AND(DAY(fpdate)&gt;=15,MOD(B573,2)=0),1,0),IF(MOD(B573,2)=0,IF(DAY(fpdate)&gt;=15,DAY(fpdate)-14,DAY(fpdate)+14),DAY(fpdate))),IF(DAY(DATE(YEAR(fpdate),MONTH(fpdate)+(B573-1)*months_per_period,DAY(fpdate)))&lt;&gt;DAY(fpdate),DATE(YEAR(fpdate),MONTH(fpdate)+(B573-1)*months_per_period+1,0),DATE(YEAR(fpdate),MONTH(fpdate)+(B573-1)*months_per_period,DAY(fpdate))))))</f>
        <v/>
      </c>
      <c r="D573" s="557" t="str">
        <f t="shared" ref="D573:D636" si="53">IF(B573="","",IF(roundOpt,IF(OR(B573=nper,payment&gt;ROUND((1+rate)*I572,2)),ROUND((1+rate)*I572,2),payment),IF(OR(B573=nper,payment&gt;(1+rate)*I572),(1+rate)*I572,payment)))</f>
        <v/>
      </c>
      <c r="E573" s="560"/>
      <c r="F573" s="559"/>
      <c r="G573" s="559" t="str">
        <f t="shared" ref="G573:G636" si="54">IF(B573="","",IF(AND(B573=1,pmtType=1),0,IF(roundOpt,ROUND(rate*I572,2),rate*I572)))</f>
        <v/>
      </c>
      <c r="H573" s="559" t="str">
        <f t="shared" ref="H573:H636" si="55">IF(B573="","",D573-G573+E573)</f>
        <v/>
      </c>
      <c r="I573" s="559" t="str">
        <f t="shared" ref="I573:I636" si="56">IF(B573="","",I572-H573)</f>
        <v/>
      </c>
    </row>
    <row r="574" spans="2:9">
      <c r="B574" s="555" t="str">
        <f t="shared" si="51"/>
        <v/>
      </c>
      <c r="C574" s="556" t="str">
        <f t="shared" si="52"/>
        <v/>
      </c>
      <c r="D574" s="557" t="str">
        <f t="shared" si="53"/>
        <v/>
      </c>
      <c r="E574" s="560"/>
      <c r="F574" s="559"/>
      <c r="G574" s="559" t="str">
        <f t="shared" si="54"/>
        <v/>
      </c>
      <c r="H574" s="559" t="str">
        <f t="shared" si="55"/>
        <v/>
      </c>
      <c r="I574" s="559" t="str">
        <f t="shared" si="56"/>
        <v/>
      </c>
    </row>
    <row r="575" spans="2:9">
      <c r="B575" s="555" t="str">
        <f t="shared" si="51"/>
        <v/>
      </c>
      <c r="C575" s="556" t="str">
        <f t="shared" si="52"/>
        <v/>
      </c>
      <c r="D575" s="557" t="str">
        <f t="shared" si="53"/>
        <v/>
      </c>
      <c r="E575" s="560"/>
      <c r="F575" s="559"/>
      <c r="G575" s="559" t="str">
        <f t="shared" si="54"/>
        <v/>
      </c>
      <c r="H575" s="559" t="str">
        <f t="shared" si="55"/>
        <v/>
      </c>
      <c r="I575" s="559" t="str">
        <f t="shared" si="56"/>
        <v/>
      </c>
    </row>
    <row r="576" spans="2:9">
      <c r="B576" s="555" t="str">
        <f t="shared" si="51"/>
        <v/>
      </c>
      <c r="C576" s="556" t="str">
        <f t="shared" si="52"/>
        <v/>
      </c>
      <c r="D576" s="557" t="str">
        <f t="shared" si="53"/>
        <v/>
      </c>
      <c r="E576" s="560"/>
      <c r="F576" s="559"/>
      <c r="G576" s="559" t="str">
        <f t="shared" si="54"/>
        <v/>
      </c>
      <c r="H576" s="559" t="str">
        <f t="shared" si="55"/>
        <v/>
      </c>
      <c r="I576" s="559" t="str">
        <f t="shared" si="56"/>
        <v/>
      </c>
    </row>
    <row r="577" spans="2:9">
      <c r="B577" s="555" t="str">
        <f t="shared" si="51"/>
        <v/>
      </c>
      <c r="C577" s="556" t="str">
        <f t="shared" si="52"/>
        <v/>
      </c>
      <c r="D577" s="557" t="str">
        <f t="shared" si="53"/>
        <v/>
      </c>
      <c r="E577" s="560"/>
      <c r="F577" s="559"/>
      <c r="G577" s="559" t="str">
        <f t="shared" si="54"/>
        <v/>
      </c>
      <c r="H577" s="559" t="str">
        <f t="shared" si="55"/>
        <v/>
      </c>
      <c r="I577" s="559" t="str">
        <f t="shared" si="56"/>
        <v/>
      </c>
    </row>
    <row r="578" spans="2:9">
      <c r="B578" s="555" t="str">
        <f t="shared" si="51"/>
        <v/>
      </c>
      <c r="C578" s="556" t="str">
        <f t="shared" si="52"/>
        <v/>
      </c>
      <c r="D578" s="557" t="str">
        <f t="shared" si="53"/>
        <v/>
      </c>
      <c r="E578" s="560"/>
      <c r="F578" s="559"/>
      <c r="G578" s="559" t="str">
        <f t="shared" si="54"/>
        <v/>
      </c>
      <c r="H578" s="559" t="str">
        <f t="shared" si="55"/>
        <v/>
      </c>
      <c r="I578" s="559" t="str">
        <f t="shared" si="56"/>
        <v/>
      </c>
    </row>
    <row r="579" spans="2:9">
      <c r="B579" s="555" t="str">
        <f t="shared" si="51"/>
        <v/>
      </c>
      <c r="C579" s="556" t="str">
        <f t="shared" si="52"/>
        <v/>
      </c>
      <c r="D579" s="557" t="str">
        <f t="shared" si="53"/>
        <v/>
      </c>
      <c r="E579" s="560"/>
      <c r="F579" s="559"/>
      <c r="G579" s="559" t="str">
        <f t="shared" si="54"/>
        <v/>
      </c>
      <c r="H579" s="559" t="str">
        <f t="shared" si="55"/>
        <v/>
      </c>
      <c r="I579" s="559" t="str">
        <f t="shared" si="56"/>
        <v/>
      </c>
    </row>
    <row r="580" spans="2:9">
      <c r="B580" s="555" t="str">
        <f t="shared" si="51"/>
        <v/>
      </c>
      <c r="C580" s="556" t="str">
        <f t="shared" si="52"/>
        <v/>
      </c>
      <c r="D580" s="557" t="str">
        <f t="shared" si="53"/>
        <v/>
      </c>
      <c r="E580" s="560"/>
      <c r="F580" s="559"/>
      <c r="G580" s="559" t="str">
        <f t="shared" si="54"/>
        <v/>
      </c>
      <c r="H580" s="559" t="str">
        <f t="shared" si="55"/>
        <v/>
      </c>
      <c r="I580" s="559" t="str">
        <f t="shared" si="56"/>
        <v/>
      </c>
    </row>
    <row r="581" spans="2:9">
      <c r="B581" s="555" t="str">
        <f t="shared" si="51"/>
        <v/>
      </c>
      <c r="C581" s="556" t="str">
        <f t="shared" si="52"/>
        <v/>
      </c>
      <c r="D581" s="557" t="str">
        <f t="shared" si="53"/>
        <v/>
      </c>
      <c r="E581" s="560"/>
      <c r="F581" s="559"/>
      <c r="G581" s="559" t="str">
        <f t="shared" si="54"/>
        <v/>
      </c>
      <c r="H581" s="559" t="str">
        <f t="shared" si="55"/>
        <v/>
      </c>
      <c r="I581" s="559" t="str">
        <f t="shared" si="56"/>
        <v/>
      </c>
    </row>
    <row r="582" spans="2:9">
      <c r="B582" s="555" t="str">
        <f t="shared" si="51"/>
        <v/>
      </c>
      <c r="C582" s="556" t="str">
        <f t="shared" si="52"/>
        <v/>
      </c>
      <c r="D582" s="557" t="str">
        <f t="shared" si="53"/>
        <v/>
      </c>
      <c r="E582" s="560"/>
      <c r="F582" s="559"/>
      <c r="G582" s="559" t="str">
        <f t="shared" si="54"/>
        <v/>
      </c>
      <c r="H582" s="559" t="str">
        <f t="shared" si="55"/>
        <v/>
      </c>
      <c r="I582" s="559" t="str">
        <f t="shared" si="56"/>
        <v/>
      </c>
    </row>
    <row r="583" spans="2:9">
      <c r="B583" s="555" t="str">
        <f t="shared" si="51"/>
        <v/>
      </c>
      <c r="C583" s="556" t="str">
        <f t="shared" si="52"/>
        <v/>
      </c>
      <c r="D583" s="557" t="str">
        <f t="shared" si="53"/>
        <v/>
      </c>
      <c r="E583" s="560"/>
      <c r="F583" s="559"/>
      <c r="G583" s="559" t="str">
        <f t="shared" si="54"/>
        <v/>
      </c>
      <c r="H583" s="559" t="str">
        <f t="shared" si="55"/>
        <v/>
      </c>
      <c r="I583" s="559" t="str">
        <f t="shared" si="56"/>
        <v/>
      </c>
    </row>
    <row r="584" spans="2:9">
      <c r="B584" s="555" t="str">
        <f t="shared" si="51"/>
        <v/>
      </c>
      <c r="C584" s="556" t="str">
        <f t="shared" si="52"/>
        <v/>
      </c>
      <c r="D584" s="557" t="str">
        <f t="shared" si="53"/>
        <v/>
      </c>
      <c r="E584" s="560"/>
      <c r="F584" s="559"/>
      <c r="G584" s="559" t="str">
        <f t="shared" si="54"/>
        <v/>
      </c>
      <c r="H584" s="559" t="str">
        <f t="shared" si="55"/>
        <v/>
      </c>
      <c r="I584" s="559" t="str">
        <f t="shared" si="56"/>
        <v/>
      </c>
    </row>
    <row r="585" spans="2:9">
      <c r="B585" s="555" t="str">
        <f t="shared" si="51"/>
        <v/>
      </c>
      <c r="C585" s="556" t="str">
        <f t="shared" si="52"/>
        <v/>
      </c>
      <c r="D585" s="557" t="str">
        <f t="shared" si="53"/>
        <v/>
      </c>
      <c r="E585" s="560"/>
      <c r="F585" s="559"/>
      <c r="G585" s="559" t="str">
        <f t="shared" si="54"/>
        <v/>
      </c>
      <c r="H585" s="559" t="str">
        <f t="shared" si="55"/>
        <v/>
      </c>
      <c r="I585" s="559" t="str">
        <f t="shared" si="56"/>
        <v/>
      </c>
    </row>
    <row r="586" spans="2:9">
      <c r="B586" s="555" t="str">
        <f t="shared" si="51"/>
        <v/>
      </c>
      <c r="C586" s="556" t="str">
        <f t="shared" si="52"/>
        <v/>
      </c>
      <c r="D586" s="557" t="str">
        <f t="shared" si="53"/>
        <v/>
      </c>
      <c r="E586" s="560"/>
      <c r="F586" s="559"/>
      <c r="G586" s="559" t="str">
        <f t="shared" si="54"/>
        <v/>
      </c>
      <c r="H586" s="559" t="str">
        <f t="shared" si="55"/>
        <v/>
      </c>
      <c r="I586" s="559" t="str">
        <f t="shared" si="56"/>
        <v/>
      </c>
    </row>
    <row r="587" spans="2:9">
      <c r="B587" s="555" t="str">
        <f t="shared" si="51"/>
        <v/>
      </c>
      <c r="C587" s="556" t="str">
        <f t="shared" si="52"/>
        <v/>
      </c>
      <c r="D587" s="557" t="str">
        <f t="shared" si="53"/>
        <v/>
      </c>
      <c r="E587" s="560"/>
      <c r="F587" s="559"/>
      <c r="G587" s="559" t="str">
        <f t="shared" si="54"/>
        <v/>
      </c>
      <c r="H587" s="559" t="str">
        <f t="shared" si="55"/>
        <v/>
      </c>
      <c r="I587" s="559" t="str">
        <f t="shared" si="56"/>
        <v/>
      </c>
    </row>
    <row r="588" spans="2:9">
      <c r="B588" s="555" t="str">
        <f t="shared" si="51"/>
        <v/>
      </c>
      <c r="C588" s="556" t="str">
        <f t="shared" si="52"/>
        <v/>
      </c>
      <c r="D588" s="557" t="str">
        <f t="shared" si="53"/>
        <v/>
      </c>
      <c r="E588" s="560"/>
      <c r="F588" s="559"/>
      <c r="G588" s="559" t="str">
        <f t="shared" si="54"/>
        <v/>
      </c>
      <c r="H588" s="559" t="str">
        <f t="shared" si="55"/>
        <v/>
      </c>
      <c r="I588" s="559" t="str">
        <f t="shared" si="56"/>
        <v/>
      </c>
    </row>
    <row r="589" spans="2:9">
      <c r="B589" s="555" t="str">
        <f t="shared" si="51"/>
        <v/>
      </c>
      <c r="C589" s="556" t="str">
        <f t="shared" si="52"/>
        <v/>
      </c>
      <c r="D589" s="557" t="str">
        <f t="shared" si="53"/>
        <v/>
      </c>
      <c r="E589" s="560"/>
      <c r="F589" s="559"/>
      <c r="G589" s="559" t="str">
        <f t="shared" si="54"/>
        <v/>
      </c>
      <c r="H589" s="559" t="str">
        <f t="shared" si="55"/>
        <v/>
      </c>
      <c r="I589" s="559" t="str">
        <f t="shared" si="56"/>
        <v/>
      </c>
    </row>
    <row r="590" spans="2:9">
      <c r="B590" s="555" t="str">
        <f t="shared" si="51"/>
        <v/>
      </c>
      <c r="C590" s="556" t="str">
        <f t="shared" si="52"/>
        <v/>
      </c>
      <c r="D590" s="557" t="str">
        <f t="shared" si="53"/>
        <v/>
      </c>
      <c r="E590" s="560"/>
      <c r="F590" s="559"/>
      <c r="G590" s="559" t="str">
        <f t="shared" si="54"/>
        <v/>
      </c>
      <c r="H590" s="559" t="str">
        <f t="shared" si="55"/>
        <v/>
      </c>
      <c r="I590" s="559" t="str">
        <f t="shared" si="56"/>
        <v/>
      </c>
    </row>
    <row r="591" spans="2:9">
      <c r="B591" s="555" t="str">
        <f t="shared" si="51"/>
        <v/>
      </c>
      <c r="C591" s="556" t="str">
        <f t="shared" si="52"/>
        <v/>
      </c>
      <c r="D591" s="557" t="str">
        <f t="shared" si="53"/>
        <v/>
      </c>
      <c r="E591" s="560"/>
      <c r="F591" s="559"/>
      <c r="G591" s="559" t="str">
        <f t="shared" si="54"/>
        <v/>
      </c>
      <c r="H591" s="559" t="str">
        <f t="shared" si="55"/>
        <v/>
      </c>
      <c r="I591" s="559" t="str">
        <f t="shared" si="56"/>
        <v/>
      </c>
    </row>
    <row r="592" spans="2:9">
      <c r="B592" s="555" t="str">
        <f t="shared" si="51"/>
        <v/>
      </c>
      <c r="C592" s="556" t="str">
        <f t="shared" si="52"/>
        <v/>
      </c>
      <c r="D592" s="557" t="str">
        <f t="shared" si="53"/>
        <v/>
      </c>
      <c r="E592" s="560"/>
      <c r="F592" s="559"/>
      <c r="G592" s="559" t="str">
        <f t="shared" si="54"/>
        <v/>
      </c>
      <c r="H592" s="559" t="str">
        <f t="shared" si="55"/>
        <v/>
      </c>
      <c r="I592" s="559" t="str">
        <f t="shared" si="56"/>
        <v/>
      </c>
    </row>
    <row r="593" spans="2:9">
      <c r="B593" s="555" t="str">
        <f t="shared" si="51"/>
        <v/>
      </c>
      <c r="C593" s="556" t="str">
        <f t="shared" si="52"/>
        <v/>
      </c>
      <c r="D593" s="557" t="str">
        <f t="shared" si="53"/>
        <v/>
      </c>
      <c r="E593" s="560"/>
      <c r="F593" s="559"/>
      <c r="G593" s="559" t="str">
        <f t="shared" si="54"/>
        <v/>
      </c>
      <c r="H593" s="559" t="str">
        <f t="shared" si="55"/>
        <v/>
      </c>
      <c r="I593" s="559" t="str">
        <f t="shared" si="56"/>
        <v/>
      </c>
    </row>
    <row r="594" spans="2:9">
      <c r="B594" s="555" t="str">
        <f t="shared" si="51"/>
        <v/>
      </c>
      <c r="C594" s="556" t="str">
        <f t="shared" si="52"/>
        <v/>
      </c>
      <c r="D594" s="557" t="str">
        <f t="shared" si="53"/>
        <v/>
      </c>
      <c r="E594" s="560"/>
      <c r="F594" s="559"/>
      <c r="G594" s="559" t="str">
        <f t="shared" si="54"/>
        <v/>
      </c>
      <c r="H594" s="559" t="str">
        <f t="shared" si="55"/>
        <v/>
      </c>
      <c r="I594" s="559" t="str">
        <f t="shared" si="56"/>
        <v/>
      </c>
    </row>
    <row r="595" spans="2:9">
      <c r="B595" s="555" t="str">
        <f t="shared" si="51"/>
        <v/>
      </c>
      <c r="C595" s="556" t="str">
        <f t="shared" si="52"/>
        <v/>
      </c>
      <c r="D595" s="557" t="str">
        <f t="shared" si="53"/>
        <v/>
      </c>
      <c r="E595" s="560"/>
      <c r="F595" s="559"/>
      <c r="G595" s="559" t="str">
        <f t="shared" si="54"/>
        <v/>
      </c>
      <c r="H595" s="559" t="str">
        <f t="shared" si="55"/>
        <v/>
      </c>
      <c r="I595" s="559" t="str">
        <f t="shared" si="56"/>
        <v/>
      </c>
    </row>
    <row r="596" spans="2:9">
      <c r="B596" s="555" t="str">
        <f t="shared" si="51"/>
        <v/>
      </c>
      <c r="C596" s="556" t="str">
        <f t="shared" si="52"/>
        <v/>
      </c>
      <c r="D596" s="557" t="str">
        <f t="shared" si="53"/>
        <v/>
      </c>
      <c r="E596" s="560"/>
      <c r="F596" s="559"/>
      <c r="G596" s="559" t="str">
        <f t="shared" si="54"/>
        <v/>
      </c>
      <c r="H596" s="559" t="str">
        <f t="shared" si="55"/>
        <v/>
      </c>
      <c r="I596" s="559" t="str">
        <f t="shared" si="56"/>
        <v/>
      </c>
    </row>
    <row r="597" spans="2:9">
      <c r="B597" s="555" t="str">
        <f t="shared" si="51"/>
        <v/>
      </c>
      <c r="C597" s="556" t="str">
        <f t="shared" si="52"/>
        <v/>
      </c>
      <c r="D597" s="557" t="str">
        <f t="shared" si="53"/>
        <v/>
      </c>
      <c r="E597" s="560"/>
      <c r="F597" s="559"/>
      <c r="G597" s="559" t="str">
        <f t="shared" si="54"/>
        <v/>
      </c>
      <c r="H597" s="559" t="str">
        <f t="shared" si="55"/>
        <v/>
      </c>
      <c r="I597" s="559" t="str">
        <f t="shared" si="56"/>
        <v/>
      </c>
    </row>
    <row r="598" spans="2:9">
      <c r="B598" s="555" t="str">
        <f t="shared" si="51"/>
        <v/>
      </c>
      <c r="C598" s="556" t="str">
        <f t="shared" si="52"/>
        <v/>
      </c>
      <c r="D598" s="557" t="str">
        <f t="shared" si="53"/>
        <v/>
      </c>
      <c r="E598" s="560"/>
      <c r="F598" s="559"/>
      <c r="G598" s="559" t="str">
        <f t="shared" si="54"/>
        <v/>
      </c>
      <c r="H598" s="559" t="str">
        <f t="shared" si="55"/>
        <v/>
      </c>
      <c r="I598" s="559" t="str">
        <f t="shared" si="56"/>
        <v/>
      </c>
    </row>
    <row r="599" spans="2:9">
      <c r="B599" s="555" t="str">
        <f t="shared" si="51"/>
        <v/>
      </c>
      <c r="C599" s="556" t="str">
        <f t="shared" si="52"/>
        <v/>
      </c>
      <c r="D599" s="557" t="str">
        <f t="shared" si="53"/>
        <v/>
      </c>
      <c r="E599" s="560"/>
      <c r="F599" s="559"/>
      <c r="G599" s="559" t="str">
        <f t="shared" si="54"/>
        <v/>
      </c>
      <c r="H599" s="559" t="str">
        <f t="shared" si="55"/>
        <v/>
      </c>
      <c r="I599" s="559" t="str">
        <f t="shared" si="56"/>
        <v/>
      </c>
    </row>
    <row r="600" spans="2:9">
      <c r="B600" s="555" t="str">
        <f t="shared" si="51"/>
        <v/>
      </c>
      <c r="C600" s="556" t="str">
        <f t="shared" si="52"/>
        <v/>
      </c>
      <c r="D600" s="557" t="str">
        <f t="shared" si="53"/>
        <v/>
      </c>
      <c r="E600" s="560"/>
      <c r="F600" s="559"/>
      <c r="G600" s="559" t="str">
        <f t="shared" si="54"/>
        <v/>
      </c>
      <c r="H600" s="559" t="str">
        <f t="shared" si="55"/>
        <v/>
      </c>
      <c r="I600" s="559" t="str">
        <f t="shared" si="56"/>
        <v/>
      </c>
    </row>
    <row r="601" spans="2:9">
      <c r="B601" s="555" t="str">
        <f t="shared" si="51"/>
        <v/>
      </c>
      <c r="C601" s="556" t="str">
        <f t="shared" si="52"/>
        <v/>
      </c>
      <c r="D601" s="557" t="str">
        <f t="shared" si="53"/>
        <v/>
      </c>
      <c r="E601" s="560"/>
      <c r="F601" s="559"/>
      <c r="G601" s="559" t="str">
        <f t="shared" si="54"/>
        <v/>
      </c>
      <c r="H601" s="559" t="str">
        <f t="shared" si="55"/>
        <v/>
      </c>
      <c r="I601" s="559" t="str">
        <f t="shared" si="56"/>
        <v/>
      </c>
    </row>
    <row r="602" spans="2:9">
      <c r="B602" s="555" t="str">
        <f t="shared" si="51"/>
        <v/>
      </c>
      <c r="C602" s="556" t="str">
        <f t="shared" si="52"/>
        <v/>
      </c>
      <c r="D602" s="557" t="str">
        <f t="shared" si="53"/>
        <v/>
      </c>
      <c r="E602" s="560"/>
      <c r="F602" s="559"/>
      <c r="G602" s="559" t="str">
        <f t="shared" si="54"/>
        <v/>
      </c>
      <c r="H602" s="559" t="str">
        <f t="shared" si="55"/>
        <v/>
      </c>
      <c r="I602" s="559" t="str">
        <f t="shared" si="56"/>
        <v/>
      </c>
    </row>
    <row r="603" spans="2:9">
      <c r="B603" s="555" t="str">
        <f t="shared" si="51"/>
        <v/>
      </c>
      <c r="C603" s="556" t="str">
        <f t="shared" si="52"/>
        <v/>
      </c>
      <c r="D603" s="557" t="str">
        <f t="shared" si="53"/>
        <v/>
      </c>
      <c r="E603" s="560"/>
      <c r="F603" s="559"/>
      <c r="G603" s="559" t="str">
        <f t="shared" si="54"/>
        <v/>
      </c>
      <c r="H603" s="559" t="str">
        <f t="shared" si="55"/>
        <v/>
      </c>
      <c r="I603" s="559" t="str">
        <f t="shared" si="56"/>
        <v/>
      </c>
    </row>
    <row r="604" spans="2:9">
      <c r="B604" s="555" t="str">
        <f t="shared" si="51"/>
        <v/>
      </c>
      <c r="C604" s="556" t="str">
        <f t="shared" si="52"/>
        <v/>
      </c>
      <c r="D604" s="557" t="str">
        <f t="shared" si="53"/>
        <v/>
      </c>
      <c r="E604" s="560"/>
      <c r="F604" s="559"/>
      <c r="G604" s="559" t="str">
        <f t="shared" si="54"/>
        <v/>
      </c>
      <c r="H604" s="559" t="str">
        <f t="shared" si="55"/>
        <v/>
      </c>
      <c r="I604" s="559" t="str">
        <f t="shared" si="56"/>
        <v/>
      </c>
    </row>
    <row r="605" spans="2:9">
      <c r="B605" s="555" t="str">
        <f t="shared" si="51"/>
        <v/>
      </c>
      <c r="C605" s="556" t="str">
        <f t="shared" si="52"/>
        <v/>
      </c>
      <c r="D605" s="557" t="str">
        <f t="shared" si="53"/>
        <v/>
      </c>
      <c r="E605" s="560"/>
      <c r="F605" s="559"/>
      <c r="G605" s="559" t="str">
        <f t="shared" si="54"/>
        <v/>
      </c>
      <c r="H605" s="559" t="str">
        <f t="shared" si="55"/>
        <v/>
      </c>
      <c r="I605" s="559" t="str">
        <f t="shared" si="56"/>
        <v/>
      </c>
    </row>
    <row r="606" spans="2:9">
      <c r="B606" s="555" t="str">
        <f t="shared" si="51"/>
        <v/>
      </c>
      <c r="C606" s="556" t="str">
        <f t="shared" si="52"/>
        <v/>
      </c>
      <c r="D606" s="557" t="str">
        <f t="shared" si="53"/>
        <v/>
      </c>
      <c r="E606" s="560"/>
      <c r="F606" s="559"/>
      <c r="G606" s="559" t="str">
        <f t="shared" si="54"/>
        <v/>
      </c>
      <c r="H606" s="559" t="str">
        <f t="shared" si="55"/>
        <v/>
      </c>
      <c r="I606" s="559" t="str">
        <f t="shared" si="56"/>
        <v/>
      </c>
    </row>
    <row r="607" spans="2:9">
      <c r="B607" s="555" t="str">
        <f t="shared" si="51"/>
        <v/>
      </c>
      <c r="C607" s="556" t="str">
        <f t="shared" si="52"/>
        <v/>
      </c>
      <c r="D607" s="557" t="str">
        <f t="shared" si="53"/>
        <v/>
      </c>
      <c r="E607" s="560"/>
      <c r="F607" s="559"/>
      <c r="G607" s="559" t="str">
        <f t="shared" si="54"/>
        <v/>
      </c>
      <c r="H607" s="559" t="str">
        <f t="shared" si="55"/>
        <v/>
      </c>
      <c r="I607" s="559" t="str">
        <f t="shared" si="56"/>
        <v/>
      </c>
    </row>
    <row r="608" spans="2:9">
      <c r="B608" s="555" t="str">
        <f t="shared" si="51"/>
        <v/>
      </c>
      <c r="C608" s="556" t="str">
        <f t="shared" si="52"/>
        <v/>
      </c>
      <c r="D608" s="557" t="str">
        <f t="shared" si="53"/>
        <v/>
      </c>
      <c r="E608" s="560"/>
      <c r="F608" s="559"/>
      <c r="G608" s="559" t="str">
        <f t="shared" si="54"/>
        <v/>
      </c>
      <c r="H608" s="559" t="str">
        <f t="shared" si="55"/>
        <v/>
      </c>
      <c r="I608" s="559" t="str">
        <f t="shared" si="56"/>
        <v/>
      </c>
    </row>
    <row r="609" spans="2:9">
      <c r="B609" s="555" t="str">
        <f t="shared" si="51"/>
        <v/>
      </c>
      <c r="C609" s="556" t="str">
        <f t="shared" si="52"/>
        <v/>
      </c>
      <c r="D609" s="557" t="str">
        <f t="shared" si="53"/>
        <v/>
      </c>
      <c r="E609" s="560"/>
      <c r="F609" s="559"/>
      <c r="G609" s="559" t="str">
        <f t="shared" si="54"/>
        <v/>
      </c>
      <c r="H609" s="559" t="str">
        <f t="shared" si="55"/>
        <v/>
      </c>
      <c r="I609" s="559" t="str">
        <f t="shared" si="56"/>
        <v/>
      </c>
    </row>
    <row r="610" spans="2:9">
      <c r="B610" s="555" t="str">
        <f t="shared" si="51"/>
        <v/>
      </c>
      <c r="C610" s="556" t="str">
        <f t="shared" si="52"/>
        <v/>
      </c>
      <c r="D610" s="557" t="str">
        <f t="shared" si="53"/>
        <v/>
      </c>
      <c r="E610" s="560"/>
      <c r="F610" s="559"/>
      <c r="G610" s="559" t="str">
        <f t="shared" si="54"/>
        <v/>
      </c>
      <c r="H610" s="559" t="str">
        <f t="shared" si="55"/>
        <v/>
      </c>
      <c r="I610" s="559" t="str">
        <f t="shared" si="56"/>
        <v/>
      </c>
    </row>
    <row r="611" spans="2:9">
      <c r="B611" s="555" t="str">
        <f t="shared" si="51"/>
        <v/>
      </c>
      <c r="C611" s="556" t="str">
        <f t="shared" si="52"/>
        <v/>
      </c>
      <c r="D611" s="557" t="str">
        <f t="shared" si="53"/>
        <v/>
      </c>
      <c r="E611" s="560"/>
      <c r="F611" s="559"/>
      <c r="G611" s="559" t="str">
        <f t="shared" si="54"/>
        <v/>
      </c>
      <c r="H611" s="559" t="str">
        <f t="shared" si="55"/>
        <v/>
      </c>
      <c r="I611" s="559" t="str">
        <f t="shared" si="56"/>
        <v/>
      </c>
    </row>
    <row r="612" spans="2:9">
      <c r="B612" s="555" t="str">
        <f t="shared" si="51"/>
        <v/>
      </c>
      <c r="C612" s="556" t="str">
        <f t="shared" si="52"/>
        <v/>
      </c>
      <c r="D612" s="557" t="str">
        <f t="shared" si="53"/>
        <v/>
      </c>
      <c r="E612" s="560"/>
      <c r="F612" s="559"/>
      <c r="G612" s="559" t="str">
        <f t="shared" si="54"/>
        <v/>
      </c>
      <c r="H612" s="559" t="str">
        <f t="shared" si="55"/>
        <v/>
      </c>
      <c r="I612" s="559" t="str">
        <f t="shared" si="56"/>
        <v/>
      </c>
    </row>
    <row r="613" spans="2:9">
      <c r="B613" s="555" t="str">
        <f t="shared" si="51"/>
        <v/>
      </c>
      <c r="C613" s="556" t="str">
        <f t="shared" si="52"/>
        <v/>
      </c>
      <c r="D613" s="557" t="str">
        <f t="shared" si="53"/>
        <v/>
      </c>
      <c r="E613" s="560"/>
      <c r="F613" s="559"/>
      <c r="G613" s="559" t="str">
        <f t="shared" si="54"/>
        <v/>
      </c>
      <c r="H613" s="559" t="str">
        <f t="shared" si="55"/>
        <v/>
      </c>
      <c r="I613" s="559" t="str">
        <f t="shared" si="56"/>
        <v/>
      </c>
    </row>
    <row r="614" spans="2:9">
      <c r="B614" s="555" t="str">
        <f t="shared" si="51"/>
        <v/>
      </c>
      <c r="C614" s="556" t="str">
        <f t="shared" si="52"/>
        <v/>
      </c>
      <c r="D614" s="557" t="str">
        <f t="shared" si="53"/>
        <v/>
      </c>
      <c r="E614" s="560"/>
      <c r="F614" s="559"/>
      <c r="G614" s="559" t="str">
        <f t="shared" si="54"/>
        <v/>
      </c>
      <c r="H614" s="559" t="str">
        <f t="shared" si="55"/>
        <v/>
      </c>
      <c r="I614" s="559" t="str">
        <f t="shared" si="56"/>
        <v/>
      </c>
    </row>
    <row r="615" spans="2:9">
      <c r="B615" s="555" t="str">
        <f t="shared" si="51"/>
        <v/>
      </c>
      <c r="C615" s="556" t="str">
        <f t="shared" si="52"/>
        <v/>
      </c>
      <c r="D615" s="557" t="str">
        <f t="shared" si="53"/>
        <v/>
      </c>
      <c r="E615" s="560"/>
      <c r="F615" s="559"/>
      <c r="G615" s="559" t="str">
        <f t="shared" si="54"/>
        <v/>
      </c>
      <c r="H615" s="559" t="str">
        <f t="shared" si="55"/>
        <v/>
      </c>
      <c r="I615" s="559" t="str">
        <f t="shared" si="56"/>
        <v/>
      </c>
    </row>
    <row r="616" spans="2:9">
      <c r="B616" s="555" t="str">
        <f t="shared" si="51"/>
        <v/>
      </c>
      <c r="C616" s="556" t="str">
        <f t="shared" si="52"/>
        <v/>
      </c>
      <c r="D616" s="557" t="str">
        <f t="shared" si="53"/>
        <v/>
      </c>
      <c r="E616" s="560"/>
      <c r="F616" s="559"/>
      <c r="G616" s="559" t="str">
        <f t="shared" si="54"/>
        <v/>
      </c>
      <c r="H616" s="559" t="str">
        <f t="shared" si="55"/>
        <v/>
      </c>
      <c r="I616" s="559" t="str">
        <f t="shared" si="56"/>
        <v/>
      </c>
    </row>
    <row r="617" spans="2:9">
      <c r="B617" s="555" t="str">
        <f t="shared" si="51"/>
        <v/>
      </c>
      <c r="C617" s="556" t="str">
        <f t="shared" si="52"/>
        <v/>
      </c>
      <c r="D617" s="557" t="str">
        <f t="shared" si="53"/>
        <v/>
      </c>
      <c r="E617" s="560"/>
      <c r="F617" s="559"/>
      <c r="G617" s="559" t="str">
        <f t="shared" si="54"/>
        <v/>
      </c>
      <c r="H617" s="559" t="str">
        <f t="shared" si="55"/>
        <v/>
      </c>
      <c r="I617" s="559" t="str">
        <f t="shared" si="56"/>
        <v/>
      </c>
    </row>
    <row r="618" spans="2:9">
      <c r="B618" s="555" t="str">
        <f t="shared" si="51"/>
        <v/>
      </c>
      <c r="C618" s="556" t="str">
        <f t="shared" si="52"/>
        <v/>
      </c>
      <c r="D618" s="557" t="str">
        <f t="shared" si="53"/>
        <v/>
      </c>
      <c r="E618" s="560"/>
      <c r="F618" s="559"/>
      <c r="G618" s="559" t="str">
        <f t="shared" si="54"/>
        <v/>
      </c>
      <c r="H618" s="559" t="str">
        <f t="shared" si="55"/>
        <v/>
      </c>
      <c r="I618" s="559" t="str">
        <f t="shared" si="56"/>
        <v/>
      </c>
    </row>
    <row r="619" spans="2:9">
      <c r="B619" s="555" t="str">
        <f t="shared" si="51"/>
        <v/>
      </c>
      <c r="C619" s="556" t="str">
        <f t="shared" si="52"/>
        <v/>
      </c>
      <c r="D619" s="557" t="str">
        <f t="shared" si="53"/>
        <v/>
      </c>
      <c r="E619" s="560"/>
      <c r="F619" s="559"/>
      <c r="G619" s="559" t="str">
        <f t="shared" si="54"/>
        <v/>
      </c>
      <c r="H619" s="559" t="str">
        <f t="shared" si="55"/>
        <v/>
      </c>
      <c r="I619" s="559" t="str">
        <f t="shared" si="56"/>
        <v/>
      </c>
    </row>
    <row r="620" spans="2:9">
      <c r="B620" s="555" t="str">
        <f t="shared" si="51"/>
        <v/>
      </c>
      <c r="C620" s="556" t="str">
        <f t="shared" si="52"/>
        <v/>
      </c>
      <c r="D620" s="557" t="str">
        <f t="shared" si="53"/>
        <v/>
      </c>
      <c r="E620" s="560"/>
      <c r="F620" s="559"/>
      <c r="G620" s="559" t="str">
        <f t="shared" si="54"/>
        <v/>
      </c>
      <c r="H620" s="559" t="str">
        <f t="shared" si="55"/>
        <v/>
      </c>
      <c r="I620" s="559" t="str">
        <f t="shared" si="56"/>
        <v/>
      </c>
    </row>
    <row r="621" spans="2:9">
      <c r="B621" s="555" t="str">
        <f t="shared" si="51"/>
        <v/>
      </c>
      <c r="C621" s="556" t="str">
        <f t="shared" si="52"/>
        <v/>
      </c>
      <c r="D621" s="557" t="str">
        <f t="shared" si="53"/>
        <v/>
      </c>
      <c r="E621" s="560"/>
      <c r="F621" s="559"/>
      <c r="G621" s="559" t="str">
        <f t="shared" si="54"/>
        <v/>
      </c>
      <c r="H621" s="559" t="str">
        <f t="shared" si="55"/>
        <v/>
      </c>
      <c r="I621" s="559" t="str">
        <f t="shared" si="56"/>
        <v/>
      </c>
    </row>
    <row r="622" spans="2:9">
      <c r="B622" s="555" t="str">
        <f t="shared" si="51"/>
        <v/>
      </c>
      <c r="C622" s="556" t="str">
        <f t="shared" si="52"/>
        <v/>
      </c>
      <c r="D622" s="557" t="str">
        <f t="shared" si="53"/>
        <v/>
      </c>
      <c r="E622" s="560"/>
      <c r="F622" s="559"/>
      <c r="G622" s="559" t="str">
        <f t="shared" si="54"/>
        <v/>
      </c>
      <c r="H622" s="559" t="str">
        <f t="shared" si="55"/>
        <v/>
      </c>
      <c r="I622" s="559" t="str">
        <f t="shared" si="56"/>
        <v/>
      </c>
    </row>
    <row r="623" spans="2:9">
      <c r="B623" s="555" t="str">
        <f t="shared" si="51"/>
        <v/>
      </c>
      <c r="C623" s="556" t="str">
        <f t="shared" si="52"/>
        <v/>
      </c>
      <c r="D623" s="557" t="str">
        <f t="shared" si="53"/>
        <v/>
      </c>
      <c r="E623" s="560"/>
      <c r="F623" s="559"/>
      <c r="G623" s="559" t="str">
        <f t="shared" si="54"/>
        <v/>
      </c>
      <c r="H623" s="559" t="str">
        <f t="shared" si="55"/>
        <v/>
      </c>
      <c r="I623" s="559" t="str">
        <f t="shared" si="56"/>
        <v/>
      </c>
    </row>
    <row r="624" spans="2:9">
      <c r="B624" s="555" t="str">
        <f t="shared" si="51"/>
        <v/>
      </c>
      <c r="C624" s="556" t="str">
        <f t="shared" si="52"/>
        <v/>
      </c>
      <c r="D624" s="557" t="str">
        <f t="shared" si="53"/>
        <v/>
      </c>
      <c r="E624" s="560"/>
      <c r="F624" s="559"/>
      <c r="G624" s="559" t="str">
        <f t="shared" si="54"/>
        <v/>
      </c>
      <c r="H624" s="559" t="str">
        <f t="shared" si="55"/>
        <v/>
      </c>
      <c r="I624" s="559" t="str">
        <f t="shared" si="56"/>
        <v/>
      </c>
    </row>
    <row r="625" spans="2:9">
      <c r="B625" s="555" t="str">
        <f t="shared" si="51"/>
        <v/>
      </c>
      <c r="C625" s="556" t="str">
        <f t="shared" si="52"/>
        <v/>
      </c>
      <c r="D625" s="557" t="str">
        <f t="shared" si="53"/>
        <v/>
      </c>
      <c r="E625" s="560"/>
      <c r="F625" s="559"/>
      <c r="G625" s="559" t="str">
        <f t="shared" si="54"/>
        <v/>
      </c>
      <c r="H625" s="559" t="str">
        <f t="shared" si="55"/>
        <v/>
      </c>
      <c r="I625" s="559" t="str">
        <f t="shared" si="56"/>
        <v/>
      </c>
    </row>
    <row r="626" spans="2:9">
      <c r="B626" s="555" t="str">
        <f t="shared" si="51"/>
        <v/>
      </c>
      <c r="C626" s="556" t="str">
        <f t="shared" si="52"/>
        <v/>
      </c>
      <c r="D626" s="557" t="str">
        <f t="shared" si="53"/>
        <v/>
      </c>
      <c r="E626" s="560"/>
      <c r="F626" s="559"/>
      <c r="G626" s="559" t="str">
        <f t="shared" si="54"/>
        <v/>
      </c>
      <c r="H626" s="559" t="str">
        <f t="shared" si="55"/>
        <v/>
      </c>
      <c r="I626" s="559" t="str">
        <f t="shared" si="56"/>
        <v/>
      </c>
    </row>
    <row r="627" spans="2:9">
      <c r="B627" s="555" t="str">
        <f t="shared" si="51"/>
        <v/>
      </c>
      <c r="C627" s="556" t="str">
        <f t="shared" si="52"/>
        <v/>
      </c>
      <c r="D627" s="557" t="str">
        <f t="shared" si="53"/>
        <v/>
      </c>
      <c r="E627" s="560"/>
      <c r="F627" s="559"/>
      <c r="G627" s="559" t="str">
        <f t="shared" si="54"/>
        <v/>
      </c>
      <c r="H627" s="559" t="str">
        <f t="shared" si="55"/>
        <v/>
      </c>
      <c r="I627" s="559" t="str">
        <f t="shared" si="56"/>
        <v/>
      </c>
    </row>
    <row r="628" spans="2:9">
      <c r="B628" s="555" t="str">
        <f t="shared" si="51"/>
        <v/>
      </c>
      <c r="C628" s="556" t="str">
        <f t="shared" si="52"/>
        <v/>
      </c>
      <c r="D628" s="557" t="str">
        <f t="shared" si="53"/>
        <v/>
      </c>
      <c r="E628" s="560"/>
      <c r="F628" s="559"/>
      <c r="G628" s="559" t="str">
        <f t="shared" si="54"/>
        <v/>
      </c>
      <c r="H628" s="559" t="str">
        <f t="shared" si="55"/>
        <v/>
      </c>
      <c r="I628" s="559" t="str">
        <f t="shared" si="56"/>
        <v/>
      </c>
    </row>
    <row r="629" spans="2:9">
      <c r="B629" s="555" t="str">
        <f t="shared" si="51"/>
        <v/>
      </c>
      <c r="C629" s="556" t="str">
        <f t="shared" si="52"/>
        <v/>
      </c>
      <c r="D629" s="557" t="str">
        <f t="shared" si="53"/>
        <v/>
      </c>
      <c r="E629" s="560"/>
      <c r="F629" s="559"/>
      <c r="G629" s="559" t="str">
        <f t="shared" si="54"/>
        <v/>
      </c>
      <c r="H629" s="559" t="str">
        <f t="shared" si="55"/>
        <v/>
      </c>
      <c r="I629" s="559" t="str">
        <f t="shared" si="56"/>
        <v/>
      </c>
    </row>
    <row r="630" spans="2:9">
      <c r="B630" s="555" t="str">
        <f t="shared" si="51"/>
        <v/>
      </c>
      <c r="C630" s="556" t="str">
        <f t="shared" si="52"/>
        <v/>
      </c>
      <c r="D630" s="557" t="str">
        <f t="shared" si="53"/>
        <v/>
      </c>
      <c r="E630" s="560"/>
      <c r="F630" s="559"/>
      <c r="G630" s="559" t="str">
        <f t="shared" si="54"/>
        <v/>
      </c>
      <c r="H630" s="559" t="str">
        <f t="shared" si="55"/>
        <v/>
      </c>
      <c r="I630" s="559" t="str">
        <f t="shared" si="56"/>
        <v/>
      </c>
    </row>
    <row r="631" spans="2:9">
      <c r="B631" s="555" t="str">
        <f t="shared" si="51"/>
        <v/>
      </c>
      <c r="C631" s="556" t="str">
        <f t="shared" si="52"/>
        <v/>
      </c>
      <c r="D631" s="557" t="str">
        <f t="shared" si="53"/>
        <v/>
      </c>
      <c r="E631" s="560"/>
      <c r="F631" s="559"/>
      <c r="G631" s="559" t="str">
        <f t="shared" si="54"/>
        <v/>
      </c>
      <c r="H631" s="559" t="str">
        <f t="shared" si="55"/>
        <v/>
      </c>
      <c r="I631" s="559" t="str">
        <f t="shared" si="56"/>
        <v/>
      </c>
    </row>
    <row r="632" spans="2:9">
      <c r="B632" s="555" t="str">
        <f t="shared" si="51"/>
        <v/>
      </c>
      <c r="C632" s="556" t="str">
        <f t="shared" si="52"/>
        <v/>
      </c>
      <c r="D632" s="557" t="str">
        <f t="shared" si="53"/>
        <v/>
      </c>
      <c r="E632" s="560"/>
      <c r="F632" s="559"/>
      <c r="G632" s="559" t="str">
        <f t="shared" si="54"/>
        <v/>
      </c>
      <c r="H632" s="559" t="str">
        <f t="shared" si="55"/>
        <v/>
      </c>
      <c r="I632" s="559" t="str">
        <f t="shared" si="56"/>
        <v/>
      </c>
    </row>
    <row r="633" spans="2:9">
      <c r="B633" s="555" t="str">
        <f t="shared" si="51"/>
        <v/>
      </c>
      <c r="C633" s="556" t="str">
        <f t="shared" si="52"/>
        <v/>
      </c>
      <c r="D633" s="557" t="str">
        <f t="shared" si="53"/>
        <v/>
      </c>
      <c r="E633" s="560"/>
      <c r="F633" s="559"/>
      <c r="G633" s="559" t="str">
        <f t="shared" si="54"/>
        <v/>
      </c>
      <c r="H633" s="559" t="str">
        <f t="shared" si="55"/>
        <v/>
      </c>
      <c r="I633" s="559" t="str">
        <f t="shared" si="56"/>
        <v/>
      </c>
    </row>
    <row r="634" spans="2:9">
      <c r="B634" s="555" t="str">
        <f t="shared" si="51"/>
        <v/>
      </c>
      <c r="C634" s="556" t="str">
        <f t="shared" si="52"/>
        <v/>
      </c>
      <c r="D634" s="557" t="str">
        <f t="shared" si="53"/>
        <v/>
      </c>
      <c r="E634" s="560"/>
      <c r="F634" s="559"/>
      <c r="G634" s="559" t="str">
        <f t="shared" si="54"/>
        <v/>
      </c>
      <c r="H634" s="559" t="str">
        <f t="shared" si="55"/>
        <v/>
      </c>
      <c r="I634" s="559" t="str">
        <f t="shared" si="56"/>
        <v/>
      </c>
    </row>
    <row r="635" spans="2:9">
      <c r="B635" s="555" t="str">
        <f t="shared" si="51"/>
        <v/>
      </c>
      <c r="C635" s="556" t="str">
        <f t="shared" si="52"/>
        <v/>
      </c>
      <c r="D635" s="557" t="str">
        <f t="shared" si="53"/>
        <v/>
      </c>
      <c r="E635" s="560"/>
      <c r="F635" s="559"/>
      <c r="G635" s="559" t="str">
        <f t="shared" si="54"/>
        <v/>
      </c>
      <c r="H635" s="559" t="str">
        <f t="shared" si="55"/>
        <v/>
      </c>
      <c r="I635" s="559" t="str">
        <f t="shared" si="56"/>
        <v/>
      </c>
    </row>
    <row r="636" spans="2:9">
      <c r="B636" s="555" t="str">
        <f t="shared" si="51"/>
        <v/>
      </c>
      <c r="C636" s="556" t="str">
        <f t="shared" si="52"/>
        <v/>
      </c>
      <c r="D636" s="557" t="str">
        <f t="shared" si="53"/>
        <v/>
      </c>
      <c r="E636" s="560"/>
      <c r="F636" s="559"/>
      <c r="G636" s="559" t="str">
        <f t="shared" si="54"/>
        <v/>
      </c>
      <c r="H636" s="559" t="str">
        <f t="shared" si="55"/>
        <v/>
      </c>
      <c r="I636" s="559" t="str">
        <f t="shared" si="56"/>
        <v/>
      </c>
    </row>
    <row r="637" spans="2:9">
      <c r="B637" s="555" t="str">
        <f t="shared" ref="B637:B700" si="57">IF(I636="","",IF(roundOpt,IF(OR(B636&gt;=nper,ROUND(I636,2)&lt;=0),"",B636+1),IF(OR(B636&gt;=nper,I636&lt;=0),"",B636+1)))</f>
        <v/>
      </c>
      <c r="C637" s="556" t="str">
        <f t="shared" ref="C637:C700" si="58">IF(B637="","",IF(OR(periods_per_year=26,periods_per_year=52),IF(periods_per_year=26,IF(B637=1,fpdate,C636+14),IF(periods_per_year=52,IF(B637=1,fpdate,C636+7),"n/a")),IF(periods_per_year=24,DATE(YEAR(fpdate),MONTH(fpdate)+(B637-1)/2+IF(AND(DAY(fpdate)&gt;=15,MOD(B637,2)=0),1,0),IF(MOD(B637,2)=0,IF(DAY(fpdate)&gt;=15,DAY(fpdate)-14,DAY(fpdate)+14),DAY(fpdate))),IF(DAY(DATE(YEAR(fpdate),MONTH(fpdate)+(B637-1)*months_per_period,DAY(fpdate)))&lt;&gt;DAY(fpdate),DATE(YEAR(fpdate),MONTH(fpdate)+(B637-1)*months_per_period+1,0),DATE(YEAR(fpdate),MONTH(fpdate)+(B637-1)*months_per_period,DAY(fpdate))))))</f>
        <v/>
      </c>
      <c r="D637" s="557" t="str">
        <f t="shared" ref="D637:D700" si="59">IF(B637="","",IF(roundOpt,IF(OR(B637=nper,payment&gt;ROUND((1+rate)*I636,2)),ROUND((1+rate)*I636,2),payment),IF(OR(B637=nper,payment&gt;(1+rate)*I636),(1+rate)*I636,payment)))</f>
        <v/>
      </c>
      <c r="E637" s="560"/>
      <c r="F637" s="559"/>
      <c r="G637" s="559" t="str">
        <f t="shared" ref="G637:G700" si="60">IF(B637="","",IF(AND(B637=1,pmtType=1),0,IF(roundOpt,ROUND(rate*I636,2),rate*I636)))</f>
        <v/>
      </c>
      <c r="H637" s="559" t="str">
        <f t="shared" ref="H637:H700" si="61">IF(B637="","",D637-G637+E637)</f>
        <v/>
      </c>
      <c r="I637" s="559" t="str">
        <f t="shared" ref="I637:I700" si="62">IF(B637="","",I636-H637)</f>
        <v/>
      </c>
    </row>
    <row r="638" spans="2:9">
      <c r="B638" s="555" t="str">
        <f t="shared" si="57"/>
        <v/>
      </c>
      <c r="C638" s="556" t="str">
        <f t="shared" si="58"/>
        <v/>
      </c>
      <c r="D638" s="557" t="str">
        <f t="shared" si="59"/>
        <v/>
      </c>
      <c r="E638" s="560"/>
      <c r="F638" s="559"/>
      <c r="G638" s="559" t="str">
        <f t="shared" si="60"/>
        <v/>
      </c>
      <c r="H638" s="559" t="str">
        <f t="shared" si="61"/>
        <v/>
      </c>
      <c r="I638" s="559" t="str">
        <f t="shared" si="62"/>
        <v/>
      </c>
    </row>
    <row r="639" spans="2:9">
      <c r="B639" s="555" t="str">
        <f t="shared" si="57"/>
        <v/>
      </c>
      <c r="C639" s="556" t="str">
        <f t="shared" si="58"/>
        <v/>
      </c>
      <c r="D639" s="557" t="str">
        <f t="shared" si="59"/>
        <v/>
      </c>
      <c r="E639" s="560"/>
      <c r="F639" s="559"/>
      <c r="G639" s="559" t="str">
        <f t="shared" si="60"/>
        <v/>
      </c>
      <c r="H639" s="559" t="str">
        <f t="shared" si="61"/>
        <v/>
      </c>
      <c r="I639" s="559" t="str">
        <f t="shared" si="62"/>
        <v/>
      </c>
    </row>
    <row r="640" spans="2:9">
      <c r="B640" s="555" t="str">
        <f t="shared" si="57"/>
        <v/>
      </c>
      <c r="C640" s="556" t="str">
        <f t="shared" si="58"/>
        <v/>
      </c>
      <c r="D640" s="557" t="str">
        <f t="shared" si="59"/>
        <v/>
      </c>
      <c r="E640" s="560"/>
      <c r="F640" s="559"/>
      <c r="G640" s="559" t="str">
        <f t="shared" si="60"/>
        <v/>
      </c>
      <c r="H640" s="559" t="str">
        <f t="shared" si="61"/>
        <v/>
      </c>
      <c r="I640" s="559" t="str">
        <f t="shared" si="62"/>
        <v/>
      </c>
    </row>
    <row r="641" spans="2:9">
      <c r="B641" s="555" t="str">
        <f t="shared" si="57"/>
        <v/>
      </c>
      <c r="C641" s="556" t="str">
        <f t="shared" si="58"/>
        <v/>
      </c>
      <c r="D641" s="557" t="str">
        <f t="shared" si="59"/>
        <v/>
      </c>
      <c r="E641" s="560"/>
      <c r="F641" s="559"/>
      <c r="G641" s="559" t="str">
        <f t="shared" si="60"/>
        <v/>
      </c>
      <c r="H641" s="559" t="str">
        <f t="shared" si="61"/>
        <v/>
      </c>
      <c r="I641" s="559" t="str">
        <f t="shared" si="62"/>
        <v/>
      </c>
    </row>
    <row r="642" spans="2:9">
      <c r="B642" s="555" t="str">
        <f t="shared" si="57"/>
        <v/>
      </c>
      <c r="C642" s="556" t="str">
        <f t="shared" si="58"/>
        <v/>
      </c>
      <c r="D642" s="557" t="str">
        <f t="shared" si="59"/>
        <v/>
      </c>
      <c r="E642" s="560"/>
      <c r="F642" s="559"/>
      <c r="G642" s="559" t="str">
        <f t="shared" si="60"/>
        <v/>
      </c>
      <c r="H642" s="559" t="str">
        <f t="shared" si="61"/>
        <v/>
      </c>
      <c r="I642" s="559" t="str">
        <f t="shared" si="62"/>
        <v/>
      </c>
    </row>
    <row r="643" spans="2:9">
      <c r="B643" s="555" t="str">
        <f t="shared" si="57"/>
        <v/>
      </c>
      <c r="C643" s="556" t="str">
        <f t="shared" si="58"/>
        <v/>
      </c>
      <c r="D643" s="557" t="str">
        <f t="shared" si="59"/>
        <v/>
      </c>
      <c r="E643" s="560"/>
      <c r="F643" s="559"/>
      <c r="G643" s="559" t="str">
        <f t="shared" si="60"/>
        <v/>
      </c>
      <c r="H643" s="559" t="str">
        <f t="shared" si="61"/>
        <v/>
      </c>
      <c r="I643" s="559" t="str">
        <f t="shared" si="62"/>
        <v/>
      </c>
    </row>
    <row r="644" spans="2:9">
      <c r="B644" s="555" t="str">
        <f t="shared" si="57"/>
        <v/>
      </c>
      <c r="C644" s="556" t="str">
        <f t="shared" si="58"/>
        <v/>
      </c>
      <c r="D644" s="557" t="str">
        <f t="shared" si="59"/>
        <v/>
      </c>
      <c r="E644" s="560"/>
      <c r="F644" s="559"/>
      <c r="G644" s="559" t="str">
        <f t="shared" si="60"/>
        <v/>
      </c>
      <c r="H644" s="559" t="str">
        <f t="shared" si="61"/>
        <v/>
      </c>
      <c r="I644" s="559" t="str">
        <f t="shared" si="62"/>
        <v/>
      </c>
    </row>
    <row r="645" spans="2:9">
      <c r="B645" s="555" t="str">
        <f t="shared" si="57"/>
        <v/>
      </c>
      <c r="C645" s="556" t="str">
        <f t="shared" si="58"/>
        <v/>
      </c>
      <c r="D645" s="557" t="str">
        <f t="shared" si="59"/>
        <v/>
      </c>
      <c r="E645" s="560"/>
      <c r="F645" s="559"/>
      <c r="G645" s="559" t="str">
        <f t="shared" si="60"/>
        <v/>
      </c>
      <c r="H645" s="559" t="str">
        <f t="shared" si="61"/>
        <v/>
      </c>
      <c r="I645" s="559" t="str">
        <f t="shared" si="62"/>
        <v/>
      </c>
    </row>
    <row r="646" spans="2:9">
      <c r="B646" s="555" t="str">
        <f t="shared" si="57"/>
        <v/>
      </c>
      <c r="C646" s="556" t="str">
        <f t="shared" si="58"/>
        <v/>
      </c>
      <c r="D646" s="557" t="str">
        <f t="shared" si="59"/>
        <v/>
      </c>
      <c r="E646" s="560"/>
      <c r="F646" s="559"/>
      <c r="G646" s="559" t="str">
        <f t="shared" si="60"/>
        <v/>
      </c>
      <c r="H646" s="559" t="str">
        <f t="shared" si="61"/>
        <v/>
      </c>
      <c r="I646" s="559" t="str">
        <f t="shared" si="62"/>
        <v/>
      </c>
    </row>
    <row r="647" spans="2:9">
      <c r="B647" s="555" t="str">
        <f t="shared" si="57"/>
        <v/>
      </c>
      <c r="C647" s="556" t="str">
        <f t="shared" si="58"/>
        <v/>
      </c>
      <c r="D647" s="557" t="str">
        <f t="shared" si="59"/>
        <v/>
      </c>
      <c r="E647" s="560"/>
      <c r="F647" s="559"/>
      <c r="G647" s="559" t="str">
        <f t="shared" si="60"/>
        <v/>
      </c>
      <c r="H647" s="559" t="str">
        <f t="shared" si="61"/>
        <v/>
      </c>
      <c r="I647" s="559" t="str">
        <f t="shared" si="62"/>
        <v/>
      </c>
    </row>
    <row r="648" spans="2:9">
      <c r="B648" s="555" t="str">
        <f t="shared" si="57"/>
        <v/>
      </c>
      <c r="C648" s="556" t="str">
        <f t="shared" si="58"/>
        <v/>
      </c>
      <c r="D648" s="557" t="str">
        <f t="shared" si="59"/>
        <v/>
      </c>
      <c r="E648" s="560"/>
      <c r="F648" s="559"/>
      <c r="G648" s="559" t="str">
        <f t="shared" si="60"/>
        <v/>
      </c>
      <c r="H648" s="559" t="str">
        <f t="shared" si="61"/>
        <v/>
      </c>
      <c r="I648" s="559" t="str">
        <f t="shared" si="62"/>
        <v/>
      </c>
    </row>
    <row r="649" spans="2:9">
      <c r="B649" s="555" t="str">
        <f t="shared" si="57"/>
        <v/>
      </c>
      <c r="C649" s="556" t="str">
        <f t="shared" si="58"/>
        <v/>
      </c>
      <c r="D649" s="557" t="str">
        <f t="shared" si="59"/>
        <v/>
      </c>
      <c r="E649" s="560"/>
      <c r="F649" s="559"/>
      <c r="G649" s="559" t="str">
        <f t="shared" si="60"/>
        <v/>
      </c>
      <c r="H649" s="559" t="str">
        <f t="shared" si="61"/>
        <v/>
      </c>
      <c r="I649" s="559" t="str">
        <f t="shared" si="62"/>
        <v/>
      </c>
    </row>
    <row r="650" spans="2:9">
      <c r="B650" s="555" t="str">
        <f t="shared" si="57"/>
        <v/>
      </c>
      <c r="C650" s="556" t="str">
        <f t="shared" si="58"/>
        <v/>
      </c>
      <c r="D650" s="557" t="str">
        <f t="shared" si="59"/>
        <v/>
      </c>
      <c r="E650" s="560"/>
      <c r="F650" s="559"/>
      <c r="G650" s="559" t="str">
        <f t="shared" si="60"/>
        <v/>
      </c>
      <c r="H650" s="559" t="str">
        <f t="shared" si="61"/>
        <v/>
      </c>
      <c r="I650" s="559" t="str">
        <f t="shared" si="62"/>
        <v/>
      </c>
    </row>
    <row r="651" spans="2:9">
      <c r="B651" s="555" t="str">
        <f t="shared" si="57"/>
        <v/>
      </c>
      <c r="C651" s="556" t="str">
        <f t="shared" si="58"/>
        <v/>
      </c>
      <c r="D651" s="557" t="str">
        <f t="shared" si="59"/>
        <v/>
      </c>
      <c r="E651" s="560"/>
      <c r="F651" s="559"/>
      <c r="G651" s="559" t="str">
        <f t="shared" si="60"/>
        <v/>
      </c>
      <c r="H651" s="559" t="str">
        <f t="shared" si="61"/>
        <v/>
      </c>
      <c r="I651" s="559" t="str">
        <f t="shared" si="62"/>
        <v/>
      </c>
    </row>
    <row r="652" spans="2:9">
      <c r="B652" s="555" t="str">
        <f t="shared" si="57"/>
        <v/>
      </c>
      <c r="C652" s="556" t="str">
        <f t="shared" si="58"/>
        <v/>
      </c>
      <c r="D652" s="557" t="str">
        <f t="shared" si="59"/>
        <v/>
      </c>
      <c r="E652" s="560"/>
      <c r="F652" s="559"/>
      <c r="G652" s="559" t="str">
        <f t="shared" si="60"/>
        <v/>
      </c>
      <c r="H652" s="559" t="str">
        <f t="shared" si="61"/>
        <v/>
      </c>
      <c r="I652" s="559" t="str">
        <f t="shared" si="62"/>
        <v/>
      </c>
    </row>
    <row r="653" spans="2:9">
      <c r="B653" s="555" t="str">
        <f t="shared" si="57"/>
        <v/>
      </c>
      <c r="C653" s="556" t="str">
        <f t="shared" si="58"/>
        <v/>
      </c>
      <c r="D653" s="557" t="str">
        <f t="shared" si="59"/>
        <v/>
      </c>
      <c r="E653" s="560"/>
      <c r="F653" s="559"/>
      <c r="G653" s="559" t="str">
        <f t="shared" si="60"/>
        <v/>
      </c>
      <c r="H653" s="559" t="str">
        <f t="shared" si="61"/>
        <v/>
      </c>
      <c r="I653" s="559" t="str">
        <f t="shared" si="62"/>
        <v/>
      </c>
    </row>
    <row r="654" spans="2:9">
      <c r="B654" s="555" t="str">
        <f t="shared" si="57"/>
        <v/>
      </c>
      <c r="C654" s="556" t="str">
        <f t="shared" si="58"/>
        <v/>
      </c>
      <c r="D654" s="557" t="str">
        <f t="shared" si="59"/>
        <v/>
      </c>
      <c r="E654" s="560"/>
      <c r="F654" s="559"/>
      <c r="G654" s="559" t="str">
        <f t="shared" si="60"/>
        <v/>
      </c>
      <c r="H654" s="559" t="str">
        <f t="shared" si="61"/>
        <v/>
      </c>
      <c r="I654" s="559" t="str">
        <f t="shared" si="62"/>
        <v/>
      </c>
    </row>
    <row r="655" spans="2:9">
      <c r="B655" s="555" t="str">
        <f t="shared" si="57"/>
        <v/>
      </c>
      <c r="C655" s="556" t="str">
        <f t="shared" si="58"/>
        <v/>
      </c>
      <c r="D655" s="557" t="str">
        <f t="shared" si="59"/>
        <v/>
      </c>
      <c r="E655" s="560"/>
      <c r="F655" s="559"/>
      <c r="G655" s="559" t="str">
        <f t="shared" si="60"/>
        <v/>
      </c>
      <c r="H655" s="559" t="str">
        <f t="shared" si="61"/>
        <v/>
      </c>
      <c r="I655" s="559" t="str">
        <f t="shared" si="62"/>
        <v/>
      </c>
    </row>
    <row r="656" spans="2:9">
      <c r="B656" s="555" t="str">
        <f t="shared" si="57"/>
        <v/>
      </c>
      <c r="C656" s="556" t="str">
        <f t="shared" si="58"/>
        <v/>
      </c>
      <c r="D656" s="557" t="str">
        <f t="shared" si="59"/>
        <v/>
      </c>
      <c r="E656" s="560"/>
      <c r="F656" s="559"/>
      <c r="G656" s="559" t="str">
        <f t="shared" si="60"/>
        <v/>
      </c>
      <c r="H656" s="559" t="str">
        <f t="shared" si="61"/>
        <v/>
      </c>
      <c r="I656" s="559" t="str">
        <f t="shared" si="62"/>
        <v/>
      </c>
    </row>
    <row r="657" spans="2:9">
      <c r="B657" s="555" t="str">
        <f t="shared" si="57"/>
        <v/>
      </c>
      <c r="C657" s="556" t="str">
        <f t="shared" si="58"/>
        <v/>
      </c>
      <c r="D657" s="557" t="str">
        <f t="shared" si="59"/>
        <v/>
      </c>
      <c r="E657" s="560"/>
      <c r="F657" s="559"/>
      <c r="G657" s="559" t="str">
        <f t="shared" si="60"/>
        <v/>
      </c>
      <c r="H657" s="559" t="str">
        <f t="shared" si="61"/>
        <v/>
      </c>
      <c r="I657" s="559" t="str">
        <f t="shared" si="62"/>
        <v/>
      </c>
    </row>
    <row r="658" spans="2:9">
      <c r="B658" s="555" t="str">
        <f t="shared" si="57"/>
        <v/>
      </c>
      <c r="C658" s="556" t="str">
        <f t="shared" si="58"/>
        <v/>
      </c>
      <c r="D658" s="557" t="str">
        <f t="shared" si="59"/>
        <v/>
      </c>
      <c r="E658" s="560"/>
      <c r="F658" s="559"/>
      <c r="G658" s="559" t="str">
        <f t="shared" si="60"/>
        <v/>
      </c>
      <c r="H658" s="559" t="str">
        <f t="shared" si="61"/>
        <v/>
      </c>
      <c r="I658" s="559" t="str">
        <f t="shared" si="62"/>
        <v/>
      </c>
    </row>
    <row r="659" spans="2:9">
      <c r="B659" s="555" t="str">
        <f t="shared" si="57"/>
        <v/>
      </c>
      <c r="C659" s="556" t="str">
        <f t="shared" si="58"/>
        <v/>
      </c>
      <c r="D659" s="557" t="str">
        <f t="shared" si="59"/>
        <v/>
      </c>
      <c r="E659" s="560"/>
      <c r="F659" s="559"/>
      <c r="G659" s="559" t="str">
        <f t="shared" si="60"/>
        <v/>
      </c>
      <c r="H659" s="559" t="str">
        <f t="shared" si="61"/>
        <v/>
      </c>
      <c r="I659" s="559" t="str">
        <f t="shared" si="62"/>
        <v/>
      </c>
    </row>
    <row r="660" spans="2:9">
      <c r="B660" s="555" t="str">
        <f t="shared" si="57"/>
        <v/>
      </c>
      <c r="C660" s="556" t="str">
        <f t="shared" si="58"/>
        <v/>
      </c>
      <c r="D660" s="557" t="str">
        <f t="shared" si="59"/>
        <v/>
      </c>
      <c r="E660" s="560"/>
      <c r="F660" s="559"/>
      <c r="G660" s="559" t="str">
        <f t="shared" si="60"/>
        <v/>
      </c>
      <c r="H660" s="559" t="str">
        <f t="shared" si="61"/>
        <v/>
      </c>
      <c r="I660" s="559" t="str">
        <f t="shared" si="62"/>
        <v/>
      </c>
    </row>
    <row r="661" spans="2:9">
      <c r="B661" s="555" t="str">
        <f t="shared" si="57"/>
        <v/>
      </c>
      <c r="C661" s="556" t="str">
        <f t="shared" si="58"/>
        <v/>
      </c>
      <c r="D661" s="557" t="str">
        <f t="shared" si="59"/>
        <v/>
      </c>
      <c r="E661" s="560"/>
      <c r="F661" s="559"/>
      <c r="G661" s="559" t="str">
        <f t="shared" si="60"/>
        <v/>
      </c>
      <c r="H661" s="559" t="str">
        <f t="shared" si="61"/>
        <v/>
      </c>
      <c r="I661" s="559" t="str">
        <f t="shared" si="62"/>
        <v/>
      </c>
    </row>
    <row r="662" spans="2:9">
      <c r="B662" s="555" t="str">
        <f t="shared" si="57"/>
        <v/>
      </c>
      <c r="C662" s="556" t="str">
        <f t="shared" si="58"/>
        <v/>
      </c>
      <c r="D662" s="557" t="str">
        <f t="shared" si="59"/>
        <v/>
      </c>
      <c r="E662" s="560"/>
      <c r="F662" s="559"/>
      <c r="G662" s="559" t="str">
        <f t="shared" si="60"/>
        <v/>
      </c>
      <c r="H662" s="559" t="str">
        <f t="shared" si="61"/>
        <v/>
      </c>
      <c r="I662" s="559" t="str">
        <f t="shared" si="62"/>
        <v/>
      </c>
    </row>
    <row r="663" spans="2:9">
      <c r="B663" s="555" t="str">
        <f t="shared" si="57"/>
        <v/>
      </c>
      <c r="C663" s="556" t="str">
        <f t="shared" si="58"/>
        <v/>
      </c>
      <c r="D663" s="557" t="str">
        <f t="shared" si="59"/>
        <v/>
      </c>
      <c r="E663" s="560"/>
      <c r="F663" s="559"/>
      <c r="G663" s="559" t="str">
        <f t="shared" si="60"/>
        <v/>
      </c>
      <c r="H663" s="559" t="str">
        <f t="shared" si="61"/>
        <v/>
      </c>
      <c r="I663" s="559" t="str">
        <f t="shared" si="62"/>
        <v/>
      </c>
    </row>
    <row r="664" spans="2:9">
      <c r="B664" s="555" t="str">
        <f t="shared" si="57"/>
        <v/>
      </c>
      <c r="C664" s="556" t="str">
        <f t="shared" si="58"/>
        <v/>
      </c>
      <c r="D664" s="557" t="str">
        <f t="shared" si="59"/>
        <v/>
      </c>
      <c r="E664" s="560"/>
      <c r="F664" s="559"/>
      <c r="G664" s="559" t="str">
        <f t="shared" si="60"/>
        <v/>
      </c>
      <c r="H664" s="559" t="str">
        <f t="shared" si="61"/>
        <v/>
      </c>
      <c r="I664" s="559" t="str">
        <f t="shared" si="62"/>
        <v/>
      </c>
    </row>
    <row r="665" spans="2:9">
      <c r="B665" s="555" t="str">
        <f t="shared" si="57"/>
        <v/>
      </c>
      <c r="C665" s="556" t="str">
        <f t="shared" si="58"/>
        <v/>
      </c>
      <c r="D665" s="557" t="str">
        <f t="shared" si="59"/>
        <v/>
      </c>
      <c r="E665" s="560"/>
      <c r="F665" s="559"/>
      <c r="G665" s="559" t="str">
        <f t="shared" si="60"/>
        <v/>
      </c>
      <c r="H665" s="559" t="str">
        <f t="shared" si="61"/>
        <v/>
      </c>
      <c r="I665" s="559" t="str">
        <f t="shared" si="62"/>
        <v/>
      </c>
    </row>
    <row r="666" spans="2:9">
      <c r="B666" s="555" t="str">
        <f t="shared" si="57"/>
        <v/>
      </c>
      <c r="C666" s="556" t="str">
        <f t="shared" si="58"/>
        <v/>
      </c>
      <c r="D666" s="557" t="str">
        <f t="shared" si="59"/>
        <v/>
      </c>
      <c r="E666" s="560"/>
      <c r="F666" s="559"/>
      <c r="G666" s="559" t="str">
        <f t="shared" si="60"/>
        <v/>
      </c>
      <c r="H666" s="559" t="str">
        <f t="shared" si="61"/>
        <v/>
      </c>
      <c r="I666" s="559" t="str">
        <f t="shared" si="62"/>
        <v/>
      </c>
    </row>
    <row r="667" spans="2:9">
      <c r="B667" s="555" t="str">
        <f t="shared" si="57"/>
        <v/>
      </c>
      <c r="C667" s="556" t="str">
        <f t="shared" si="58"/>
        <v/>
      </c>
      <c r="D667" s="557" t="str">
        <f t="shared" si="59"/>
        <v/>
      </c>
      <c r="E667" s="560"/>
      <c r="F667" s="559"/>
      <c r="G667" s="559" t="str">
        <f t="shared" si="60"/>
        <v/>
      </c>
      <c r="H667" s="559" t="str">
        <f t="shared" si="61"/>
        <v/>
      </c>
      <c r="I667" s="559" t="str">
        <f t="shared" si="62"/>
        <v/>
      </c>
    </row>
    <row r="668" spans="2:9">
      <c r="B668" s="555" t="str">
        <f t="shared" si="57"/>
        <v/>
      </c>
      <c r="C668" s="556" t="str">
        <f t="shared" si="58"/>
        <v/>
      </c>
      <c r="D668" s="557" t="str">
        <f t="shared" si="59"/>
        <v/>
      </c>
      <c r="E668" s="560"/>
      <c r="F668" s="559"/>
      <c r="G668" s="559" t="str">
        <f t="shared" si="60"/>
        <v/>
      </c>
      <c r="H668" s="559" t="str">
        <f t="shared" si="61"/>
        <v/>
      </c>
      <c r="I668" s="559" t="str">
        <f t="shared" si="62"/>
        <v/>
      </c>
    </row>
    <row r="669" spans="2:9">
      <c r="B669" s="555" t="str">
        <f t="shared" si="57"/>
        <v/>
      </c>
      <c r="C669" s="556" t="str">
        <f t="shared" si="58"/>
        <v/>
      </c>
      <c r="D669" s="557" t="str">
        <f t="shared" si="59"/>
        <v/>
      </c>
      <c r="E669" s="560"/>
      <c r="F669" s="559"/>
      <c r="G669" s="559" t="str">
        <f t="shared" si="60"/>
        <v/>
      </c>
      <c r="H669" s="559" t="str">
        <f t="shared" si="61"/>
        <v/>
      </c>
      <c r="I669" s="559" t="str">
        <f t="shared" si="62"/>
        <v/>
      </c>
    </row>
    <row r="670" spans="2:9">
      <c r="B670" s="555" t="str">
        <f t="shared" si="57"/>
        <v/>
      </c>
      <c r="C670" s="556" t="str">
        <f t="shared" si="58"/>
        <v/>
      </c>
      <c r="D670" s="557" t="str">
        <f t="shared" si="59"/>
        <v/>
      </c>
      <c r="E670" s="560"/>
      <c r="F670" s="559"/>
      <c r="G670" s="559" t="str">
        <f t="shared" si="60"/>
        <v/>
      </c>
      <c r="H670" s="559" t="str">
        <f t="shared" si="61"/>
        <v/>
      </c>
      <c r="I670" s="559" t="str">
        <f t="shared" si="62"/>
        <v/>
      </c>
    </row>
    <row r="671" spans="2:9">
      <c r="B671" s="555" t="str">
        <f t="shared" si="57"/>
        <v/>
      </c>
      <c r="C671" s="556" t="str">
        <f t="shared" si="58"/>
        <v/>
      </c>
      <c r="D671" s="557" t="str">
        <f t="shared" si="59"/>
        <v/>
      </c>
      <c r="E671" s="560"/>
      <c r="F671" s="559"/>
      <c r="G671" s="559" t="str">
        <f t="shared" si="60"/>
        <v/>
      </c>
      <c r="H671" s="559" t="str">
        <f t="shared" si="61"/>
        <v/>
      </c>
      <c r="I671" s="559" t="str">
        <f t="shared" si="62"/>
        <v/>
      </c>
    </row>
    <row r="672" spans="2:9">
      <c r="B672" s="555" t="str">
        <f t="shared" si="57"/>
        <v/>
      </c>
      <c r="C672" s="556" t="str">
        <f t="shared" si="58"/>
        <v/>
      </c>
      <c r="D672" s="557" t="str">
        <f t="shared" si="59"/>
        <v/>
      </c>
      <c r="E672" s="560"/>
      <c r="F672" s="559"/>
      <c r="G672" s="559" t="str">
        <f t="shared" si="60"/>
        <v/>
      </c>
      <c r="H672" s="559" t="str">
        <f t="shared" si="61"/>
        <v/>
      </c>
      <c r="I672" s="559" t="str">
        <f t="shared" si="62"/>
        <v/>
      </c>
    </row>
    <row r="673" spans="2:9">
      <c r="B673" s="555" t="str">
        <f t="shared" si="57"/>
        <v/>
      </c>
      <c r="C673" s="556" t="str">
        <f t="shared" si="58"/>
        <v/>
      </c>
      <c r="D673" s="557" t="str">
        <f t="shared" si="59"/>
        <v/>
      </c>
      <c r="E673" s="560"/>
      <c r="F673" s="559"/>
      <c r="G673" s="559" t="str">
        <f t="shared" si="60"/>
        <v/>
      </c>
      <c r="H673" s="559" t="str">
        <f t="shared" si="61"/>
        <v/>
      </c>
      <c r="I673" s="559" t="str">
        <f t="shared" si="62"/>
        <v/>
      </c>
    </row>
    <row r="674" spans="2:9">
      <c r="B674" s="555" t="str">
        <f t="shared" si="57"/>
        <v/>
      </c>
      <c r="C674" s="556" t="str">
        <f t="shared" si="58"/>
        <v/>
      </c>
      <c r="D674" s="557" t="str">
        <f t="shared" si="59"/>
        <v/>
      </c>
      <c r="E674" s="560"/>
      <c r="F674" s="559"/>
      <c r="G674" s="559" t="str">
        <f t="shared" si="60"/>
        <v/>
      </c>
      <c r="H674" s="559" t="str">
        <f t="shared" si="61"/>
        <v/>
      </c>
      <c r="I674" s="559" t="str">
        <f t="shared" si="62"/>
        <v/>
      </c>
    </row>
    <row r="675" spans="2:9">
      <c r="B675" s="555" t="str">
        <f t="shared" si="57"/>
        <v/>
      </c>
      <c r="C675" s="556" t="str">
        <f t="shared" si="58"/>
        <v/>
      </c>
      <c r="D675" s="557" t="str">
        <f t="shared" si="59"/>
        <v/>
      </c>
      <c r="E675" s="560"/>
      <c r="F675" s="559"/>
      <c r="G675" s="559" t="str">
        <f t="shared" si="60"/>
        <v/>
      </c>
      <c r="H675" s="559" t="str">
        <f t="shared" si="61"/>
        <v/>
      </c>
      <c r="I675" s="559" t="str">
        <f t="shared" si="62"/>
        <v/>
      </c>
    </row>
    <row r="676" spans="2:9">
      <c r="B676" s="555" t="str">
        <f t="shared" si="57"/>
        <v/>
      </c>
      <c r="C676" s="556" t="str">
        <f t="shared" si="58"/>
        <v/>
      </c>
      <c r="D676" s="557" t="str">
        <f t="shared" si="59"/>
        <v/>
      </c>
      <c r="E676" s="560"/>
      <c r="F676" s="559"/>
      <c r="G676" s="559" t="str">
        <f t="shared" si="60"/>
        <v/>
      </c>
      <c r="H676" s="559" t="str">
        <f t="shared" si="61"/>
        <v/>
      </c>
      <c r="I676" s="559" t="str">
        <f t="shared" si="62"/>
        <v/>
      </c>
    </row>
    <row r="677" spans="2:9">
      <c r="B677" s="555" t="str">
        <f t="shared" si="57"/>
        <v/>
      </c>
      <c r="C677" s="556" t="str">
        <f t="shared" si="58"/>
        <v/>
      </c>
      <c r="D677" s="557" t="str">
        <f t="shared" si="59"/>
        <v/>
      </c>
      <c r="E677" s="560"/>
      <c r="F677" s="559"/>
      <c r="G677" s="559" t="str">
        <f t="shared" si="60"/>
        <v/>
      </c>
      <c r="H677" s="559" t="str">
        <f t="shared" si="61"/>
        <v/>
      </c>
      <c r="I677" s="559" t="str">
        <f t="shared" si="62"/>
        <v/>
      </c>
    </row>
    <row r="678" spans="2:9">
      <c r="B678" s="555" t="str">
        <f t="shared" si="57"/>
        <v/>
      </c>
      <c r="C678" s="556" t="str">
        <f t="shared" si="58"/>
        <v/>
      </c>
      <c r="D678" s="557" t="str">
        <f t="shared" si="59"/>
        <v/>
      </c>
      <c r="E678" s="560"/>
      <c r="F678" s="559"/>
      <c r="G678" s="559" t="str">
        <f t="shared" si="60"/>
        <v/>
      </c>
      <c r="H678" s="559" t="str">
        <f t="shared" si="61"/>
        <v/>
      </c>
      <c r="I678" s="559" t="str">
        <f t="shared" si="62"/>
        <v/>
      </c>
    </row>
    <row r="679" spans="2:9">
      <c r="B679" s="555" t="str">
        <f t="shared" si="57"/>
        <v/>
      </c>
      <c r="C679" s="556" t="str">
        <f t="shared" si="58"/>
        <v/>
      </c>
      <c r="D679" s="557" t="str">
        <f t="shared" si="59"/>
        <v/>
      </c>
      <c r="E679" s="560"/>
      <c r="F679" s="559"/>
      <c r="G679" s="559" t="str">
        <f t="shared" si="60"/>
        <v/>
      </c>
      <c r="H679" s="559" t="str">
        <f t="shared" si="61"/>
        <v/>
      </c>
      <c r="I679" s="559" t="str">
        <f t="shared" si="62"/>
        <v/>
      </c>
    </row>
    <row r="680" spans="2:9">
      <c r="B680" s="555" t="str">
        <f t="shared" si="57"/>
        <v/>
      </c>
      <c r="C680" s="556" t="str">
        <f t="shared" si="58"/>
        <v/>
      </c>
      <c r="D680" s="557" t="str">
        <f t="shared" si="59"/>
        <v/>
      </c>
      <c r="E680" s="560"/>
      <c r="F680" s="559"/>
      <c r="G680" s="559" t="str">
        <f t="shared" si="60"/>
        <v/>
      </c>
      <c r="H680" s="559" t="str">
        <f t="shared" si="61"/>
        <v/>
      </c>
      <c r="I680" s="559" t="str">
        <f t="shared" si="62"/>
        <v/>
      </c>
    </row>
    <row r="681" spans="2:9">
      <c r="B681" s="555" t="str">
        <f t="shared" si="57"/>
        <v/>
      </c>
      <c r="C681" s="556" t="str">
        <f t="shared" si="58"/>
        <v/>
      </c>
      <c r="D681" s="557" t="str">
        <f t="shared" si="59"/>
        <v/>
      </c>
      <c r="E681" s="560"/>
      <c r="F681" s="559"/>
      <c r="G681" s="559" t="str">
        <f t="shared" si="60"/>
        <v/>
      </c>
      <c r="H681" s="559" t="str">
        <f t="shared" si="61"/>
        <v/>
      </c>
      <c r="I681" s="559" t="str">
        <f t="shared" si="62"/>
        <v/>
      </c>
    </row>
    <row r="682" spans="2:9">
      <c r="B682" s="555" t="str">
        <f t="shared" si="57"/>
        <v/>
      </c>
      <c r="C682" s="556" t="str">
        <f t="shared" si="58"/>
        <v/>
      </c>
      <c r="D682" s="557" t="str">
        <f t="shared" si="59"/>
        <v/>
      </c>
      <c r="E682" s="560"/>
      <c r="F682" s="559"/>
      <c r="G682" s="559" t="str">
        <f t="shared" si="60"/>
        <v/>
      </c>
      <c r="H682" s="559" t="str">
        <f t="shared" si="61"/>
        <v/>
      </c>
      <c r="I682" s="559" t="str">
        <f t="shared" si="62"/>
        <v/>
      </c>
    </row>
    <row r="683" spans="2:9">
      <c r="B683" s="555" t="str">
        <f t="shared" si="57"/>
        <v/>
      </c>
      <c r="C683" s="556" t="str">
        <f t="shared" si="58"/>
        <v/>
      </c>
      <c r="D683" s="557" t="str">
        <f t="shared" si="59"/>
        <v/>
      </c>
      <c r="E683" s="560"/>
      <c r="F683" s="559"/>
      <c r="G683" s="559" t="str">
        <f t="shared" si="60"/>
        <v/>
      </c>
      <c r="H683" s="559" t="str">
        <f t="shared" si="61"/>
        <v/>
      </c>
      <c r="I683" s="559" t="str">
        <f t="shared" si="62"/>
        <v/>
      </c>
    </row>
    <row r="684" spans="2:9">
      <c r="B684" s="555" t="str">
        <f t="shared" si="57"/>
        <v/>
      </c>
      <c r="C684" s="556" t="str">
        <f t="shared" si="58"/>
        <v/>
      </c>
      <c r="D684" s="557" t="str">
        <f t="shared" si="59"/>
        <v/>
      </c>
      <c r="E684" s="560"/>
      <c r="F684" s="559"/>
      <c r="G684" s="559" t="str">
        <f t="shared" si="60"/>
        <v/>
      </c>
      <c r="H684" s="559" t="str">
        <f t="shared" si="61"/>
        <v/>
      </c>
      <c r="I684" s="559" t="str">
        <f t="shared" si="62"/>
        <v/>
      </c>
    </row>
    <row r="685" spans="2:9">
      <c r="B685" s="555" t="str">
        <f t="shared" si="57"/>
        <v/>
      </c>
      <c r="C685" s="556" t="str">
        <f t="shared" si="58"/>
        <v/>
      </c>
      <c r="D685" s="557" t="str">
        <f t="shared" si="59"/>
        <v/>
      </c>
      <c r="E685" s="560"/>
      <c r="F685" s="559"/>
      <c r="G685" s="559" t="str">
        <f t="shared" si="60"/>
        <v/>
      </c>
      <c r="H685" s="559" t="str">
        <f t="shared" si="61"/>
        <v/>
      </c>
      <c r="I685" s="559" t="str">
        <f t="shared" si="62"/>
        <v/>
      </c>
    </row>
    <row r="686" spans="2:9">
      <c r="B686" s="555" t="str">
        <f t="shared" si="57"/>
        <v/>
      </c>
      <c r="C686" s="556" t="str">
        <f t="shared" si="58"/>
        <v/>
      </c>
      <c r="D686" s="557" t="str">
        <f t="shared" si="59"/>
        <v/>
      </c>
      <c r="E686" s="560"/>
      <c r="F686" s="559"/>
      <c r="G686" s="559" t="str">
        <f t="shared" si="60"/>
        <v/>
      </c>
      <c r="H686" s="559" t="str">
        <f t="shared" si="61"/>
        <v/>
      </c>
      <c r="I686" s="559" t="str">
        <f t="shared" si="62"/>
        <v/>
      </c>
    </row>
    <row r="687" spans="2:9">
      <c r="B687" s="555" t="str">
        <f t="shared" si="57"/>
        <v/>
      </c>
      <c r="C687" s="556" t="str">
        <f t="shared" si="58"/>
        <v/>
      </c>
      <c r="D687" s="557" t="str">
        <f t="shared" si="59"/>
        <v/>
      </c>
      <c r="E687" s="560"/>
      <c r="F687" s="559"/>
      <c r="G687" s="559" t="str">
        <f t="shared" si="60"/>
        <v/>
      </c>
      <c r="H687" s="559" t="str">
        <f t="shared" si="61"/>
        <v/>
      </c>
      <c r="I687" s="559" t="str">
        <f t="shared" si="62"/>
        <v/>
      </c>
    </row>
    <row r="688" spans="2:9">
      <c r="B688" s="555" t="str">
        <f t="shared" si="57"/>
        <v/>
      </c>
      <c r="C688" s="556" t="str">
        <f t="shared" si="58"/>
        <v/>
      </c>
      <c r="D688" s="557" t="str">
        <f t="shared" si="59"/>
        <v/>
      </c>
      <c r="E688" s="560"/>
      <c r="F688" s="559"/>
      <c r="G688" s="559" t="str">
        <f t="shared" si="60"/>
        <v/>
      </c>
      <c r="H688" s="559" t="str">
        <f t="shared" si="61"/>
        <v/>
      </c>
      <c r="I688" s="559" t="str">
        <f t="shared" si="62"/>
        <v/>
      </c>
    </row>
    <row r="689" spans="2:9">
      <c r="B689" s="555" t="str">
        <f t="shared" si="57"/>
        <v/>
      </c>
      <c r="C689" s="556" t="str">
        <f t="shared" si="58"/>
        <v/>
      </c>
      <c r="D689" s="557" t="str">
        <f t="shared" si="59"/>
        <v/>
      </c>
      <c r="E689" s="560"/>
      <c r="F689" s="559"/>
      <c r="G689" s="559" t="str">
        <f t="shared" si="60"/>
        <v/>
      </c>
      <c r="H689" s="559" t="str">
        <f t="shared" si="61"/>
        <v/>
      </c>
      <c r="I689" s="559" t="str">
        <f t="shared" si="62"/>
        <v/>
      </c>
    </row>
    <row r="690" spans="2:9">
      <c r="B690" s="555" t="str">
        <f t="shared" si="57"/>
        <v/>
      </c>
      <c r="C690" s="556" t="str">
        <f t="shared" si="58"/>
        <v/>
      </c>
      <c r="D690" s="557" t="str">
        <f t="shared" si="59"/>
        <v/>
      </c>
      <c r="E690" s="560"/>
      <c r="F690" s="559"/>
      <c r="G690" s="559" t="str">
        <f t="shared" si="60"/>
        <v/>
      </c>
      <c r="H690" s="559" t="str">
        <f t="shared" si="61"/>
        <v/>
      </c>
      <c r="I690" s="559" t="str">
        <f t="shared" si="62"/>
        <v/>
      </c>
    </row>
    <row r="691" spans="2:9">
      <c r="B691" s="555" t="str">
        <f t="shared" si="57"/>
        <v/>
      </c>
      <c r="C691" s="556" t="str">
        <f t="shared" si="58"/>
        <v/>
      </c>
      <c r="D691" s="557" t="str">
        <f t="shared" si="59"/>
        <v/>
      </c>
      <c r="E691" s="560"/>
      <c r="F691" s="559"/>
      <c r="G691" s="559" t="str">
        <f t="shared" si="60"/>
        <v/>
      </c>
      <c r="H691" s="559" t="str">
        <f t="shared" si="61"/>
        <v/>
      </c>
      <c r="I691" s="559" t="str">
        <f t="shared" si="62"/>
        <v/>
      </c>
    </row>
    <row r="692" spans="2:9">
      <c r="B692" s="555" t="str">
        <f t="shared" si="57"/>
        <v/>
      </c>
      <c r="C692" s="556" t="str">
        <f t="shared" si="58"/>
        <v/>
      </c>
      <c r="D692" s="557" t="str">
        <f t="shared" si="59"/>
        <v/>
      </c>
      <c r="E692" s="560"/>
      <c r="F692" s="559"/>
      <c r="G692" s="559" t="str">
        <f t="shared" si="60"/>
        <v/>
      </c>
      <c r="H692" s="559" t="str">
        <f t="shared" si="61"/>
        <v/>
      </c>
      <c r="I692" s="559" t="str">
        <f t="shared" si="62"/>
        <v/>
      </c>
    </row>
    <row r="693" spans="2:9">
      <c r="B693" s="555" t="str">
        <f t="shared" si="57"/>
        <v/>
      </c>
      <c r="C693" s="556" t="str">
        <f t="shared" si="58"/>
        <v/>
      </c>
      <c r="D693" s="557" t="str">
        <f t="shared" si="59"/>
        <v/>
      </c>
      <c r="E693" s="560"/>
      <c r="F693" s="559"/>
      <c r="G693" s="559" t="str">
        <f t="shared" si="60"/>
        <v/>
      </c>
      <c r="H693" s="559" t="str">
        <f t="shared" si="61"/>
        <v/>
      </c>
      <c r="I693" s="559" t="str">
        <f t="shared" si="62"/>
        <v/>
      </c>
    </row>
    <row r="694" spans="2:9">
      <c r="B694" s="555" t="str">
        <f t="shared" si="57"/>
        <v/>
      </c>
      <c r="C694" s="556" t="str">
        <f t="shared" si="58"/>
        <v/>
      </c>
      <c r="D694" s="557" t="str">
        <f t="shared" si="59"/>
        <v/>
      </c>
      <c r="E694" s="560"/>
      <c r="F694" s="559"/>
      <c r="G694" s="559" t="str">
        <f t="shared" si="60"/>
        <v/>
      </c>
      <c r="H694" s="559" t="str">
        <f t="shared" si="61"/>
        <v/>
      </c>
      <c r="I694" s="559" t="str">
        <f t="shared" si="62"/>
        <v/>
      </c>
    </row>
    <row r="695" spans="2:9">
      <c r="B695" s="555" t="str">
        <f t="shared" si="57"/>
        <v/>
      </c>
      <c r="C695" s="556" t="str">
        <f t="shared" si="58"/>
        <v/>
      </c>
      <c r="D695" s="557" t="str">
        <f t="shared" si="59"/>
        <v/>
      </c>
      <c r="E695" s="560"/>
      <c r="F695" s="559"/>
      <c r="G695" s="559" t="str">
        <f t="shared" si="60"/>
        <v/>
      </c>
      <c r="H695" s="559" t="str">
        <f t="shared" si="61"/>
        <v/>
      </c>
      <c r="I695" s="559" t="str">
        <f t="shared" si="62"/>
        <v/>
      </c>
    </row>
    <row r="696" spans="2:9">
      <c r="B696" s="555" t="str">
        <f t="shared" si="57"/>
        <v/>
      </c>
      <c r="C696" s="556" t="str">
        <f t="shared" si="58"/>
        <v/>
      </c>
      <c r="D696" s="557" t="str">
        <f t="shared" si="59"/>
        <v/>
      </c>
      <c r="E696" s="560"/>
      <c r="F696" s="559"/>
      <c r="G696" s="559" t="str">
        <f t="shared" si="60"/>
        <v/>
      </c>
      <c r="H696" s="559" t="str">
        <f t="shared" si="61"/>
        <v/>
      </c>
      <c r="I696" s="559" t="str">
        <f t="shared" si="62"/>
        <v/>
      </c>
    </row>
    <row r="697" spans="2:9">
      <c r="B697" s="555" t="str">
        <f t="shared" si="57"/>
        <v/>
      </c>
      <c r="C697" s="556" t="str">
        <f t="shared" si="58"/>
        <v/>
      </c>
      <c r="D697" s="557" t="str">
        <f t="shared" si="59"/>
        <v/>
      </c>
      <c r="E697" s="560"/>
      <c r="F697" s="559"/>
      <c r="G697" s="559" t="str">
        <f t="shared" si="60"/>
        <v/>
      </c>
      <c r="H697" s="559" t="str">
        <f t="shared" si="61"/>
        <v/>
      </c>
      <c r="I697" s="559" t="str">
        <f t="shared" si="62"/>
        <v/>
      </c>
    </row>
    <row r="698" spans="2:9">
      <c r="B698" s="555" t="str">
        <f t="shared" si="57"/>
        <v/>
      </c>
      <c r="C698" s="556" t="str">
        <f t="shared" si="58"/>
        <v/>
      </c>
      <c r="D698" s="557" t="str">
        <f t="shared" si="59"/>
        <v/>
      </c>
      <c r="E698" s="560"/>
      <c r="F698" s="559"/>
      <c r="G698" s="559" t="str">
        <f t="shared" si="60"/>
        <v/>
      </c>
      <c r="H698" s="559" t="str">
        <f t="shared" si="61"/>
        <v/>
      </c>
      <c r="I698" s="559" t="str">
        <f t="shared" si="62"/>
        <v/>
      </c>
    </row>
    <row r="699" spans="2:9">
      <c r="B699" s="555" t="str">
        <f t="shared" si="57"/>
        <v/>
      </c>
      <c r="C699" s="556" t="str">
        <f t="shared" si="58"/>
        <v/>
      </c>
      <c r="D699" s="557" t="str">
        <f t="shared" si="59"/>
        <v/>
      </c>
      <c r="E699" s="560"/>
      <c r="F699" s="559"/>
      <c r="G699" s="559" t="str">
        <f t="shared" si="60"/>
        <v/>
      </c>
      <c r="H699" s="559" t="str">
        <f t="shared" si="61"/>
        <v/>
      </c>
      <c r="I699" s="559" t="str">
        <f t="shared" si="62"/>
        <v/>
      </c>
    </row>
    <row r="700" spans="2:9">
      <c r="B700" s="555" t="str">
        <f t="shared" si="57"/>
        <v/>
      </c>
      <c r="C700" s="556" t="str">
        <f t="shared" si="58"/>
        <v/>
      </c>
      <c r="D700" s="557" t="str">
        <f t="shared" si="59"/>
        <v/>
      </c>
      <c r="E700" s="560"/>
      <c r="F700" s="559"/>
      <c r="G700" s="559" t="str">
        <f t="shared" si="60"/>
        <v/>
      </c>
      <c r="H700" s="559" t="str">
        <f t="shared" si="61"/>
        <v/>
      </c>
      <c r="I700" s="559" t="str">
        <f t="shared" si="62"/>
        <v/>
      </c>
    </row>
    <row r="701" spans="2:9">
      <c r="B701" s="555" t="str">
        <f t="shared" ref="B701:B764" si="63">IF(I700="","",IF(roundOpt,IF(OR(B700&gt;=nper,ROUND(I700,2)&lt;=0),"",B700+1),IF(OR(B700&gt;=nper,I700&lt;=0),"",B700+1)))</f>
        <v/>
      </c>
      <c r="C701" s="556" t="str">
        <f t="shared" ref="C701:C764" si="64">IF(B701="","",IF(OR(periods_per_year=26,periods_per_year=52),IF(periods_per_year=26,IF(B701=1,fpdate,C700+14),IF(periods_per_year=52,IF(B701=1,fpdate,C700+7),"n/a")),IF(periods_per_year=24,DATE(YEAR(fpdate),MONTH(fpdate)+(B701-1)/2+IF(AND(DAY(fpdate)&gt;=15,MOD(B701,2)=0),1,0),IF(MOD(B701,2)=0,IF(DAY(fpdate)&gt;=15,DAY(fpdate)-14,DAY(fpdate)+14),DAY(fpdate))),IF(DAY(DATE(YEAR(fpdate),MONTH(fpdate)+(B701-1)*months_per_period,DAY(fpdate)))&lt;&gt;DAY(fpdate),DATE(YEAR(fpdate),MONTH(fpdate)+(B701-1)*months_per_period+1,0),DATE(YEAR(fpdate),MONTH(fpdate)+(B701-1)*months_per_period,DAY(fpdate))))))</f>
        <v/>
      </c>
      <c r="D701" s="557" t="str">
        <f t="shared" ref="D701:D764" si="65">IF(B701="","",IF(roundOpt,IF(OR(B701=nper,payment&gt;ROUND((1+rate)*I700,2)),ROUND((1+rate)*I700,2),payment),IF(OR(B701=nper,payment&gt;(1+rate)*I700),(1+rate)*I700,payment)))</f>
        <v/>
      </c>
      <c r="E701" s="560"/>
      <c r="F701" s="559"/>
      <c r="G701" s="559" t="str">
        <f t="shared" ref="G701:G764" si="66">IF(B701="","",IF(AND(B701=1,pmtType=1),0,IF(roundOpt,ROUND(rate*I700,2),rate*I700)))</f>
        <v/>
      </c>
      <c r="H701" s="559" t="str">
        <f t="shared" ref="H701:H764" si="67">IF(B701="","",D701-G701+E701)</f>
        <v/>
      </c>
      <c r="I701" s="559" t="str">
        <f t="shared" ref="I701:I764" si="68">IF(B701="","",I700-H701)</f>
        <v/>
      </c>
    </row>
    <row r="702" spans="2:9">
      <c r="B702" s="555" t="str">
        <f t="shared" si="63"/>
        <v/>
      </c>
      <c r="C702" s="556" t="str">
        <f t="shared" si="64"/>
        <v/>
      </c>
      <c r="D702" s="557" t="str">
        <f t="shared" si="65"/>
        <v/>
      </c>
      <c r="E702" s="560"/>
      <c r="F702" s="559"/>
      <c r="G702" s="559" t="str">
        <f t="shared" si="66"/>
        <v/>
      </c>
      <c r="H702" s="559" t="str">
        <f t="shared" si="67"/>
        <v/>
      </c>
      <c r="I702" s="559" t="str">
        <f t="shared" si="68"/>
        <v/>
      </c>
    </row>
    <row r="703" spans="2:9">
      <c r="B703" s="555" t="str">
        <f t="shared" si="63"/>
        <v/>
      </c>
      <c r="C703" s="556" t="str">
        <f t="shared" si="64"/>
        <v/>
      </c>
      <c r="D703" s="557" t="str">
        <f t="shared" si="65"/>
        <v/>
      </c>
      <c r="E703" s="560"/>
      <c r="F703" s="559"/>
      <c r="G703" s="559" t="str">
        <f t="shared" si="66"/>
        <v/>
      </c>
      <c r="H703" s="559" t="str">
        <f t="shared" si="67"/>
        <v/>
      </c>
      <c r="I703" s="559" t="str">
        <f t="shared" si="68"/>
        <v/>
      </c>
    </row>
    <row r="704" spans="2:9">
      <c r="B704" s="555" t="str">
        <f t="shared" si="63"/>
        <v/>
      </c>
      <c r="C704" s="556" t="str">
        <f t="shared" si="64"/>
        <v/>
      </c>
      <c r="D704" s="557" t="str">
        <f t="shared" si="65"/>
        <v/>
      </c>
      <c r="E704" s="560"/>
      <c r="F704" s="559"/>
      <c r="G704" s="559" t="str">
        <f t="shared" si="66"/>
        <v/>
      </c>
      <c r="H704" s="559" t="str">
        <f t="shared" si="67"/>
        <v/>
      </c>
      <c r="I704" s="559" t="str">
        <f t="shared" si="68"/>
        <v/>
      </c>
    </row>
    <row r="705" spans="2:9">
      <c r="B705" s="555" t="str">
        <f t="shared" si="63"/>
        <v/>
      </c>
      <c r="C705" s="556" t="str">
        <f t="shared" si="64"/>
        <v/>
      </c>
      <c r="D705" s="557" t="str">
        <f t="shared" si="65"/>
        <v/>
      </c>
      <c r="E705" s="560"/>
      <c r="F705" s="559"/>
      <c r="G705" s="559" t="str">
        <f t="shared" si="66"/>
        <v/>
      </c>
      <c r="H705" s="559" t="str">
        <f t="shared" si="67"/>
        <v/>
      </c>
      <c r="I705" s="559" t="str">
        <f t="shared" si="68"/>
        <v/>
      </c>
    </row>
    <row r="706" spans="2:9">
      <c r="B706" s="555" t="str">
        <f t="shared" si="63"/>
        <v/>
      </c>
      <c r="C706" s="556" t="str">
        <f t="shared" si="64"/>
        <v/>
      </c>
      <c r="D706" s="557" t="str">
        <f t="shared" si="65"/>
        <v/>
      </c>
      <c r="E706" s="560"/>
      <c r="F706" s="559"/>
      <c r="G706" s="559" t="str">
        <f t="shared" si="66"/>
        <v/>
      </c>
      <c r="H706" s="559" t="str">
        <f t="shared" si="67"/>
        <v/>
      </c>
      <c r="I706" s="559" t="str">
        <f t="shared" si="68"/>
        <v/>
      </c>
    </row>
    <row r="707" spans="2:9">
      <c r="B707" s="555" t="str">
        <f t="shared" si="63"/>
        <v/>
      </c>
      <c r="C707" s="556" t="str">
        <f t="shared" si="64"/>
        <v/>
      </c>
      <c r="D707" s="557" t="str">
        <f t="shared" si="65"/>
        <v/>
      </c>
      <c r="E707" s="560"/>
      <c r="F707" s="559"/>
      <c r="G707" s="559" t="str">
        <f t="shared" si="66"/>
        <v/>
      </c>
      <c r="H707" s="559" t="str">
        <f t="shared" si="67"/>
        <v/>
      </c>
      <c r="I707" s="559" t="str">
        <f t="shared" si="68"/>
        <v/>
      </c>
    </row>
    <row r="708" spans="2:9">
      <c r="B708" s="555" t="str">
        <f t="shared" si="63"/>
        <v/>
      </c>
      <c r="C708" s="556" t="str">
        <f t="shared" si="64"/>
        <v/>
      </c>
      <c r="D708" s="557" t="str">
        <f t="shared" si="65"/>
        <v/>
      </c>
      <c r="E708" s="560"/>
      <c r="F708" s="559"/>
      <c r="G708" s="559" t="str">
        <f t="shared" si="66"/>
        <v/>
      </c>
      <c r="H708" s="559" t="str">
        <f t="shared" si="67"/>
        <v/>
      </c>
      <c r="I708" s="559" t="str">
        <f t="shared" si="68"/>
        <v/>
      </c>
    </row>
    <row r="709" spans="2:9">
      <c r="B709" s="555" t="str">
        <f t="shared" si="63"/>
        <v/>
      </c>
      <c r="C709" s="556" t="str">
        <f t="shared" si="64"/>
        <v/>
      </c>
      <c r="D709" s="557" t="str">
        <f t="shared" si="65"/>
        <v/>
      </c>
      <c r="E709" s="560"/>
      <c r="F709" s="559"/>
      <c r="G709" s="559" t="str">
        <f t="shared" si="66"/>
        <v/>
      </c>
      <c r="H709" s="559" t="str">
        <f t="shared" si="67"/>
        <v/>
      </c>
      <c r="I709" s="559" t="str">
        <f t="shared" si="68"/>
        <v/>
      </c>
    </row>
    <row r="710" spans="2:9">
      <c r="B710" s="555" t="str">
        <f t="shared" si="63"/>
        <v/>
      </c>
      <c r="C710" s="556" t="str">
        <f t="shared" si="64"/>
        <v/>
      </c>
      <c r="D710" s="557" t="str">
        <f t="shared" si="65"/>
        <v/>
      </c>
      <c r="E710" s="560"/>
      <c r="F710" s="559"/>
      <c r="G710" s="559" t="str">
        <f t="shared" si="66"/>
        <v/>
      </c>
      <c r="H710" s="559" t="str">
        <f t="shared" si="67"/>
        <v/>
      </c>
      <c r="I710" s="559" t="str">
        <f t="shared" si="68"/>
        <v/>
      </c>
    </row>
    <row r="711" spans="2:9">
      <c r="B711" s="555" t="str">
        <f t="shared" si="63"/>
        <v/>
      </c>
      <c r="C711" s="556" t="str">
        <f t="shared" si="64"/>
        <v/>
      </c>
      <c r="D711" s="557" t="str">
        <f t="shared" si="65"/>
        <v/>
      </c>
      <c r="E711" s="560"/>
      <c r="F711" s="559"/>
      <c r="G711" s="559" t="str">
        <f t="shared" si="66"/>
        <v/>
      </c>
      <c r="H711" s="559" t="str">
        <f t="shared" si="67"/>
        <v/>
      </c>
      <c r="I711" s="559" t="str">
        <f t="shared" si="68"/>
        <v/>
      </c>
    </row>
    <row r="712" spans="2:9">
      <c r="B712" s="555" t="str">
        <f t="shared" si="63"/>
        <v/>
      </c>
      <c r="C712" s="556" t="str">
        <f t="shared" si="64"/>
        <v/>
      </c>
      <c r="D712" s="557" t="str">
        <f t="shared" si="65"/>
        <v/>
      </c>
      <c r="E712" s="560"/>
      <c r="F712" s="559"/>
      <c r="G712" s="559" t="str">
        <f t="shared" si="66"/>
        <v/>
      </c>
      <c r="H712" s="559" t="str">
        <f t="shared" si="67"/>
        <v/>
      </c>
      <c r="I712" s="559" t="str">
        <f t="shared" si="68"/>
        <v/>
      </c>
    </row>
    <row r="713" spans="2:9">
      <c r="B713" s="555" t="str">
        <f t="shared" si="63"/>
        <v/>
      </c>
      <c r="C713" s="556" t="str">
        <f t="shared" si="64"/>
        <v/>
      </c>
      <c r="D713" s="557" t="str">
        <f t="shared" si="65"/>
        <v/>
      </c>
      <c r="E713" s="560"/>
      <c r="F713" s="559"/>
      <c r="G713" s="559" t="str">
        <f t="shared" si="66"/>
        <v/>
      </c>
      <c r="H713" s="559" t="str">
        <f t="shared" si="67"/>
        <v/>
      </c>
      <c r="I713" s="559" t="str">
        <f t="shared" si="68"/>
        <v/>
      </c>
    </row>
    <row r="714" spans="2:9">
      <c r="B714" s="555" t="str">
        <f t="shared" si="63"/>
        <v/>
      </c>
      <c r="C714" s="556" t="str">
        <f t="shared" si="64"/>
        <v/>
      </c>
      <c r="D714" s="557" t="str">
        <f t="shared" si="65"/>
        <v/>
      </c>
      <c r="E714" s="560"/>
      <c r="F714" s="559"/>
      <c r="G714" s="559" t="str">
        <f t="shared" si="66"/>
        <v/>
      </c>
      <c r="H714" s="559" t="str">
        <f t="shared" si="67"/>
        <v/>
      </c>
      <c r="I714" s="559" t="str">
        <f t="shared" si="68"/>
        <v/>
      </c>
    </row>
    <row r="715" spans="2:9">
      <c r="B715" s="555" t="str">
        <f t="shared" si="63"/>
        <v/>
      </c>
      <c r="C715" s="556" t="str">
        <f t="shared" si="64"/>
        <v/>
      </c>
      <c r="D715" s="557" t="str">
        <f t="shared" si="65"/>
        <v/>
      </c>
      <c r="E715" s="560"/>
      <c r="F715" s="559"/>
      <c r="G715" s="559" t="str">
        <f t="shared" si="66"/>
        <v/>
      </c>
      <c r="H715" s="559" t="str">
        <f t="shared" si="67"/>
        <v/>
      </c>
      <c r="I715" s="559" t="str">
        <f t="shared" si="68"/>
        <v/>
      </c>
    </row>
    <row r="716" spans="2:9">
      <c r="B716" s="555" t="str">
        <f t="shared" si="63"/>
        <v/>
      </c>
      <c r="C716" s="556" t="str">
        <f t="shared" si="64"/>
        <v/>
      </c>
      <c r="D716" s="557" t="str">
        <f t="shared" si="65"/>
        <v/>
      </c>
      <c r="E716" s="560"/>
      <c r="F716" s="559"/>
      <c r="G716" s="559" t="str">
        <f t="shared" si="66"/>
        <v/>
      </c>
      <c r="H716" s="559" t="str">
        <f t="shared" si="67"/>
        <v/>
      </c>
      <c r="I716" s="559" t="str">
        <f t="shared" si="68"/>
        <v/>
      </c>
    </row>
    <row r="717" spans="2:9">
      <c r="B717" s="555" t="str">
        <f t="shared" si="63"/>
        <v/>
      </c>
      <c r="C717" s="556" t="str">
        <f t="shared" si="64"/>
        <v/>
      </c>
      <c r="D717" s="557" t="str">
        <f t="shared" si="65"/>
        <v/>
      </c>
      <c r="E717" s="560"/>
      <c r="F717" s="559"/>
      <c r="G717" s="559" t="str">
        <f t="shared" si="66"/>
        <v/>
      </c>
      <c r="H717" s="559" t="str">
        <f t="shared" si="67"/>
        <v/>
      </c>
      <c r="I717" s="559" t="str">
        <f t="shared" si="68"/>
        <v/>
      </c>
    </row>
    <row r="718" spans="2:9">
      <c r="B718" s="555" t="str">
        <f t="shared" si="63"/>
        <v/>
      </c>
      <c r="C718" s="556" t="str">
        <f t="shared" si="64"/>
        <v/>
      </c>
      <c r="D718" s="557" t="str">
        <f t="shared" si="65"/>
        <v/>
      </c>
      <c r="E718" s="560"/>
      <c r="F718" s="559"/>
      <c r="G718" s="559" t="str">
        <f t="shared" si="66"/>
        <v/>
      </c>
      <c r="H718" s="559" t="str">
        <f t="shared" si="67"/>
        <v/>
      </c>
      <c r="I718" s="559" t="str">
        <f t="shared" si="68"/>
        <v/>
      </c>
    </row>
    <row r="719" spans="2:9">
      <c r="B719" s="555" t="str">
        <f t="shared" si="63"/>
        <v/>
      </c>
      <c r="C719" s="556" t="str">
        <f t="shared" si="64"/>
        <v/>
      </c>
      <c r="D719" s="557" t="str">
        <f t="shared" si="65"/>
        <v/>
      </c>
      <c r="E719" s="560"/>
      <c r="F719" s="559"/>
      <c r="G719" s="559" t="str">
        <f t="shared" si="66"/>
        <v/>
      </c>
      <c r="H719" s="559" t="str">
        <f t="shared" si="67"/>
        <v/>
      </c>
      <c r="I719" s="559" t="str">
        <f t="shared" si="68"/>
        <v/>
      </c>
    </row>
    <row r="720" spans="2:9">
      <c r="B720" s="555" t="str">
        <f t="shared" si="63"/>
        <v/>
      </c>
      <c r="C720" s="556" t="str">
        <f t="shared" si="64"/>
        <v/>
      </c>
      <c r="D720" s="557" t="str">
        <f t="shared" si="65"/>
        <v/>
      </c>
      <c r="E720" s="560"/>
      <c r="F720" s="559"/>
      <c r="G720" s="559" t="str">
        <f t="shared" si="66"/>
        <v/>
      </c>
      <c r="H720" s="559" t="str">
        <f t="shared" si="67"/>
        <v/>
      </c>
      <c r="I720" s="559" t="str">
        <f t="shared" si="68"/>
        <v/>
      </c>
    </row>
    <row r="721" spans="2:9">
      <c r="B721" s="555" t="str">
        <f t="shared" si="63"/>
        <v/>
      </c>
      <c r="C721" s="556" t="str">
        <f t="shared" si="64"/>
        <v/>
      </c>
      <c r="D721" s="557" t="str">
        <f t="shared" si="65"/>
        <v/>
      </c>
      <c r="E721" s="560"/>
      <c r="F721" s="559"/>
      <c r="G721" s="559" t="str">
        <f t="shared" si="66"/>
        <v/>
      </c>
      <c r="H721" s="559" t="str">
        <f t="shared" si="67"/>
        <v/>
      </c>
      <c r="I721" s="559" t="str">
        <f t="shared" si="68"/>
        <v/>
      </c>
    </row>
    <row r="722" spans="2:9">
      <c r="B722" s="555" t="str">
        <f t="shared" si="63"/>
        <v/>
      </c>
      <c r="C722" s="556" t="str">
        <f t="shared" si="64"/>
        <v/>
      </c>
      <c r="D722" s="557" t="str">
        <f t="shared" si="65"/>
        <v/>
      </c>
      <c r="E722" s="560"/>
      <c r="F722" s="559"/>
      <c r="G722" s="559" t="str">
        <f t="shared" si="66"/>
        <v/>
      </c>
      <c r="H722" s="559" t="str">
        <f t="shared" si="67"/>
        <v/>
      </c>
      <c r="I722" s="559" t="str">
        <f t="shared" si="68"/>
        <v/>
      </c>
    </row>
    <row r="723" spans="2:9">
      <c r="B723" s="555" t="str">
        <f t="shared" si="63"/>
        <v/>
      </c>
      <c r="C723" s="556" t="str">
        <f t="shared" si="64"/>
        <v/>
      </c>
      <c r="D723" s="557" t="str">
        <f t="shared" si="65"/>
        <v/>
      </c>
      <c r="E723" s="560"/>
      <c r="F723" s="559"/>
      <c r="G723" s="559" t="str">
        <f t="shared" si="66"/>
        <v/>
      </c>
      <c r="H723" s="559" t="str">
        <f t="shared" si="67"/>
        <v/>
      </c>
      <c r="I723" s="559" t="str">
        <f t="shared" si="68"/>
        <v/>
      </c>
    </row>
    <row r="724" spans="2:9">
      <c r="B724" s="555" t="str">
        <f t="shared" si="63"/>
        <v/>
      </c>
      <c r="C724" s="556" t="str">
        <f t="shared" si="64"/>
        <v/>
      </c>
      <c r="D724" s="557" t="str">
        <f t="shared" si="65"/>
        <v/>
      </c>
      <c r="E724" s="560"/>
      <c r="F724" s="559"/>
      <c r="G724" s="559" t="str">
        <f t="shared" si="66"/>
        <v/>
      </c>
      <c r="H724" s="559" t="str">
        <f t="shared" si="67"/>
        <v/>
      </c>
      <c r="I724" s="559" t="str">
        <f t="shared" si="68"/>
        <v/>
      </c>
    </row>
    <row r="725" spans="2:9">
      <c r="B725" s="555" t="str">
        <f t="shared" si="63"/>
        <v/>
      </c>
      <c r="C725" s="556" t="str">
        <f t="shared" si="64"/>
        <v/>
      </c>
      <c r="D725" s="557" t="str">
        <f t="shared" si="65"/>
        <v/>
      </c>
      <c r="E725" s="560"/>
      <c r="F725" s="559"/>
      <c r="G725" s="559" t="str">
        <f t="shared" si="66"/>
        <v/>
      </c>
      <c r="H725" s="559" t="str">
        <f t="shared" si="67"/>
        <v/>
      </c>
      <c r="I725" s="559" t="str">
        <f t="shared" si="68"/>
        <v/>
      </c>
    </row>
    <row r="726" spans="2:9">
      <c r="B726" s="555" t="str">
        <f t="shared" si="63"/>
        <v/>
      </c>
      <c r="C726" s="556" t="str">
        <f t="shared" si="64"/>
        <v/>
      </c>
      <c r="D726" s="557" t="str">
        <f t="shared" si="65"/>
        <v/>
      </c>
      <c r="E726" s="560"/>
      <c r="F726" s="559"/>
      <c r="G726" s="559" t="str">
        <f t="shared" si="66"/>
        <v/>
      </c>
      <c r="H726" s="559" t="str">
        <f t="shared" si="67"/>
        <v/>
      </c>
      <c r="I726" s="559" t="str">
        <f t="shared" si="68"/>
        <v/>
      </c>
    </row>
    <row r="727" spans="2:9">
      <c r="B727" s="555" t="str">
        <f t="shared" si="63"/>
        <v/>
      </c>
      <c r="C727" s="556" t="str">
        <f t="shared" si="64"/>
        <v/>
      </c>
      <c r="D727" s="557" t="str">
        <f t="shared" si="65"/>
        <v/>
      </c>
      <c r="E727" s="560"/>
      <c r="F727" s="559"/>
      <c r="G727" s="559" t="str">
        <f t="shared" si="66"/>
        <v/>
      </c>
      <c r="H727" s="559" t="str">
        <f t="shared" si="67"/>
        <v/>
      </c>
      <c r="I727" s="559" t="str">
        <f t="shared" si="68"/>
        <v/>
      </c>
    </row>
    <row r="728" spans="2:9">
      <c r="B728" s="555" t="str">
        <f t="shared" si="63"/>
        <v/>
      </c>
      <c r="C728" s="556" t="str">
        <f t="shared" si="64"/>
        <v/>
      </c>
      <c r="D728" s="557" t="str">
        <f t="shared" si="65"/>
        <v/>
      </c>
      <c r="E728" s="560"/>
      <c r="F728" s="559"/>
      <c r="G728" s="559" t="str">
        <f t="shared" si="66"/>
        <v/>
      </c>
      <c r="H728" s="559" t="str">
        <f t="shared" si="67"/>
        <v/>
      </c>
      <c r="I728" s="559" t="str">
        <f t="shared" si="68"/>
        <v/>
      </c>
    </row>
    <row r="729" spans="2:9">
      <c r="B729" s="555" t="str">
        <f t="shared" si="63"/>
        <v/>
      </c>
      <c r="C729" s="556" t="str">
        <f t="shared" si="64"/>
        <v/>
      </c>
      <c r="D729" s="557" t="str">
        <f t="shared" si="65"/>
        <v/>
      </c>
      <c r="E729" s="560"/>
      <c r="F729" s="559"/>
      <c r="G729" s="559" t="str">
        <f t="shared" si="66"/>
        <v/>
      </c>
      <c r="H729" s="559" t="str">
        <f t="shared" si="67"/>
        <v/>
      </c>
      <c r="I729" s="559" t="str">
        <f t="shared" si="68"/>
        <v/>
      </c>
    </row>
    <row r="730" spans="2:9">
      <c r="B730" s="555" t="str">
        <f t="shared" si="63"/>
        <v/>
      </c>
      <c r="C730" s="556" t="str">
        <f t="shared" si="64"/>
        <v/>
      </c>
      <c r="D730" s="557" t="str">
        <f t="shared" si="65"/>
        <v/>
      </c>
      <c r="E730" s="560"/>
      <c r="F730" s="559"/>
      <c r="G730" s="559" t="str">
        <f t="shared" si="66"/>
        <v/>
      </c>
      <c r="H730" s="559" t="str">
        <f t="shared" si="67"/>
        <v/>
      </c>
      <c r="I730" s="559" t="str">
        <f t="shared" si="68"/>
        <v/>
      </c>
    </row>
    <row r="731" spans="2:9">
      <c r="B731" s="555" t="str">
        <f t="shared" si="63"/>
        <v/>
      </c>
      <c r="C731" s="556" t="str">
        <f t="shared" si="64"/>
        <v/>
      </c>
      <c r="D731" s="557" t="str">
        <f t="shared" si="65"/>
        <v/>
      </c>
      <c r="E731" s="560"/>
      <c r="F731" s="559"/>
      <c r="G731" s="559" t="str">
        <f t="shared" si="66"/>
        <v/>
      </c>
      <c r="H731" s="559" t="str">
        <f t="shared" si="67"/>
        <v/>
      </c>
      <c r="I731" s="559" t="str">
        <f t="shared" si="68"/>
        <v/>
      </c>
    </row>
    <row r="732" spans="2:9">
      <c r="B732" s="555" t="str">
        <f t="shared" si="63"/>
        <v/>
      </c>
      <c r="C732" s="556" t="str">
        <f t="shared" si="64"/>
        <v/>
      </c>
      <c r="D732" s="557" t="str">
        <f t="shared" si="65"/>
        <v/>
      </c>
      <c r="E732" s="560"/>
      <c r="F732" s="559"/>
      <c r="G732" s="559" t="str">
        <f t="shared" si="66"/>
        <v/>
      </c>
      <c r="H732" s="559" t="str">
        <f t="shared" si="67"/>
        <v/>
      </c>
      <c r="I732" s="559" t="str">
        <f t="shared" si="68"/>
        <v/>
      </c>
    </row>
    <row r="733" spans="2:9">
      <c r="B733" s="555" t="str">
        <f t="shared" si="63"/>
        <v/>
      </c>
      <c r="C733" s="556" t="str">
        <f t="shared" si="64"/>
        <v/>
      </c>
      <c r="D733" s="557" t="str">
        <f t="shared" si="65"/>
        <v/>
      </c>
      <c r="E733" s="560"/>
      <c r="F733" s="559"/>
      <c r="G733" s="559" t="str">
        <f t="shared" si="66"/>
        <v/>
      </c>
      <c r="H733" s="559" t="str">
        <f t="shared" si="67"/>
        <v/>
      </c>
      <c r="I733" s="559" t="str">
        <f t="shared" si="68"/>
        <v/>
      </c>
    </row>
    <row r="734" spans="2:9">
      <c r="B734" s="555" t="str">
        <f t="shared" si="63"/>
        <v/>
      </c>
      <c r="C734" s="556" t="str">
        <f t="shared" si="64"/>
        <v/>
      </c>
      <c r="D734" s="557" t="str">
        <f t="shared" si="65"/>
        <v/>
      </c>
      <c r="E734" s="560"/>
      <c r="F734" s="559"/>
      <c r="G734" s="559" t="str">
        <f t="shared" si="66"/>
        <v/>
      </c>
      <c r="H734" s="559" t="str">
        <f t="shared" si="67"/>
        <v/>
      </c>
      <c r="I734" s="559" t="str">
        <f t="shared" si="68"/>
        <v/>
      </c>
    </row>
    <row r="735" spans="2:9">
      <c r="B735" s="555" t="str">
        <f t="shared" si="63"/>
        <v/>
      </c>
      <c r="C735" s="556" t="str">
        <f t="shared" si="64"/>
        <v/>
      </c>
      <c r="D735" s="557" t="str">
        <f t="shared" si="65"/>
        <v/>
      </c>
      <c r="E735" s="560"/>
      <c r="F735" s="559"/>
      <c r="G735" s="559" t="str">
        <f t="shared" si="66"/>
        <v/>
      </c>
      <c r="H735" s="559" t="str">
        <f t="shared" si="67"/>
        <v/>
      </c>
      <c r="I735" s="559" t="str">
        <f t="shared" si="68"/>
        <v/>
      </c>
    </row>
    <row r="736" spans="2:9">
      <c r="B736" s="555" t="str">
        <f t="shared" si="63"/>
        <v/>
      </c>
      <c r="C736" s="556" t="str">
        <f t="shared" si="64"/>
        <v/>
      </c>
      <c r="D736" s="557" t="str">
        <f t="shared" si="65"/>
        <v/>
      </c>
      <c r="E736" s="560"/>
      <c r="F736" s="559"/>
      <c r="G736" s="559" t="str">
        <f t="shared" si="66"/>
        <v/>
      </c>
      <c r="H736" s="559" t="str">
        <f t="shared" si="67"/>
        <v/>
      </c>
      <c r="I736" s="559" t="str">
        <f t="shared" si="68"/>
        <v/>
      </c>
    </row>
    <row r="737" spans="2:9">
      <c r="B737" s="555" t="str">
        <f t="shared" si="63"/>
        <v/>
      </c>
      <c r="C737" s="556" t="str">
        <f t="shared" si="64"/>
        <v/>
      </c>
      <c r="D737" s="557" t="str">
        <f t="shared" si="65"/>
        <v/>
      </c>
      <c r="E737" s="560"/>
      <c r="F737" s="559"/>
      <c r="G737" s="559" t="str">
        <f t="shared" si="66"/>
        <v/>
      </c>
      <c r="H737" s="559" t="str">
        <f t="shared" si="67"/>
        <v/>
      </c>
      <c r="I737" s="559" t="str">
        <f t="shared" si="68"/>
        <v/>
      </c>
    </row>
    <row r="738" spans="2:9">
      <c r="B738" s="555" t="str">
        <f t="shared" si="63"/>
        <v/>
      </c>
      <c r="C738" s="556" t="str">
        <f t="shared" si="64"/>
        <v/>
      </c>
      <c r="D738" s="557" t="str">
        <f t="shared" si="65"/>
        <v/>
      </c>
      <c r="E738" s="560"/>
      <c r="F738" s="559"/>
      <c r="G738" s="559" t="str">
        <f t="shared" si="66"/>
        <v/>
      </c>
      <c r="H738" s="559" t="str">
        <f t="shared" si="67"/>
        <v/>
      </c>
      <c r="I738" s="559" t="str">
        <f t="shared" si="68"/>
        <v/>
      </c>
    </row>
    <row r="739" spans="2:9">
      <c r="B739" s="555" t="str">
        <f t="shared" si="63"/>
        <v/>
      </c>
      <c r="C739" s="556" t="str">
        <f t="shared" si="64"/>
        <v/>
      </c>
      <c r="D739" s="557" t="str">
        <f t="shared" si="65"/>
        <v/>
      </c>
      <c r="E739" s="560"/>
      <c r="F739" s="559"/>
      <c r="G739" s="559" t="str">
        <f t="shared" si="66"/>
        <v/>
      </c>
      <c r="H739" s="559" t="str">
        <f t="shared" si="67"/>
        <v/>
      </c>
      <c r="I739" s="559" t="str">
        <f t="shared" si="68"/>
        <v/>
      </c>
    </row>
    <row r="740" spans="2:9">
      <c r="B740" s="555" t="str">
        <f t="shared" si="63"/>
        <v/>
      </c>
      <c r="C740" s="556" t="str">
        <f t="shared" si="64"/>
        <v/>
      </c>
      <c r="D740" s="557" t="str">
        <f t="shared" si="65"/>
        <v/>
      </c>
      <c r="E740" s="560"/>
      <c r="F740" s="559"/>
      <c r="G740" s="559" t="str">
        <f t="shared" si="66"/>
        <v/>
      </c>
      <c r="H740" s="559" t="str">
        <f t="shared" si="67"/>
        <v/>
      </c>
      <c r="I740" s="559" t="str">
        <f t="shared" si="68"/>
        <v/>
      </c>
    </row>
    <row r="741" spans="2:9">
      <c r="B741" s="555" t="str">
        <f t="shared" si="63"/>
        <v/>
      </c>
      <c r="C741" s="556" t="str">
        <f t="shared" si="64"/>
        <v/>
      </c>
      <c r="D741" s="557" t="str">
        <f t="shared" si="65"/>
        <v/>
      </c>
      <c r="E741" s="560"/>
      <c r="F741" s="559"/>
      <c r="G741" s="559" t="str">
        <f t="shared" si="66"/>
        <v/>
      </c>
      <c r="H741" s="559" t="str">
        <f t="shared" si="67"/>
        <v/>
      </c>
      <c r="I741" s="559" t="str">
        <f t="shared" si="68"/>
        <v/>
      </c>
    </row>
    <row r="742" spans="2:9">
      <c r="B742" s="555" t="str">
        <f t="shared" si="63"/>
        <v/>
      </c>
      <c r="C742" s="556" t="str">
        <f t="shared" si="64"/>
        <v/>
      </c>
      <c r="D742" s="557" t="str">
        <f t="shared" si="65"/>
        <v/>
      </c>
      <c r="E742" s="560"/>
      <c r="F742" s="559"/>
      <c r="G742" s="559" t="str">
        <f t="shared" si="66"/>
        <v/>
      </c>
      <c r="H742" s="559" t="str">
        <f t="shared" si="67"/>
        <v/>
      </c>
      <c r="I742" s="559" t="str">
        <f t="shared" si="68"/>
        <v/>
      </c>
    </row>
    <row r="743" spans="2:9">
      <c r="B743" s="555" t="str">
        <f t="shared" si="63"/>
        <v/>
      </c>
      <c r="C743" s="556" t="str">
        <f t="shared" si="64"/>
        <v/>
      </c>
      <c r="D743" s="557" t="str">
        <f t="shared" si="65"/>
        <v/>
      </c>
      <c r="E743" s="560"/>
      <c r="F743" s="559"/>
      <c r="G743" s="559" t="str">
        <f t="shared" si="66"/>
        <v/>
      </c>
      <c r="H743" s="559" t="str">
        <f t="shared" si="67"/>
        <v/>
      </c>
      <c r="I743" s="559" t="str">
        <f t="shared" si="68"/>
        <v/>
      </c>
    </row>
    <row r="744" spans="2:9">
      <c r="B744" s="555" t="str">
        <f t="shared" si="63"/>
        <v/>
      </c>
      <c r="C744" s="556" t="str">
        <f t="shared" si="64"/>
        <v/>
      </c>
      <c r="D744" s="557" t="str">
        <f t="shared" si="65"/>
        <v/>
      </c>
      <c r="E744" s="560"/>
      <c r="F744" s="559"/>
      <c r="G744" s="559" t="str">
        <f t="shared" si="66"/>
        <v/>
      </c>
      <c r="H744" s="559" t="str">
        <f t="shared" si="67"/>
        <v/>
      </c>
      <c r="I744" s="559" t="str">
        <f t="shared" si="68"/>
        <v/>
      </c>
    </row>
    <row r="745" spans="2:9">
      <c r="B745" s="555" t="str">
        <f t="shared" si="63"/>
        <v/>
      </c>
      <c r="C745" s="556" t="str">
        <f t="shared" si="64"/>
        <v/>
      </c>
      <c r="D745" s="557" t="str">
        <f t="shared" si="65"/>
        <v/>
      </c>
      <c r="E745" s="560"/>
      <c r="F745" s="559"/>
      <c r="G745" s="559" t="str">
        <f t="shared" si="66"/>
        <v/>
      </c>
      <c r="H745" s="559" t="str">
        <f t="shared" si="67"/>
        <v/>
      </c>
      <c r="I745" s="559" t="str">
        <f t="shared" si="68"/>
        <v/>
      </c>
    </row>
    <row r="746" spans="2:9">
      <c r="B746" s="555" t="str">
        <f t="shared" si="63"/>
        <v/>
      </c>
      <c r="C746" s="556" t="str">
        <f t="shared" si="64"/>
        <v/>
      </c>
      <c r="D746" s="557" t="str">
        <f t="shared" si="65"/>
        <v/>
      </c>
      <c r="E746" s="560"/>
      <c r="F746" s="559"/>
      <c r="G746" s="559" t="str">
        <f t="shared" si="66"/>
        <v/>
      </c>
      <c r="H746" s="559" t="str">
        <f t="shared" si="67"/>
        <v/>
      </c>
      <c r="I746" s="559" t="str">
        <f t="shared" si="68"/>
        <v/>
      </c>
    </row>
    <row r="747" spans="2:9">
      <c r="B747" s="555" t="str">
        <f t="shared" si="63"/>
        <v/>
      </c>
      <c r="C747" s="556" t="str">
        <f t="shared" si="64"/>
        <v/>
      </c>
      <c r="D747" s="557" t="str">
        <f t="shared" si="65"/>
        <v/>
      </c>
      <c r="E747" s="560"/>
      <c r="F747" s="559"/>
      <c r="G747" s="559" t="str">
        <f t="shared" si="66"/>
        <v/>
      </c>
      <c r="H747" s="559" t="str">
        <f t="shared" si="67"/>
        <v/>
      </c>
      <c r="I747" s="559" t="str">
        <f t="shared" si="68"/>
        <v/>
      </c>
    </row>
    <row r="748" spans="2:9">
      <c r="B748" s="555" t="str">
        <f t="shared" si="63"/>
        <v/>
      </c>
      <c r="C748" s="556" t="str">
        <f t="shared" si="64"/>
        <v/>
      </c>
      <c r="D748" s="557" t="str">
        <f t="shared" si="65"/>
        <v/>
      </c>
      <c r="E748" s="560"/>
      <c r="F748" s="559"/>
      <c r="G748" s="559" t="str">
        <f t="shared" si="66"/>
        <v/>
      </c>
      <c r="H748" s="559" t="str">
        <f t="shared" si="67"/>
        <v/>
      </c>
      <c r="I748" s="559" t="str">
        <f t="shared" si="68"/>
        <v/>
      </c>
    </row>
    <row r="749" spans="2:9">
      <c r="B749" s="555" t="str">
        <f t="shared" si="63"/>
        <v/>
      </c>
      <c r="C749" s="556" t="str">
        <f t="shared" si="64"/>
        <v/>
      </c>
      <c r="D749" s="557" t="str">
        <f t="shared" si="65"/>
        <v/>
      </c>
      <c r="E749" s="560"/>
      <c r="F749" s="559"/>
      <c r="G749" s="559" t="str">
        <f t="shared" si="66"/>
        <v/>
      </c>
      <c r="H749" s="559" t="str">
        <f t="shared" si="67"/>
        <v/>
      </c>
      <c r="I749" s="559" t="str">
        <f t="shared" si="68"/>
        <v/>
      </c>
    </row>
    <row r="750" spans="2:9">
      <c r="B750" s="555" t="str">
        <f t="shared" si="63"/>
        <v/>
      </c>
      <c r="C750" s="556" t="str">
        <f t="shared" si="64"/>
        <v/>
      </c>
      <c r="D750" s="557" t="str">
        <f t="shared" si="65"/>
        <v/>
      </c>
      <c r="E750" s="560"/>
      <c r="F750" s="559"/>
      <c r="G750" s="559" t="str">
        <f t="shared" si="66"/>
        <v/>
      </c>
      <c r="H750" s="559" t="str">
        <f t="shared" si="67"/>
        <v/>
      </c>
      <c r="I750" s="559" t="str">
        <f t="shared" si="68"/>
        <v/>
      </c>
    </row>
    <row r="751" spans="2:9">
      <c r="B751" s="555" t="str">
        <f t="shared" si="63"/>
        <v/>
      </c>
      <c r="C751" s="556" t="str">
        <f t="shared" si="64"/>
        <v/>
      </c>
      <c r="D751" s="557" t="str">
        <f t="shared" si="65"/>
        <v/>
      </c>
      <c r="E751" s="560"/>
      <c r="F751" s="559"/>
      <c r="G751" s="559" t="str">
        <f t="shared" si="66"/>
        <v/>
      </c>
      <c r="H751" s="559" t="str">
        <f t="shared" si="67"/>
        <v/>
      </c>
      <c r="I751" s="559" t="str">
        <f t="shared" si="68"/>
        <v/>
      </c>
    </row>
    <row r="752" spans="2:9">
      <c r="B752" s="555" t="str">
        <f t="shared" si="63"/>
        <v/>
      </c>
      <c r="C752" s="556" t="str">
        <f t="shared" si="64"/>
        <v/>
      </c>
      <c r="D752" s="557" t="str">
        <f t="shared" si="65"/>
        <v/>
      </c>
      <c r="E752" s="560"/>
      <c r="F752" s="559"/>
      <c r="G752" s="559" t="str">
        <f t="shared" si="66"/>
        <v/>
      </c>
      <c r="H752" s="559" t="str">
        <f t="shared" si="67"/>
        <v/>
      </c>
      <c r="I752" s="559" t="str">
        <f t="shared" si="68"/>
        <v/>
      </c>
    </row>
    <row r="753" spans="2:9">
      <c r="B753" s="555" t="str">
        <f t="shared" si="63"/>
        <v/>
      </c>
      <c r="C753" s="556" t="str">
        <f t="shared" si="64"/>
        <v/>
      </c>
      <c r="D753" s="557" t="str">
        <f t="shared" si="65"/>
        <v/>
      </c>
      <c r="E753" s="560"/>
      <c r="F753" s="559"/>
      <c r="G753" s="559" t="str">
        <f t="shared" si="66"/>
        <v/>
      </c>
      <c r="H753" s="559" t="str">
        <f t="shared" si="67"/>
        <v/>
      </c>
      <c r="I753" s="559" t="str">
        <f t="shared" si="68"/>
        <v/>
      </c>
    </row>
    <row r="754" spans="2:9">
      <c r="B754" s="555" t="str">
        <f t="shared" si="63"/>
        <v/>
      </c>
      <c r="C754" s="556" t="str">
        <f t="shared" si="64"/>
        <v/>
      </c>
      <c r="D754" s="557" t="str">
        <f t="shared" si="65"/>
        <v/>
      </c>
      <c r="E754" s="560"/>
      <c r="F754" s="559"/>
      <c r="G754" s="559" t="str">
        <f t="shared" si="66"/>
        <v/>
      </c>
      <c r="H754" s="559" t="str">
        <f t="shared" si="67"/>
        <v/>
      </c>
      <c r="I754" s="559" t="str">
        <f t="shared" si="68"/>
        <v/>
      </c>
    </row>
    <row r="755" spans="2:9">
      <c r="B755" s="555" t="str">
        <f t="shared" si="63"/>
        <v/>
      </c>
      <c r="C755" s="556" t="str">
        <f t="shared" si="64"/>
        <v/>
      </c>
      <c r="D755" s="557" t="str">
        <f t="shared" si="65"/>
        <v/>
      </c>
      <c r="E755" s="560"/>
      <c r="F755" s="559"/>
      <c r="G755" s="559" t="str">
        <f t="shared" si="66"/>
        <v/>
      </c>
      <c r="H755" s="559" t="str">
        <f t="shared" si="67"/>
        <v/>
      </c>
      <c r="I755" s="559" t="str">
        <f t="shared" si="68"/>
        <v/>
      </c>
    </row>
    <row r="756" spans="2:9">
      <c r="B756" s="555" t="str">
        <f t="shared" si="63"/>
        <v/>
      </c>
      <c r="C756" s="556" t="str">
        <f t="shared" si="64"/>
        <v/>
      </c>
      <c r="D756" s="557" t="str">
        <f t="shared" si="65"/>
        <v/>
      </c>
      <c r="E756" s="560"/>
      <c r="F756" s="559"/>
      <c r="G756" s="559" t="str">
        <f t="shared" si="66"/>
        <v/>
      </c>
      <c r="H756" s="559" t="str">
        <f t="shared" si="67"/>
        <v/>
      </c>
      <c r="I756" s="559" t="str">
        <f t="shared" si="68"/>
        <v/>
      </c>
    </row>
    <row r="757" spans="2:9">
      <c r="B757" s="555" t="str">
        <f t="shared" si="63"/>
        <v/>
      </c>
      <c r="C757" s="556" t="str">
        <f t="shared" si="64"/>
        <v/>
      </c>
      <c r="D757" s="557" t="str">
        <f t="shared" si="65"/>
        <v/>
      </c>
      <c r="E757" s="560"/>
      <c r="F757" s="559"/>
      <c r="G757" s="559" t="str">
        <f t="shared" si="66"/>
        <v/>
      </c>
      <c r="H757" s="559" t="str">
        <f t="shared" si="67"/>
        <v/>
      </c>
      <c r="I757" s="559" t="str">
        <f t="shared" si="68"/>
        <v/>
      </c>
    </row>
    <row r="758" spans="2:9">
      <c r="B758" s="555" t="str">
        <f t="shared" si="63"/>
        <v/>
      </c>
      <c r="C758" s="556" t="str">
        <f t="shared" si="64"/>
        <v/>
      </c>
      <c r="D758" s="557" t="str">
        <f t="shared" si="65"/>
        <v/>
      </c>
      <c r="E758" s="560"/>
      <c r="F758" s="559"/>
      <c r="G758" s="559" t="str">
        <f t="shared" si="66"/>
        <v/>
      </c>
      <c r="H758" s="559" t="str">
        <f t="shared" si="67"/>
        <v/>
      </c>
      <c r="I758" s="559" t="str">
        <f t="shared" si="68"/>
        <v/>
      </c>
    </row>
    <row r="759" spans="2:9">
      <c r="B759" s="555" t="str">
        <f t="shared" si="63"/>
        <v/>
      </c>
      <c r="C759" s="556" t="str">
        <f t="shared" si="64"/>
        <v/>
      </c>
      <c r="D759" s="557" t="str">
        <f t="shared" si="65"/>
        <v/>
      </c>
      <c r="E759" s="560"/>
      <c r="F759" s="559"/>
      <c r="G759" s="559" t="str">
        <f t="shared" si="66"/>
        <v/>
      </c>
      <c r="H759" s="559" t="str">
        <f t="shared" si="67"/>
        <v/>
      </c>
      <c r="I759" s="559" t="str">
        <f t="shared" si="68"/>
        <v/>
      </c>
    </row>
    <row r="760" spans="2:9">
      <c r="B760" s="555" t="str">
        <f t="shared" si="63"/>
        <v/>
      </c>
      <c r="C760" s="556" t="str">
        <f t="shared" si="64"/>
        <v/>
      </c>
      <c r="D760" s="557" t="str">
        <f t="shared" si="65"/>
        <v/>
      </c>
      <c r="E760" s="560"/>
      <c r="F760" s="559"/>
      <c r="G760" s="559" t="str">
        <f t="shared" si="66"/>
        <v/>
      </c>
      <c r="H760" s="559" t="str">
        <f t="shared" si="67"/>
        <v/>
      </c>
      <c r="I760" s="559" t="str">
        <f t="shared" si="68"/>
        <v/>
      </c>
    </row>
    <row r="761" spans="2:9">
      <c r="B761" s="555" t="str">
        <f t="shared" si="63"/>
        <v/>
      </c>
      <c r="C761" s="556" t="str">
        <f t="shared" si="64"/>
        <v/>
      </c>
      <c r="D761" s="557" t="str">
        <f t="shared" si="65"/>
        <v/>
      </c>
      <c r="E761" s="560"/>
      <c r="F761" s="559"/>
      <c r="G761" s="559" t="str">
        <f t="shared" si="66"/>
        <v/>
      </c>
      <c r="H761" s="559" t="str">
        <f t="shared" si="67"/>
        <v/>
      </c>
      <c r="I761" s="559" t="str">
        <f t="shared" si="68"/>
        <v/>
      </c>
    </row>
    <row r="762" spans="2:9">
      <c r="B762" s="555" t="str">
        <f t="shared" si="63"/>
        <v/>
      </c>
      <c r="C762" s="556" t="str">
        <f t="shared" si="64"/>
        <v/>
      </c>
      <c r="D762" s="557" t="str">
        <f t="shared" si="65"/>
        <v/>
      </c>
      <c r="E762" s="560"/>
      <c r="F762" s="559"/>
      <c r="G762" s="559" t="str">
        <f t="shared" si="66"/>
        <v/>
      </c>
      <c r="H762" s="559" t="str">
        <f t="shared" si="67"/>
        <v/>
      </c>
      <c r="I762" s="559" t="str">
        <f t="shared" si="68"/>
        <v/>
      </c>
    </row>
    <row r="763" spans="2:9">
      <c r="B763" s="555" t="str">
        <f t="shared" si="63"/>
        <v/>
      </c>
      <c r="C763" s="556" t="str">
        <f t="shared" si="64"/>
        <v/>
      </c>
      <c r="D763" s="557" t="str">
        <f t="shared" si="65"/>
        <v/>
      </c>
      <c r="E763" s="560"/>
      <c r="F763" s="559"/>
      <c r="G763" s="559" t="str">
        <f t="shared" si="66"/>
        <v/>
      </c>
      <c r="H763" s="559" t="str">
        <f t="shared" si="67"/>
        <v/>
      </c>
      <c r="I763" s="559" t="str">
        <f t="shared" si="68"/>
        <v/>
      </c>
    </row>
    <row r="764" spans="2:9">
      <c r="B764" s="555" t="str">
        <f t="shared" si="63"/>
        <v/>
      </c>
      <c r="C764" s="556" t="str">
        <f t="shared" si="64"/>
        <v/>
      </c>
      <c r="D764" s="557" t="str">
        <f t="shared" si="65"/>
        <v/>
      </c>
      <c r="E764" s="560"/>
      <c r="F764" s="559"/>
      <c r="G764" s="559" t="str">
        <f t="shared" si="66"/>
        <v/>
      </c>
      <c r="H764" s="559" t="str">
        <f t="shared" si="67"/>
        <v/>
      </c>
      <c r="I764" s="559" t="str">
        <f t="shared" si="68"/>
        <v/>
      </c>
    </row>
    <row r="765" spans="2:9">
      <c r="B765" s="555" t="str">
        <f t="shared" ref="B765:B828" si="69">IF(I764="","",IF(roundOpt,IF(OR(B764&gt;=nper,ROUND(I764,2)&lt;=0),"",B764+1),IF(OR(B764&gt;=nper,I764&lt;=0),"",B764+1)))</f>
        <v/>
      </c>
      <c r="C765" s="556" t="str">
        <f t="shared" ref="C765:C828" si="70">IF(B765="","",IF(OR(periods_per_year=26,periods_per_year=52),IF(periods_per_year=26,IF(B765=1,fpdate,C764+14),IF(periods_per_year=52,IF(B765=1,fpdate,C764+7),"n/a")),IF(periods_per_year=24,DATE(YEAR(fpdate),MONTH(fpdate)+(B765-1)/2+IF(AND(DAY(fpdate)&gt;=15,MOD(B765,2)=0),1,0),IF(MOD(B765,2)=0,IF(DAY(fpdate)&gt;=15,DAY(fpdate)-14,DAY(fpdate)+14),DAY(fpdate))),IF(DAY(DATE(YEAR(fpdate),MONTH(fpdate)+(B765-1)*months_per_period,DAY(fpdate)))&lt;&gt;DAY(fpdate),DATE(YEAR(fpdate),MONTH(fpdate)+(B765-1)*months_per_period+1,0),DATE(YEAR(fpdate),MONTH(fpdate)+(B765-1)*months_per_period,DAY(fpdate))))))</f>
        <v/>
      </c>
      <c r="D765" s="557" t="str">
        <f t="shared" ref="D765:D828" si="71">IF(B765="","",IF(roundOpt,IF(OR(B765=nper,payment&gt;ROUND((1+rate)*I764,2)),ROUND((1+rate)*I764,2),payment),IF(OR(B765=nper,payment&gt;(1+rate)*I764),(1+rate)*I764,payment)))</f>
        <v/>
      </c>
      <c r="E765" s="560"/>
      <c r="F765" s="559"/>
      <c r="G765" s="559" t="str">
        <f t="shared" ref="G765:G828" si="72">IF(B765="","",IF(AND(B765=1,pmtType=1),0,IF(roundOpt,ROUND(rate*I764,2),rate*I764)))</f>
        <v/>
      </c>
      <c r="H765" s="559" t="str">
        <f t="shared" ref="H765:H828" si="73">IF(B765="","",D765-G765+E765)</f>
        <v/>
      </c>
      <c r="I765" s="559" t="str">
        <f t="shared" ref="I765:I828" si="74">IF(B765="","",I764-H765)</f>
        <v/>
      </c>
    </row>
    <row r="766" spans="2:9">
      <c r="B766" s="555" t="str">
        <f t="shared" si="69"/>
        <v/>
      </c>
      <c r="C766" s="556" t="str">
        <f t="shared" si="70"/>
        <v/>
      </c>
      <c r="D766" s="557" t="str">
        <f t="shared" si="71"/>
        <v/>
      </c>
      <c r="E766" s="560"/>
      <c r="F766" s="559"/>
      <c r="G766" s="559" t="str">
        <f t="shared" si="72"/>
        <v/>
      </c>
      <c r="H766" s="559" t="str">
        <f t="shared" si="73"/>
        <v/>
      </c>
      <c r="I766" s="559" t="str">
        <f t="shared" si="74"/>
        <v/>
      </c>
    </row>
    <row r="767" spans="2:9">
      <c r="B767" s="555" t="str">
        <f t="shared" si="69"/>
        <v/>
      </c>
      <c r="C767" s="556" t="str">
        <f t="shared" si="70"/>
        <v/>
      </c>
      <c r="D767" s="557" t="str">
        <f t="shared" si="71"/>
        <v/>
      </c>
      <c r="E767" s="560"/>
      <c r="F767" s="559"/>
      <c r="G767" s="559" t="str">
        <f t="shared" si="72"/>
        <v/>
      </c>
      <c r="H767" s="559" t="str">
        <f t="shared" si="73"/>
        <v/>
      </c>
      <c r="I767" s="559" t="str">
        <f t="shared" si="74"/>
        <v/>
      </c>
    </row>
    <row r="768" spans="2:9">
      <c r="B768" s="555" t="str">
        <f t="shared" si="69"/>
        <v/>
      </c>
      <c r="C768" s="556" t="str">
        <f t="shared" si="70"/>
        <v/>
      </c>
      <c r="D768" s="557" t="str">
        <f t="shared" si="71"/>
        <v/>
      </c>
      <c r="E768" s="560"/>
      <c r="F768" s="559"/>
      <c r="G768" s="559" t="str">
        <f t="shared" si="72"/>
        <v/>
      </c>
      <c r="H768" s="559" t="str">
        <f t="shared" si="73"/>
        <v/>
      </c>
      <c r="I768" s="559" t="str">
        <f t="shared" si="74"/>
        <v/>
      </c>
    </row>
    <row r="769" spans="2:9">
      <c r="B769" s="555" t="str">
        <f t="shared" si="69"/>
        <v/>
      </c>
      <c r="C769" s="556" t="str">
        <f t="shared" si="70"/>
        <v/>
      </c>
      <c r="D769" s="557" t="str">
        <f t="shared" si="71"/>
        <v/>
      </c>
      <c r="E769" s="560"/>
      <c r="F769" s="559"/>
      <c r="G769" s="559" t="str">
        <f t="shared" si="72"/>
        <v/>
      </c>
      <c r="H769" s="559" t="str">
        <f t="shared" si="73"/>
        <v/>
      </c>
      <c r="I769" s="559" t="str">
        <f t="shared" si="74"/>
        <v/>
      </c>
    </row>
    <row r="770" spans="2:9">
      <c r="B770" s="555" t="str">
        <f t="shared" si="69"/>
        <v/>
      </c>
      <c r="C770" s="556" t="str">
        <f t="shared" si="70"/>
        <v/>
      </c>
      <c r="D770" s="557" t="str">
        <f t="shared" si="71"/>
        <v/>
      </c>
      <c r="E770" s="560"/>
      <c r="F770" s="559"/>
      <c r="G770" s="559" t="str">
        <f t="shared" si="72"/>
        <v/>
      </c>
      <c r="H770" s="559" t="str">
        <f t="shared" si="73"/>
        <v/>
      </c>
      <c r="I770" s="559" t="str">
        <f t="shared" si="74"/>
        <v/>
      </c>
    </row>
    <row r="771" spans="2:9">
      <c r="B771" s="555" t="str">
        <f t="shared" si="69"/>
        <v/>
      </c>
      <c r="C771" s="556" t="str">
        <f t="shared" si="70"/>
        <v/>
      </c>
      <c r="D771" s="557" t="str">
        <f t="shared" si="71"/>
        <v/>
      </c>
      <c r="E771" s="560"/>
      <c r="F771" s="559"/>
      <c r="G771" s="559" t="str">
        <f t="shared" si="72"/>
        <v/>
      </c>
      <c r="H771" s="559" t="str">
        <f t="shared" si="73"/>
        <v/>
      </c>
      <c r="I771" s="559" t="str">
        <f t="shared" si="74"/>
        <v/>
      </c>
    </row>
    <row r="772" spans="2:9">
      <c r="B772" s="555" t="str">
        <f t="shared" si="69"/>
        <v/>
      </c>
      <c r="C772" s="556" t="str">
        <f t="shared" si="70"/>
        <v/>
      </c>
      <c r="D772" s="557" t="str">
        <f t="shared" si="71"/>
        <v/>
      </c>
      <c r="E772" s="560"/>
      <c r="F772" s="559"/>
      <c r="G772" s="559" t="str">
        <f t="shared" si="72"/>
        <v/>
      </c>
      <c r="H772" s="559" t="str">
        <f t="shared" si="73"/>
        <v/>
      </c>
      <c r="I772" s="559" t="str">
        <f t="shared" si="74"/>
        <v/>
      </c>
    </row>
    <row r="773" spans="2:9">
      <c r="B773" s="555" t="str">
        <f t="shared" si="69"/>
        <v/>
      </c>
      <c r="C773" s="556" t="str">
        <f t="shared" si="70"/>
        <v/>
      </c>
      <c r="D773" s="557" t="str">
        <f t="shared" si="71"/>
        <v/>
      </c>
      <c r="E773" s="560"/>
      <c r="F773" s="559"/>
      <c r="G773" s="559" t="str">
        <f t="shared" si="72"/>
        <v/>
      </c>
      <c r="H773" s="559" t="str">
        <f t="shared" si="73"/>
        <v/>
      </c>
      <c r="I773" s="559" t="str">
        <f t="shared" si="74"/>
        <v/>
      </c>
    </row>
    <row r="774" spans="2:9">
      <c r="B774" s="555" t="str">
        <f t="shared" si="69"/>
        <v/>
      </c>
      <c r="C774" s="556" t="str">
        <f t="shared" si="70"/>
        <v/>
      </c>
      <c r="D774" s="557" t="str">
        <f t="shared" si="71"/>
        <v/>
      </c>
      <c r="E774" s="560"/>
      <c r="F774" s="559"/>
      <c r="G774" s="559" t="str">
        <f t="shared" si="72"/>
        <v/>
      </c>
      <c r="H774" s="559" t="str">
        <f t="shared" si="73"/>
        <v/>
      </c>
      <c r="I774" s="559" t="str">
        <f t="shared" si="74"/>
        <v/>
      </c>
    </row>
    <row r="775" spans="2:9">
      <c r="B775" s="555" t="str">
        <f t="shared" si="69"/>
        <v/>
      </c>
      <c r="C775" s="556" t="str">
        <f t="shared" si="70"/>
        <v/>
      </c>
      <c r="D775" s="557" t="str">
        <f t="shared" si="71"/>
        <v/>
      </c>
      <c r="E775" s="560"/>
      <c r="F775" s="559"/>
      <c r="G775" s="559" t="str">
        <f t="shared" si="72"/>
        <v/>
      </c>
      <c r="H775" s="559" t="str">
        <f t="shared" si="73"/>
        <v/>
      </c>
      <c r="I775" s="559" t="str">
        <f t="shared" si="74"/>
        <v/>
      </c>
    </row>
    <row r="776" spans="2:9">
      <c r="B776" s="555" t="str">
        <f t="shared" si="69"/>
        <v/>
      </c>
      <c r="C776" s="556" t="str">
        <f t="shared" si="70"/>
        <v/>
      </c>
      <c r="D776" s="557" t="str">
        <f t="shared" si="71"/>
        <v/>
      </c>
      <c r="E776" s="560"/>
      <c r="F776" s="559"/>
      <c r="G776" s="559" t="str">
        <f t="shared" si="72"/>
        <v/>
      </c>
      <c r="H776" s="559" t="str">
        <f t="shared" si="73"/>
        <v/>
      </c>
      <c r="I776" s="559" t="str">
        <f t="shared" si="74"/>
        <v/>
      </c>
    </row>
    <row r="777" spans="2:9">
      <c r="B777" s="555" t="str">
        <f t="shared" si="69"/>
        <v/>
      </c>
      <c r="C777" s="556" t="str">
        <f t="shared" si="70"/>
        <v/>
      </c>
      <c r="D777" s="557" t="str">
        <f t="shared" si="71"/>
        <v/>
      </c>
      <c r="E777" s="560"/>
      <c r="F777" s="559"/>
      <c r="G777" s="559" t="str">
        <f t="shared" si="72"/>
        <v/>
      </c>
      <c r="H777" s="559" t="str">
        <f t="shared" si="73"/>
        <v/>
      </c>
      <c r="I777" s="559" t="str">
        <f t="shared" si="74"/>
        <v/>
      </c>
    </row>
    <row r="778" spans="2:9">
      <c r="B778" s="555" t="str">
        <f t="shared" si="69"/>
        <v/>
      </c>
      <c r="C778" s="556" t="str">
        <f t="shared" si="70"/>
        <v/>
      </c>
      <c r="D778" s="557" t="str">
        <f t="shared" si="71"/>
        <v/>
      </c>
      <c r="E778" s="560"/>
      <c r="F778" s="559"/>
      <c r="G778" s="559" t="str">
        <f t="shared" si="72"/>
        <v/>
      </c>
      <c r="H778" s="559" t="str">
        <f t="shared" si="73"/>
        <v/>
      </c>
      <c r="I778" s="559" t="str">
        <f t="shared" si="74"/>
        <v/>
      </c>
    </row>
    <row r="779" spans="2:9">
      <c r="B779" s="555" t="str">
        <f t="shared" si="69"/>
        <v/>
      </c>
      <c r="C779" s="556" t="str">
        <f t="shared" si="70"/>
        <v/>
      </c>
      <c r="D779" s="557" t="str">
        <f t="shared" si="71"/>
        <v/>
      </c>
      <c r="E779" s="560"/>
      <c r="F779" s="559"/>
      <c r="G779" s="559" t="str">
        <f t="shared" si="72"/>
        <v/>
      </c>
      <c r="H779" s="559" t="str">
        <f t="shared" si="73"/>
        <v/>
      </c>
      <c r="I779" s="559" t="str">
        <f t="shared" si="74"/>
        <v/>
      </c>
    </row>
    <row r="780" spans="2:9">
      <c r="B780" s="555" t="str">
        <f t="shared" si="69"/>
        <v/>
      </c>
      <c r="C780" s="556" t="str">
        <f t="shared" si="70"/>
        <v/>
      </c>
      <c r="D780" s="557" t="str">
        <f t="shared" si="71"/>
        <v/>
      </c>
      <c r="E780" s="560"/>
      <c r="F780" s="559"/>
      <c r="G780" s="559" t="str">
        <f t="shared" si="72"/>
        <v/>
      </c>
      <c r="H780" s="559" t="str">
        <f t="shared" si="73"/>
        <v/>
      </c>
      <c r="I780" s="559" t="str">
        <f t="shared" si="74"/>
        <v/>
      </c>
    </row>
    <row r="781" spans="2:9">
      <c r="B781" s="555" t="str">
        <f t="shared" si="69"/>
        <v/>
      </c>
      <c r="C781" s="556" t="str">
        <f t="shared" si="70"/>
        <v/>
      </c>
      <c r="D781" s="557" t="str">
        <f t="shared" si="71"/>
        <v/>
      </c>
      <c r="E781" s="560"/>
      <c r="F781" s="559"/>
      <c r="G781" s="559" t="str">
        <f t="shared" si="72"/>
        <v/>
      </c>
      <c r="H781" s="559" t="str">
        <f t="shared" si="73"/>
        <v/>
      </c>
      <c r="I781" s="559" t="str">
        <f t="shared" si="74"/>
        <v/>
      </c>
    </row>
    <row r="782" spans="2:9">
      <c r="B782" s="555" t="str">
        <f t="shared" si="69"/>
        <v/>
      </c>
      <c r="C782" s="556" t="str">
        <f t="shared" si="70"/>
        <v/>
      </c>
      <c r="D782" s="557" t="str">
        <f t="shared" si="71"/>
        <v/>
      </c>
      <c r="E782" s="560"/>
      <c r="F782" s="559"/>
      <c r="G782" s="559" t="str">
        <f t="shared" si="72"/>
        <v/>
      </c>
      <c r="H782" s="559" t="str">
        <f t="shared" si="73"/>
        <v/>
      </c>
      <c r="I782" s="559" t="str">
        <f t="shared" si="74"/>
        <v/>
      </c>
    </row>
    <row r="783" spans="2:9">
      <c r="B783" s="555" t="str">
        <f t="shared" si="69"/>
        <v/>
      </c>
      <c r="C783" s="556" t="str">
        <f t="shared" si="70"/>
        <v/>
      </c>
      <c r="D783" s="557" t="str">
        <f t="shared" si="71"/>
        <v/>
      </c>
      <c r="E783" s="560"/>
      <c r="F783" s="559"/>
      <c r="G783" s="559" t="str">
        <f t="shared" si="72"/>
        <v/>
      </c>
      <c r="H783" s="559" t="str">
        <f t="shared" si="73"/>
        <v/>
      </c>
      <c r="I783" s="559" t="str">
        <f t="shared" si="74"/>
        <v/>
      </c>
    </row>
    <row r="784" spans="2:9">
      <c r="B784" s="555" t="str">
        <f t="shared" si="69"/>
        <v/>
      </c>
      <c r="C784" s="556" t="str">
        <f t="shared" si="70"/>
        <v/>
      </c>
      <c r="D784" s="557" t="str">
        <f t="shared" si="71"/>
        <v/>
      </c>
      <c r="E784" s="560"/>
      <c r="F784" s="559"/>
      <c r="G784" s="559" t="str">
        <f t="shared" si="72"/>
        <v/>
      </c>
      <c r="H784" s="559" t="str">
        <f t="shared" si="73"/>
        <v/>
      </c>
      <c r="I784" s="559" t="str">
        <f t="shared" si="74"/>
        <v/>
      </c>
    </row>
    <row r="785" spans="2:9">
      <c r="B785" s="555" t="str">
        <f t="shared" si="69"/>
        <v/>
      </c>
      <c r="C785" s="556" t="str">
        <f t="shared" si="70"/>
        <v/>
      </c>
      <c r="D785" s="557" t="str">
        <f t="shared" si="71"/>
        <v/>
      </c>
      <c r="E785" s="560"/>
      <c r="F785" s="559"/>
      <c r="G785" s="559" t="str">
        <f t="shared" si="72"/>
        <v/>
      </c>
      <c r="H785" s="559" t="str">
        <f t="shared" si="73"/>
        <v/>
      </c>
      <c r="I785" s="559" t="str">
        <f t="shared" si="74"/>
        <v/>
      </c>
    </row>
    <row r="786" spans="2:9">
      <c r="B786" s="555" t="str">
        <f t="shared" si="69"/>
        <v/>
      </c>
      <c r="C786" s="556" t="str">
        <f t="shared" si="70"/>
        <v/>
      </c>
      <c r="D786" s="557" t="str">
        <f t="shared" si="71"/>
        <v/>
      </c>
      <c r="E786" s="560"/>
      <c r="F786" s="559"/>
      <c r="G786" s="559" t="str">
        <f t="shared" si="72"/>
        <v/>
      </c>
      <c r="H786" s="559" t="str">
        <f t="shared" si="73"/>
        <v/>
      </c>
      <c r="I786" s="559" t="str">
        <f t="shared" si="74"/>
        <v/>
      </c>
    </row>
    <row r="787" spans="2:9">
      <c r="B787" s="555" t="str">
        <f t="shared" si="69"/>
        <v/>
      </c>
      <c r="C787" s="556" t="str">
        <f t="shared" si="70"/>
        <v/>
      </c>
      <c r="D787" s="557" t="str">
        <f t="shared" si="71"/>
        <v/>
      </c>
      <c r="E787" s="560"/>
      <c r="F787" s="559"/>
      <c r="G787" s="559" t="str">
        <f t="shared" si="72"/>
        <v/>
      </c>
      <c r="H787" s="559" t="str">
        <f t="shared" si="73"/>
        <v/>
      </c>
      <c r="I787" s="559" t="str">
        <f t="shared" si="74"/>
        <v/>
      </c>
    </row>
    <row r="788" spans="2:9">
      <c r="B788" s="555" t="str">
        <f t="shared" si="69"/>
        <v/>
      </c>
      <c r="C788" s="556" t="str">
        <f t="shared" si="70"/>
        <v/>
      </c>
      <c r="D788" s="557" t="str">
        <f t="shared" si="71"/>
        <v/>
      </c>
      <c r="E788" s="560"/>
      <c r="F788" s="559"/>
      <c r="G788" s="559" t="str">
        <f t="shared" si="72"/>
        <v/>
      </c>
      <c r="H788" s="559" t="str">
        <f t="shared" si="73"/>
        <v/>
      </c>
      <c r="I788" s="559" t="str">
        <f t="shared" si="74"/>
        <v/>
      </c>
    </row>
    <row r="789" spans="2:9">
      <c r="B789" s="555" t="str">
        <f t="shared" si="69"/>
        <v/>
      </c>
      <c r="C789" s="556" t="str">
        <f t="shared" si="70"/>
        <v/>
      </c>
      <c r="D789" s="557" t="str">
        <f t="shared" si="71"/>
        <v/>
      </c>
      <c r="E789" s="560"/>
      <c r="F789" s="559"/>
      <c r="G789" s="559" t="str">
        <f t="shared" si="72"/>
        <v/>
      </c>
      <c r="H789" s="559" t="str">
        <f t="shared" si="73"/>
        <v/>
      </c>
      <c r="I789" s="559" t="str">
        <f t="shared" si="74"/>
        <v/>
      </c>
    </row>
    <row r="790" spans="2:9">
      <c r="B790" s="555" t="str">
        <f t="shared" si="69"/>
        <v/>
      </c>
      <c r="C790" s="556" t="str">
        <f t="shared" si="70"/>
        <v/>
      </c>
      <c r="D790" s="557" t="str">
        <f t="shared" si="71"/>
        <v/>
      </c>
      <c r="E790" s="560"/>
      <c r="F790" s="559"/>
      <c r="G790" s="559" t="str">
        <f t="shared" si="72"/>
        <v/>
      </c>
      <c r="H790" s="559" t="str">
        <f t="shared" si="73"/>
        <v/>
      </c>
      <c r="I790" s="559" t="str">
        <f t="shared" si="74"/>
        <v/>
      </c>
    </row>
    <row r="791" spans="2:9">
      <c r="B791" s="555" t="str">
        <f t="shared" si="69"/>
        <v/>
      </c>
      <c r="C791" s="556" t="str">
        <f t="shared" si="70"/>
        <v/>
      </c>
      <c r="D791" s="557" t="str">
        <f t="shared" si="71"/>
        <v/>
      </c>
      <c r="E791" s="560"/>
      <c r="F791" s="559"/>
      <c r="G791" s="559" t="str">
        <f t="shared" si="72"/>
        <v/>
      </c>
      <c r="H791" s="559" t="str">
        <f t="shared" si="73"/>
        <v/>
      </c>
      <c r="I791" s="559" t="str">
        <f t="shared" si="74"/>
        <v/>
      </c>
    </row>
    <row r="792" spans="2:9">
      <c r="B792" s="555" t="str">
        <f t="shared" si="69"/>
        <v/>
      </c>
      <c r="C792" s="556" t="str">
        <f t="shared" si="70"/>
        <v/>
      </c>
      <c r="D792" s="557" t="str">
        <f t="shared" si="71"/>
        <v/>
      </c>
      <c r="E792" s="560"/>
      <c r="F792" s="559"/>
      <c r="G792" s="559" t="str">
        <f t="shared" si="72"/>
        <v/>
      </c>
      <c r="H792" s="559" t="str">
        <f t="shared" si="73"/>
        <v/>
      </c>
      <c r="I792" s="559" t="str">
        <f t="shared" si="74"/>
        <v/>
      </c>
    </row>
    <row r="793" spans="2:9">
      <c r="B793" s="555" t="str">
        <f t="shared" si="69"/>
        <v/>
      </c>
      <c r="C793" s="556" t="str">
        <f t="shared" si="70"/>
        <v/>
      </c>
      <c r="D793" s="557" t="str">
        <f t="shared" si="71"/>
        <v/>
      </c>
      <c r="E793" s="560"/>
      <c r="F793" s="559"/>
      <c r="G793" s="559" t="str">
        <f t="shared" si="72"/>
        <v/>
      </c>
      <c r="H793" s="559" t="str">
        <f t="shared" si="73"/>
        <v/>
      </c>
      <c r="I793" s="559" t="str">
        <f t="shared" si="74"/>
        <v/>
      </c>
    </row>
    <row r="794" spans="2:9">
      <c r="B794" s="555" t="str">
        <f t="shared" si="69"/>
        <v/>
      </c>
      <c r="C794" s="556" t="str">
        <f t="shared" si="70"/>
        <v/>
      </c>
      <c r="D794" s="557" t="str">
        <f t="shared" si="71"/>
        <v/>
      </c>
      <c r="E794" s="560"/>
      <c r="F794" s="559"/>
      <c r="G794" s="559" t="str">
        <f t="shared" si="72"/>
        <v/>
      </c>
      <c r="H794" s="559" t="str">
        <f t="shared" si="73"/>
        <v/>
      </c>
      <c r="I794" s="559" t="str">
        <f t="shared" si="74"/>
        <v/>
      </c>
    </row>
    <row r="795" spans="2:9">
      <c r="B795" s="555" t="str">
        <f t="shared" si="69"/>
        <v/>
      </c>
      <c r="C795" s="556" t="str">
        <f t="shared" si="70"/>
        <v/>
      </c>
      <c r="D795" s="557" t="str">
        <f t="shared" si="71"/>
        <v/>
      </c>
      <c r="E795" s="560"/>
      <c r="F795" s="559"/>
      <c r="G795" s="559" t="str">
        <f t="shared" si="72"/>
        <v/>
      </c>
      <c r="H795" s="559" t="str">
        <f t="shared" si="73"/>
        <v/>
      </c>
      <c r="I795" s="559" t="str">
        <f t="shared" si="74"/>
        <v/>
      </c>
    </row>
    <row r="796" spans="2:9">
      <c r="B796" s="555" t="str">
        <f t="shared" si="69"/>
        <v/>
      </c>
      <c r="C796" s="556" t="str">
        <f t="shared" si="70"/>
        <v/>
      </c>
      <c r="D796" s="557" t="str">
        <f t="shared" si="71"/>
        <v/>
      </c>
      <c r="E796" s="560"/>
      <c r="F796" s="559"/>
      <c r="G796" s="559" t="str">
        <f t="shared" si="72"/>
        <v/>
      </c>
      <c r="H796" s="559" t="str">
        <f t="shared" si="73"/>
        <v/>
      </c>
      <c r="I796" s="559" t="str">
        <f t="shared" si="74"/>
        <v/>
      </c>
    </row>
    <row r="797" spans="2:9">
      <c r="B797" s="555" t="str">
        <f t="shared" si="69"/>
        <v/>
      </c>
      <c r="C797" s="556" t="str">
        <f t="shared" si="70"/>
        <v/>
      </c>
      <c r="D797" s="557" t="str">
        <f t="shared" si="71"/>
        <v/>
      </c>
      <c r="E797" s="560"/>
      <c r="F797" s="559"/>
      <c r="G797" s="559" t="str">
        <f t="shared" si="72"/>
        <v/>
      </c>
      <c r="H797" s="559" t="str">
        <f t="shared" si="73"/>
        <v/>
      </c>
      <c r="I797" s="559" t="str">
        <f t="shared" si="74"/>
        <v/>
      </c>
    </row>
    <row r="798" spans="2:9">
      <c r="B798" s="555" t="str">
        <f t="shared" si="69"/>
        <v/>
      </c>
      <c r="C798" s="556" t="str">
        <f t="shared" si="70"/>
        <v/>
      </c>
      <c r="D798" s="557" t="str">
        <f t="shared" si="71"/>
        <v/>
      </c>
      <c r="E798" s="560"/>
      <c r="F798" s="559"/>
      <c r="G798" s="559" t="str">
        <f t="shared" si="72"/>
        <v/>
      </c>
      <c r="H798" s="559" t="str">
        <f t="shared" si="73"/>
        <v/>
      </c>
      <c r="I798" s="559" t="str">
        <f t="shared" si="74"/>
        <v/>
      </c>
    </row>
    <row r="799" spans="2:9">
      <c r="B799" s="555" t="str">
        <f t="shared" si="69"/>
        <v/>
      </c>
      <c r="C799" s="556" t="str">
        <f t="shared" si="70"/>
        <v/>
      </c>
      <c r="D799" s="557" t="str">
        <f t="shared" si="71"/>
        <v/>
      </c>
      <c r="E799" s="560"/>
      <c r="F799" s="559"/>
      <c r="G799" s="559" t="str">
        <f t="shared" si="72"/>
        <v/>
      </c>
      <c r="H799" s="559" t="str">
        <f t="shared" si="73"/>
        <v/>
      </c>
      <c r="I799" s="559" t="str">
        <f t="shared" si="74"/>
        <v/>
      </c>
    </row>
    <row r="800" spans="2:9">
      <c r="B800" s="555" t="str">
        <f t="shared" si="69"/>
        <v/>
      </c>
      <c r="C800" s="556" t="str">
        <f t="shared" si="70"/>
        <v/>
      </c>
      <c r="D800" s="557" t="str">
        <f t="shared" si="71"/>
        <v/>
      </c>
      <c r="E800" s="560"/>
      <c r="F800" s="559"/>
      <c r="G800" s="559" t="str">
        <f t="shared" si="72"/>
        <v/>
      </c>
      <c r="H800" s="559" t="str">
        <f t="shared" si="73"/>
        <v/>
      </c>
      <c r="I800" s="559" t="str">
        <f t="shared" si="74"/>
        <v/>
      </c>
    </row>
    <row r="801" spans="2:9">
      <c r="B801" s="555" t="str">
        <f t="shared" si="69"/>
        <v/>
      </c>
      <c r="C801" s="556" t="str">
        <f t="shared" si="70"/>
        <v/>
      </c>
      <c r="D801" s="557" t="str">
        <f t="shared" si="71"/>
        <v/>
      </c>
      <c r="E801" s="560"/>
      <c r="F801" s="559"/>
      <c r="G801" s="559" t="str">
        <f t="shared" si="72"/>
        <v/>
      </c>
      <c r="H801" s="559" t="str">
        <f t="shared" si="73"/>
        <v/>
      </c>
      <c r="I801" s="559" t="str">
        <f t="shared" si="74"/>
        <v/>
      </c>
    </row>
    <row r="802" spans="2:9">
      <c r="B802" s="555" t="str">
        <f t="shared" si="69"/>
        <v/>
      </c>
      <c r="C802" s="556" t="str">
        <f t="shared" si="70"/>
        <v/>
      </c>
      <c r="D802" s="557" t="str">
        <f t="shared" si="71"/>
        <v/>
      </c>
      <c r="E802" s="560"/>
      <c r="F802" s="559"/>
      <c r="G802" s="559" t="str">
        <f t="shared" si="72"/>
        <v/>
      </c>
      <c r="H802" s="559" t="str">
        <f t="shared" si="73"/>
        <v/>
      </c>
      <c r="I802" s="559" t="str">
        <f t="shared" si="74"/>
        <v/>
      </c>
    </row>
    <row r="803" spans="2:9">
      <c r="B803" s="555" t="str">
        <f t="shared" si="69"/>
        <v/>
      </c>
      <c r="C803" s="556" t="str">
        <f t="shared" si="70"/>
        <v/>
      </c>
      <c r="D803" s="557" t="str">
        <f t="shared" si="71"/>
        <v/>
      </c>
      <c r="E803" s="560"/>
      <c r="F803" s="559"/>
      <c r="G803" s="559" t="str">
        <f t="shared" si="72"/>
        <v/>
      </c>
      <c r="H803" s="559" t="str">
        <f t="shared" si="73"/>
        <v/>
      </c>
      <c r="I803" s="559" t="str">
        <f t="shared" si="74"/>
        <v/>
      </c>
    </row>
    <row r="804" spans="2:9">
      <c r="B804" s="555" t="str">
        <f t="shared" si="69"/>
        <v/>
      </c>
      <c r="C804" s="556" t="str">
        <f t="shared" si="70"/>
        <v/>
      </c>
      <c r="D804" s="557" t="str">
        <f t="shared" si="71"/>
        <v/>
      </c>
      <c r="E804" s="560"/>
      <c r="F804" s="559"/>
      <c r="G804" s="559" t="str">
        <f t="shared" si="72"/>
        <v/>
      </c>
      <c r="H804" s="559" t="str">
        <f t="shared" si="73"/>
        <v/>
      </c>
      <c r="I804" s="559" t="str">
        <f t="shared" si="74"/>
        <v/>
      </c>
    </row>
    <row r="805" spans="2:9">
      <c r="B805" s="555" t="str">
        <f t="shared" si="69"/>
        <v/>
      </c>
      <c r="C805" s="556" t="str">
        <f t="shared" si="70"/>
        <v/>
      </c>
      <c r="D805" s="557" t="str">
        <f t="shared" si="71"/>
        <v/>
      </c>
      <c r="E805" s="560"/>
      <c r="F805" s="559"/>
      <c r="G805" s="559" t="str">
        <f t="shared" si="72"/>
        <v/>
      </c>
      <c r="H805" s="559" t="str">
        <f t="shared" si="73"/>
        <v/>
      </c>
      <c r="I805" s="559" t="str">
        <f t="shared" si="74"/>
        <v/>
      </c>
    </row>
    <row r="806" spans="2:9">
      <c r="B806" s="555" t="str">
        <f t="shared" si="69"/>
        <v/>
      </c>
      <c r="C806" s="556" t="str">
        <f t="shared" si="70"/>
        <v/>
      </c>
      <c r="D806" s="557" t="str">
        <f t="shared" si="71"/>
        <v/>
      </c>
      <c r="E806" s="560"/>
      <c r="F806" s="559"/>
      <c r="G806" s="559" t="str">
        <f t="shared" si="72"/>
        <v/>
      </c>
      <c r="H806" s="559" t="str">
        <f t="shared" si="73"/>
        <v/>
      </c>
      <c r="I806" s="559" t="str">
        <f t="shared" si="74"/>
        <v/>
      </c>
    </row>
    <row r="807" spans="2:9">
      <c r="B807" s="555" t="str">
        <f t="shared" si="69"/>
        <v/>
      </c>
      <c r="C807" s="556" t="str">
        <f t="shared" si="70"/>
        <v/>
      </c>
      <c r="D807" s="557" t="str">
        <f t="shared" si="71"/>
        <v/>
      </c>
      <c r="E807" s="560"/>
      <c r="F807" s="559"/>
      <c r="G807" s="559" t="str">
        <f t="shared" si="72"/>
        <v/>
      </c>
      <c r="H807" s="559" t="str">
        <f t="shared" si="73"/>
        <v/>
      </c>
      <c r="I807" s="559" t="str">
        <f t="shared" si="74"/>
        <v/>
      </c>
    </row>
    <row r="808" spans="2:9">
      <c r="B808" s="555" t="str">
        <f t="shared" si="69"/>
        <v/>
      </c>
      <c r="C808" s="556" t="str">
        <f t="shared" si="70"/>
        <v/>
      </c>
      <c r="D808" s="557" t="str">
        <f t="shared" si="71"/>
        <v/>
      </c>
      <c r="E808" s="560"/>
      <c r="F808" s="559"/>
      <c r="G808" s="559" t="str">
        <f t="shared" si="72"/>
        <v/>
      </c>
      <c r="H808" s="559" t="str">
        <f t="shared" si="73"/>
        <v/>
      </c>
      <c r="I808" s="559" t="str">
        <f t="shared" si="74"/>
        <v/>
      </c>
    </row>
    <row r="809" spans="2:9">
      <c r="B809" s="555" t="str">
        <f t="shared" si="69"/>
        <v/>
      </c>
      <c r="C809" s="556" t="str">
        <f t="shared" si="70"/>
        <v/>
      </c>
      <c r="D809" s="557" t="str">
        <f t="shared" si="71"/>
        <v/>
      </c>
      <c r="E809" s="560"/>
      <c r="F809" s="559"/>
      <c r="G809" s="559" t="str">
        <f t="shared" si="72"/>
        <v/>
      </c>
      <c r="H809" s="559" t="str">
        <f t="shared" si="73"/>
        <v/>
      </c>
      <c r="I809" s="559" t="str">
        <f t="shared" si="74"/>
        <v/>
      </c>
    </row>
    <row r="810" spans="2:9">
      <c r="B810" s="555" t="str">
        <f t="shared" si="69"/>
        <v/>
      </c>
      <c r="C810" s="556" t="str">
        <f t="shared" si="70"/>
        <v/>
      </c>
      <c r="D810" s="557" t="str">
        <f t="shared" si="71"/>
        <v/>
      </c>
      <c r="E810" s="560"/>
      <c r="F810" s="559"/>
      <c r="G810" s="559" t="str">
        <f t="shared" si="72"/>
        <v/>
      </c>
      <c r="H810" s="559" t="str">
        <f t="shared" si="73"/>
        <v/>
      </c>
      <c r="I810" s="559" t="str">
        <f t="shared" si="74"/>
        <v/>
      </c>
    </row>
    <row r="811" spans="2:9">
      <c r="B811" s="555" t="str">
        <f t="shared" si="69"/>
        <v/>
      </c>
      <c r="C811" s="556" t="str">
        <f t="shared" si="70"/>
        <v/>
      </c>
      <c r="D811" s="557" t="str">
        <f t="shared" si="71"/>
        <v/>
      </c>
      <c r="E811" s="560"/>
      <c r="F811" s="559"/>
      <c r="G811" s="559" t="str">
        <f t="shared" si="72"/>
        <v/>
      </c>
      <c r="H811" s="559" t="str">
        <f t="shared" si="73"/>
        <v/>
      </c>
      <c r="I811" s="559" t="str">
        <f t="shared" si="74"/>
        <v/>
      </c>
    </row>
    <row r="812" spans="2:9">
      <c r="B812" s="555" t="str">
        <f t="shared" si="69"/>
        <v/>
      </c>
      <c r="C812" s="556" t="str">
        <f t="shared" si="70"/>
        <v/>
      </c>
      <c r="D812" s="557" t="str">
        <f t="shared" si="71"/>
        <v/>
      </c>
      <c r="E812" s="560"/>
      <c r="F812" s="559"/>
      <c r="G812" s="559" t="str">
        <f t="shared" si="72"/>
        <v/>
      </c>
      <c r="H812" s="559" t="str">
        <f t="shared" si="73"/>
        <v/>
      </c>
      <c r="I812" s="559" t="str">
        <f t="shared" si="74"/>
        <v/>
      </c>
    </row>
    <row r="813" spans="2:9">
      <c r="B813" s="555" t="str">
        <f t="shared" si="69"/>
        <v/>
      </c>
      <c r="C813" s="556" t="str">
        <f t="shared" si="70"/>
        <v/>
      </c>
      <c r="D813" s="557" t="str">
        <f t="shared" si="71"/>
        <v/>
      </c>
      <c r="E813" s="560"/>
      <c r="F813" s="559"/>
      <c r="G813" s="559" t="str">
        <f t="shared" si="72"/>
        <v/>
      </c>
      <c r="H813" s="559" t="str">
        <f t="shared" si="73"/>
        <v/>
      </c>
      <c r="I813" s="559" t="str">
        <f t="shared" si="74"/>
        <v/>
      </c>
    </row>
    <row r="814" spans="2:9">
      <c r="B814" s="555" t="str">
        <f t="shared" si="69"/>
        <v/>
      </c>
      <c r="C814" s="556" t="str">
        <f t="shared" si="70"/>
        <v/>
      </c>
      <c r="D814" s="557" t="str">
        <f t="shared" si="71"/>
        <v/>
      </c>
      <c r="E814" s="560"/>
      <c r="F814" s="559"/>
      <c r="G814" s="559" t="str">
        <f t="shared" si="72"/>
        <v/>
      </c>
      <c r="H814" s="559" t="str">
        <f t="shared" si="73"/>
        <v/>
      </c>
      <c r="I814" s="559" t="str">
        <f t="shared" si="74"/>
        <v/>
      </c>
    </row>
    <row r="815" spans="2:9">
      <c r="B815" s="555" t="str">
        <f t="shared" si="69"/>
        <v/>
      </c>
      <c r="C815" s="556" t="str">
        <f t="shared" si="70"/>
        <v/>
      </c>
      <c r="D815" s="557" t="str">
        <f t="shared" si="71"/>
        <v/>
      </c>
      <c r="E815" s="560"/>
      <c r="F815" s="559"/>
      <c r="G815" s="559" t="str">
        <f t="shared" si="72"/>
        <v/>
      </c>
      <c r="H815" s="559" t="str">
        <f t="shared" si="73"/>
        <v/>
      </c>
      <c r="I815" s="559" t="str">
        <f t="shared" si="74"/>
        <v/>
      </c>
    </row>
    <row r="816" spans="2:9">
      <c r="B816" s="555" t="str">
        <f t="shared" si="69"/>
        <v/>
      </c>
      <c r="C816" s="556" t="str">
        <f t="shared" si="70"/>
        <v/>
      </c>
      <c r="D816" s="557" t="str">
        <f t="shared" si="71"/>
        <v/>
      </c>
      <c r="E816" s="560"/>
      <c r="F816" s="559"/>
      <c r="G816" s="559" t="str">
        <f t="shared" si="72"/>
        <v/>
      </c>
      <c r="H816" s="559" t="str">
        <f t="shared" si="73"/>
        <v/>
      </c>
      <c r="I816" s="559" t="str">
        <f t="shared" si="74"/>
        <v/>
      </c>
    </row>
    <row r="817" spans="2:9">
      <c r="B817" s="555" t="str">
        <f t="shared" si="69"/>
        <v/>
      </c>
      <c r="C817" s="556" t="str">
        <f t="shared" si="70"/>
        <v/>
      </c>
      <c r="D817" s="557" t="str">
        <f t="shared" si="71"/>
        <v/>
      </c>
      <c r="E817" s="560"/>
      <c r="F817" s="559"/>
      <c r="G817" s="559" t="str">
        <f t="shared" si="72"/>
        <v/>
      </c>
      <c r="H817" s="559" t="str">
        <f t="shared" si="73"/>
        <v/>
      </c>
      <c r="I817" s="559" t="str">
        <f t="shared" si="74"/>
        <v/>
      </c>
    </row>
    <row r="818" spans="2:9">
      <c r="B818" s="555" t="str">
        <f t="shared" si="69"/>
        <v/>
      </c>
      <c r="C818" s="556" t="str">
        <f t="shared" si="70"/>
        <v/>
      </c>
      <c r="D818" s="557" t="str">
        <f t="shared" si="71"/>
        <v/>
      </c>
      <c r="E818" s="560"/>
      <c r="F818" s="559"/>
      <c r="G818" s="559" t="str">
        <f t="shared" si="72"/>
        <v/>
      </c>
      <c r="H818" s="559" t="str">
        <f t="shared" si="73"/>
        <v/>
      </c>
      <c r="I818" s="559" t="str">
        <f t="shared" si="74"/>
        <v/>
      </c>
    </row>
    <row r="819" spans="2:9">
      <c r="B819" s="555" t="str">
        <f t="shared" si="69"/>
        <v/>
      </c>
      <c r="C819" s="556" t="str">
        <f t="shared" si="70"/>
        <v/>
      </c>
      <c r="D819" s="557" t="str">
        <f t="shared" si="71"/>
        <v/>
      </c>
      <c r="E819" s="560"/>
      <c r="F819" s="559"/>
      <c r="G819" s="559" t="str">
        <f t="shared" si="72"/>
        <v/>
      </c>
      <c r="H819" s="559" t="str">
        <f t="shared" si="73"/>
        <v/>
      </c>
      <c r="I819" s="559" t="str">
        <f t="shared" si="74"/>
        <v/>
      </c>
    </row>
    <row r="820" spans="2:9">
      <c r="B820" s="555" t="str">
        <f t="shared" si="69"/>
        <v/>
      </c>
      <c r="C820" s="556" t="str">
        <f t="shared" si="70"/>
        <v/>
      </c>
      <c r="D820" s="557" t="str">
        <f t="shared" si="71"/>
        <v/>
      </c>
      <c r="E820" s="560"/>
      <c r="F820" s="559"/>
      <c r="G820" s="559" t="str">
        <f t="shared" si="72"/>
        <v/>
      </c>
      <c r="H820" s="559" t="str">
        <f t="shared" si="73"/>
        <v/>
      </c>
      <c r="I820" s="559" t="str">
        <f t="shared" si="74"/>
        <v/>
      </c>
    </row>
    <row r="821" spans="2:9">
      <c r="B821" s="555" t="str">
        <f t="shared" si="69"/>
        <v/>
      </c>
      <c r="C821" s="556" t="str">
        <f t="shared" si="70"/>
        <v/>
      </c>
      <c r="D821" s="557" t="str">
        <f t="shared" si="71"/>
        <v/>
      </c>
      <c r="E821" s="560"/>
      <c r="F821" s="559"/>
      <c r="G821" s="559" t="str">
        <f t="shared" si="72"/>
        <v/>
      </c>
      <c r="H821" s="559" t="str">
        <f t="shared" si="73"/>
        <v/>
      </c>
      <c r="I821" s="559" t="str">
        <f t="shared" si="74"/>
        <v/>
      </c>
    </row>
    <row r="822" spans="2:9">
      <c r="B822" s="555" t="str">
        <f t="shared" si="69"/>
        <v/>
      </c>
      <c r="C822" s="556" t="str">
        <f t="shared" si="70"/>
        <v/>
      </c>
      <c r="D822" s="557" t="str">
        <f t="shared" si="71"/>
        <v/>
      </c>
      <c r="E822" s="560"/>
      <c r="F822" s="559"/>
      <c r="G822" s="559" t="str">
        <f t="shared" si="72"/>
        <v/>
      </c>
      <c r="H822" s="559" t="str">
        <f t="shared" si="73"/>
        <v/>
      </c>
      <c r="I822" s="559" t="str">
        <f t="shared" si="74"/>
        <v/>
      </c>
    </row>
    <row r="823" spans="2:9">
      <c r="B823" s="555" t="str">
        <f t="shared" si="69"/>
        <v/>
      </c>
      <c r="C823" s="556" t="str">
        <f t="shared" si="70"/>
        <v/>
      </c>
      <c r="D823" s="557" t="str">
        <f t="shared" si="71"/>
        <v/>
      </c>
      <c r="E823" s="560"/>
      <c r="F823" s="559"/>
      <c r="G823" s="559" t="str">
        <f t="shared" si="72"/>
        <v/>
      </c>
      <c r="H823" s="559" t="str">
        <f t="shared" si="73"/>
        <v/>
      </c>
      <c r="I823" s="559" t="str">
        <f t="shared" si="74"/>
        <v/>
      </c>
    </row>
    <row r="824" spans="2:9">
      <c r="B824" s="555" t="str">
        <f t="shared" si="69"/>
        <v/>
      </c>
      <c r="C824" s="556" t="str">
        <f t="shared" si="70"/>
        <v/>
      </c>
      <c r="D824" s="557" t="str">
        <f t="shared" si="71"/>
        <v/>
      </c>
      <c r="E824" s="560"/>
      <c r="F824" s="559"/>
      <c r="G824" s="559" t="str">
        <f t="shared" si="72"/>
        <v/>
      </c>
      <c r="H824" s="559" t="str">
        <f t="shared" si="73"/>
        <v/>
      </c>
      <c r="I824" s="559" t="str">
        <f t="shared" si="74"/>
        <v/>
      </c>
    </row>
    <row r="825" spans="2:9">
      <c r="B825" s="555" t="str">
        <f t="shared" si="69"/>
        <v/>
      </c>
      <c r="C825" s="556" t="str">
        <f t="shared" si="70"/>
        <v/>
      </c>
      <c r="D825" s="557" t="str">
        <f t="shared" si="71"/>
        <v/>
      </c>
      <c r="E825" s="560"/>
      <c r="F825" s="559"/>
      <c r="G825" s="559" t="str">
        <f t="shared" si="72"/>
        <v/>
      </c>
      <c r="H825" s="559" t="str">
        <f t="shared" si="73"/>
        <v/>
      </c>
      <c r="I825" s="559" t="str">
        <f t="shared" si="74"/>
        <v/>
      </c>
    </row>
    <row r="826" spans="2:9">
      <c r="B826" s="555" t="str">
        <f t="shared" si="69"/>
        <v/>
      </c>
      <c r="C826" s="556" t="str">
        <f t="shared" si="70"/>
        <v/>
      </c>
      <c r="D826" s="557" t="str">
        <f t="shared" si="71"/>
        <v/>
      </c>
      <c r="E826" s="560"/>
      <c r="F826" s="559"/>
      <c r="G826" s="559" t="str">
        <f t="shared" si="72"/>
        <v/>
      </c>
      <c r="H826" s="559" t="str">
        <f t="shared" si="73"/>
        <v/>
      </c>
      <c r="I826" s="559" t="str">
        <f t="shared" si="74"/>
        <v/>
      </c>
    </row>
    <row r="827" spans="2:9">
      <c r="B827" s="555" t="str">
        <f t="shared" si="69"/>
        <v/>
      </c>
      <c r="C827" s="556" t="str">
        <f t="shared" si="70"/>
        <v/>
      </c>
      <c r="D827" s="557" t="str">
        <f t="shared" si="71"/>
        <v/>
      </c>
      <c r="E827" s="560"/>
      <c r="F827" s="559"/>
      <c r="G827" s="559" t="str">
        <f t="shared" si="72"/>
        <v/>
      </c>
      <c r="H827" s="559" t="str">
        <f t="shared" si="73"/>
        <v/>
      </c>
      <c r="I827" s="559" t="str">
        <f t="shared" si="74"/>
        <v/>
      </c>
    </row>
    <row r="828" spans="2:9">
      <c r="B828" s="555" t="str">
        <f t="shared" si="69"/>
        <v/>
      </c>
      <c r="C828" s="556" t="str">
        <f t="shared" si="70"/>
        <v/>
      </c>
      <c r="D828" s="557" t="str">
        <f t="shared" si="71"/>
        <v/>
      </c>
      <c r="E828" s="560"/>
      <c r="F828" s="559"/>
      <c r="G828" s="559" t="str">
        <f t="shared" si="72"/>
        <v/>
      </c>
      <c r="H828" s="559" t="str">
        <f t="shared" si="73"/>
        <v/>
      </c>
      <c r="I828" s="559" t="str">
        <f t="shared" si="74"/>
        <v/>
      </c>
    </row>
    <row r="829" spans="2:9">
      <c r="B829" s="555" t="str">
        <f t="shared" ref="B829:B840" si="75">IF(I828="","",IF(roundOpt,IF(OR(B828&gt;=nper,ROUND(I828,2)&lt;=0),"",B828+1),IF(OR(B828&gt;=nper,I828&lt;=0),"",B828+1)))</f>
        <v/>
      </c>
      <c r="C829" s="556" t="str">
        <f t="shared" ref="C829:C840" si="76">IF(B829="","",IF(OR(periods_per_year=26,periods_per_year=52),IF(periods_per_year=26,IF(B829=1,fpdate,C828+14),IF(periods_per_year=52,IF(B829=1,fpdate,C828+7),"n/a")),IF(periods_per_year=24,DATE(YEAR(fpdate),MONTH(fpdate)+(B829-1)/2+IF(AND(DAY(fpdate)&gt;=15,MOD(B829,2)=0),1,0),IF(MOD(B829,2)=0,IF(DAY(fpdate)&gt;=15,DAY(fpdate)-14,DAY(fpdate)+14),DAY(fpdate))),IF(DAY(DATE(YEAR(fpdate),MONTH(fpdate)+(B829-1)*months_per_period,DAY(fpdate)))&lt;&gt;DAY(fpdate),DATE(YEAR(fpdate),MONTH(fpdate)+(B829-1)*months_per_period+1,0),DATE(YEAR(fpdate),MONTH(fpdate)+(B829-1)*months_per_period,DAY(fpdate))))))</f>
        <v/>
      </c>
      <c r="D829" s="557" t="str">
        <f t="shared" ref="D829:D840" si="77">IF(B829="","",IF(roundOpt,IF(OR(B829=nper,payment&gt;ROUND((1+rate)*I828,2)),ROUND((1+rate)*I828,2),payment),IF(OR(B829=nper,payment&gt;(1+rate)*I828),(1+rate)*I828,payment)))</f>
        <v/>
      </c>
      <c r="E829" s="560"/>
      <c r="F829" s="559"/>
      <c r="G829" s="559" t="str">
        <f t="shared" ref="G829:G840" si="78">IF(B829="","",IF(AND(B829=1,pmtType=1),0,IF(roundOpt,ROUND(rate*I828,2),rate*I828)))</f>
        <v/>
      </c>
      <c r="H829" s="559" t="str">
        <f t="shared" ref="H829:H840" si="79">IF(B829="","",D829-G829+E829)</f>
        <v/>
      </c>
      <c r="I829" s="559" t="str">
        <f t="shared" ref="I829:I840" si="80">IF(B829="","",I828-H829)</f>
        <v/>
      </c>
    </row>
    <row r="830" spans="2:9">
      <c r="B830" s="555" t="str">
        <f t="shared" si="75"/>
        <v/>
      </c>
      <c r="C830" s="556" t="str">
        <f t="shared" si="76"/>
        <v/>
      </c>
      <c r="D830" s="557" t="str">
        <f t="shared" si="77"/>
        <v/>
      </c>
      <c r="E830" s="560"/>
      <c r="F830" s="559"/>
      <c r="G830" s="559" t="str">
        <f t="shared" si="78"/>
        <v/>
      </c>
      <c r="H830" s="559" t="str">
        <f t="shared" si="79"/>
        <v/>
      </c>
      <c r="I830" s="559" t="str">
        <f t="shared" si="80"/>
        <v/>
      </c>
    </row>
    <row r="831" spans="2:9">
      <c r="B831" s="555" t="str">
        <f t="shared" si="75"/>
        <v/>
      </c>
      <c r="C831" s="556" t="str">
        <f t="shared" si="76"/>
        <v/>
      </c>
      <c r="D831" s="557" t="str">
        <f t="shared" si="77"/>
        <v/>
      </c>
      <c r="E831" s="560"/>
      <c r="F831" s="559"/>
      <c r="G831" s="559" t="str">
        <f t="shared" si="78"/>
        <v/>
      </c>
      <c r="H831" s="559" t="str">
        <f t="shared" si="79"/>
        <v/>
      </c>
      <c r="I831" s="559" t="str">
        <f t="shared" si="80"/>
        <v/>
      </c>
    </row>
    <row r="832" spans="2:9">
      <c r="B832" s="555" t="str">
        <f t="shared" si="75"/>
        <v/>
      </c>
      <c r="C832" s="556" t="str">
        <f t="shared" si="76"/>
        <v/>
      </c>
      <c r="D832" s="557" t="str">
        <f t="shared" si="77"/>
        <v/>
      </c>
      <c r="E832" s="560"/>
      <c r="F832" s="559"/>
      <c r="G832" s="559" t="str">
        <f t="shared" si="78"/>
        <v/>
      </c>
      <c r="H832" s="559" t="str">
        <f t="shared" si="79"/>
        <v/>
      </c>
      <c r="I832" s="559" t="str">
        <f t="shared" si="80"/>
        <v/>
      </c>
    </row>
    <row r="833" spans="2:9">
      <c r="B833" s="555" t="str">
        <f t="shared" si="75"/>
        <v/>
      </c>
      <c r="C833" s="556" t="str">
        <f t="shared" si="76"/>
        <v/>
      </c>
      <c r="D833" s="557" t="str">
        <f t="shared" si="77"/>
        <v/>
      </c>
      <c r="E833" s="560"/>
      <c r="F833" s="559"/>
      <c r="G833" s="559" t="str">
        <f t="shared" si="78"/>
        <v/>
      </c>
      <c r="H833" s="559" t="str">
        <f t="shared" si="79"/>
        <v/>
      </c>
      <c r="I833" s="559" t="str">
        <f t="shared" si="80"/>
        <v/>
      </c>
    </row>
    <row r="834" spans="2:9">
      <c r="B834" s="555" t="str">
        <f t="shared" si="75"/>
        <v/>
      </c>
      <c r="C834" s="556" t="str">
        <f t="shared" si="76"/>
        <v/>
      </c>
      <c r="D834" s="557" t="str">
        <f t="shared" si="77"/>
        <v/>
      </c>
      <c r="E834" s="560"/>
      <c r="F834" s="559"/>
      <c r="G834" s="559" t="str">
        <f t="shared" si="78"/>
        <v/>
      </c>
      <c r="H834" s="559" t="str">
        <f t="shared" si="79"/>
        <v/>
      </c>
      <c r="I834" s="559" t="str">
        <f t="shared" si="80"/>
        <v/>
      </c>
    </row>
    <row r="835" spans="2:9">
      <c r="B835" s="555" t="str">
        <f t="shared" si="75"/>
        <v/>
      </c>
      <c r="C835" s="556" t="str">
        <f t="shared" si="76"/>
        <v/>
      </c>
      <c r="D835" s="557" t="str">
        <f t="shared" si="77"/>
        <v/>
      </c>
      <c r="E835" s="560"/>
      <c r="F835" s="559"/>
      <c r="G835" s="559" t="str">
        <f t="shared" si="78"/>
        <v/>
      </c>
      <c r="H835" s="559" t="str">
        <f t="shared" si="79"/>
        <v/>
      </c>
      <c r="I835" s="559" t="str">
        <f t="shared" si="80"/>
        <v/>
      </c>
    </row>
    <row r="836" spans="2:9">
      <c r="B836" s="555" t="str">
        <f t="shared" si="75"/>
        <v/>
      </c>
      <c r="C836" s="556" t="str">
        <f t="shared" si="76"/>
        <v/>
      </c>
      <c r="D836" s="557" t="str">
        <f t="shared" si="77"/>
        <v/>
      </c>
      <c r="E836" s="560"/>
      <c r="F836" s="559"/>
      <c r="G836" s="559" t="str">
        <f t="shared" si="78"/>
        <v/>
      </c>
      <c r="H836" s="559" t="str">
        <f t="shared" si="79"/>
        <v/>
      </c>
      <c r="I836" s="559" t="str">
        <f t="shared" si="80"/>
        <v/>
      </c>
    </row>
    <row r="837" spans="2:9">
      <c r="B837" s="555" t="str">
        <f t="shared" si="75"/>
        <v/>
      </c>
      <c r="C837" s="556" t="str">
        <f t="shared" si="76"/>
        <v/>
      </c>
      <c r="D837" s="557" t="str">
        <f t="shared" si="77"/>
        <v/>
      </c>
      <c r="E837" s="560"/>
      <c r="F837" s="559"/>
      <c r="G837" s="559" t="str">
        <f t="shared" si="78"/>
        <v/>
      </c>
      <c r="H837" s="559" t="str">
        <f t="shared" si="79"/>
        <v/>
      </c>
      <c r="I837" s="559" t="str">
        <f t="shared" si="80"/>
        <v/>
      </c>
    </row>
    <row r="838" spans="2:9">
      <c r="B838" s="555" t="str">
        <f t="shared" si="75"/>
        <v/>
      </c>
      <c r="C838" s="556" t="str">
        <f t="shared" si="76"/>
        <v/>
      </c>
      <c r="D838" s="557" t="str">
        <f t="shared" si="77"/>
        <v/>
      </c>
      <c r="E838" s="560"/>
      <c r="F838" s="559"/>
      <c r="G838" s="559" t="str">
        <f t="shared" si="78"/>
        <v/>
      </c>
      <c r="H838" s="559" t="str">
        <f t="shared" si="79"/>
        <v/>
      </c>
      <c r="I838" s="559" t="str">
        <f t="shared" si="80"/>
        <v/>
      </c>
    </row>
    <row r="839" spans="2:9">
      <c r="B839" s="555" t="str">
        <f t="shared" si="75"/>
        <v/>
      </c>
      <c r="C839" s="556" t="str">
        <f t="shared" si="76"/>
        <v/>
      </c>
      <c r="D839" s="557" t="str">
        <f t="shared" si="77"/>
        <v/>
      </c>
      <c r="E839" s="560"/>
      <c r="F839" s="559"/>
      <c r="G839" s="559" t="str">
        <f t="shared" si="78"/>
        <v/>
      </c>
      <c r="H839" s="559" t="str">
        <f t="shared" si="79"/>
        <v/>
      </c>
      <c r="I839" s="559" t="str">
        <f t="shared" si="80"/>
        <v/>
      </c>
    </row>
    <row r="840" spans="2:9">
      <c r="B840" s="555" t="str">
        <f t="shared" si="75"/>
        <v/>
      </c>
      <c r="C840" s="556" t="str">
        <f t="shared" si="76"/>
        <v/>
      </c>
      <c r="D840" s="557" t="str">
        <f t="shared" si="77"/>
        <v/>
      </c>
      <c r="E840" s="563"/>
      <c r="F840" s="559"/>
      <c r="G840" s="559" t="str">
        <f t="shared" si="78"/>
        <v/>
      </c>
      <c r="H840" s="559" t="str">
        <f t="shared" si="79"/>
        <v/>
      </c>
      <c r="I840" s="559" t="str">
        <f t="shared" si="80"/>
        <v/>
      </c>
    </row>
    <row r="841" spans="2:9">
      <c r="B841" s="564"/>
      <c r="C841" s="565"/>
      <c r="D841" s="565"/>
      <c r="E841" s="565" t="s">
        <v>712</v>
      </c>
      <c r="F841" s="565"/>
      <c r="G841" s="564"/>
      <c r="H841" s="564"/>
      <c r="I841" s="564"/>
    </row>
  </sheetData>
  <sheetProtection algorithmName="SHA-512" hashValue="gVAOEsUY6vPKzpMgK3i++aozW69t5tZOuCCTDWL6d31TzmKsuWUXpJDDSo26GPdkqJtoKjafb1Rr4nLhYr32rA==" saltValue="E4px8GOqdsG1LOMMs0wJ0g==" spinCount="100000" sheet="1" formatCells="0" formatColumns="0" formatRows="0"/>
  <conditionalFormatting sqref="B61:I840">
    <cfRule type="expression" dxfId="9" priority="1" stopIfTrue="1">
      <formula>MOD($B61,periods_per_year)=0</formula>
    </cfRule>
  </conditionalFormatting>
  <conditionalFormatting sqref="E11">
    <cfRule type="expression" dxfId="8" priority="2" stopIfTrue="1">
      <formula>compound_period&gt;periods_per_year</formula>
    </cfRule>
  </conditionalFormatting>
  <dataValidations count="3">
    <dataValidation type="list" showInputMessage="1" showErrorMessage="1" sqref="E12">
      <formula1>"End of Period, Beginning of Period"</formula1>
    </dataValidation>
    <dataValidation type="list" showInputMessage="1" showErrorMessage="1" sqref="E13">
      <formula1>"On,Off"</formula1>
    </dataValidation>
    <dataValidation type="list" showInputMessage="1" showErrorMessage="1" sqref="E10:E11">
      <formula1>$J$6:$J$13</formula1>
    </dataValidation>
  </dataValidations>
  <printOptions horizontalCentered="1" headings="1" gridLines="1"/>
  <pageMargins left="0.5" right="0.5" top="0.85" bottom="0.5" header="0.5" footer="0.5"/>
  <pageSetup scale="52" fitToHeight="0" orientation="portrait" cellComments="asDisplayed" r:id="rId1"/>
  <headerFooter>
    <oddHeader>&amp;L&amp;F&amp;RPage &amp;P of &amp;N</oddHeader>
    <oddFooter>&amp;L&amp;A&amp;R&amp;D &amp;T</oddFooter>
    <firstFooter>&amp;R&amp;8Page &amp;P of &amp;N</firstFooter>
  </headerFooter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1"/>
  <sheetViews>
    <sheetView view="pageBreakPreview" zoomScaleSheetLayoutView="100" workbookViewId="0"/>
  </sheetViews>
  <sheetFormatPr defaultColWidth="8.85546875" defaultRowHeight="15"/>
  <cols>
    <col min="1" max="1" width="17.140625" style="573" customWidth="1"/>
    <col min="2" max="3" width="16.5703125" style="573" customWidth="1"/>
    <col min="4" max="4" width="14.5703125" style="573" customWidth="1"/>
    <col min="5" max="5" width="16.5703125" style="573" customWidth="1"/>
    <col min="6" max="6" width="12.7109375" style="573" customWidth="1"/>
    <col min="7" max="7" width="16.5703125" style="573" customWidth="1"/>
    <col min="8" max="16384" width="8.85546875" style="573"/>
  </cols>
  <sheetData>
    <row r="1" spans="1:7" ht="15.75">
      <c r="A1" s="570" t="s">
        <v>732</v>
      </c>
      <c r="B1" s="570"/>
      <c r="C1" s="570"/>
      <c r="D1" s="570"/>
      <c r="E1" s="571"/>
      <c r="F1" s="572"/>
    </row>
    <row r="2" spans="1:7" ht="15.75">
      <c r="A2" s="574" t="s">
        <v>39</v>
      </c>
      <c r="B2" s="575">
        <f>Dashboard!J28</f>
        <v>0</v>
      </c>
      <c r="C2" s="576"/>
      <c r="D2" s="576"/>
      <c r="E2" s="576"/>
      <c r="F2" s="572"/>
    </row>
    <row r="3" spans="1:7" ht="15.75">
      <c r="A3" s="574" t="s">
        <v>40</v>
      </c>
      <c r="B3" s="577">
        <f>Dashboard!F12</f>
        <v>3.5000000000000003E-2</v>
      </c>
      <c r="C3" s="571"/>
      <c r="D3" s="571"/>
      <c r="E3" s="571"/>
      <c r="F3" s="572"/>
    </row>
    <row r="4" spans="1:7" ht="15.75">
      <c r="A4" s="574" t="s">
        <v>41</v>
      </c>
      <c r="B4" s="575">
        <f>Dashboard!J31</f>
        <v>0</v>
      </c>
      <c r="C4" s="578"/>
      <c r="D4" s="571"/>
      <c r="E4" s="571"/>
      <c r="F4" s="572"/>
    </row>
    <row r="5" spans="1:7" ht="15.75">
      <c r="A5" s="579" t="s">
        <v>42</v>
      </c>
      <c r="B5" s="579" t="s">
        <v>43</v>
      </c>
      <c r="C5" s="579" t="s">
        <v>44</v>
      </c>
      <c r="D5" s="580" t="s">
        <v>45</v>
      </c>
      <c r="E5" s="580" t="s">
        <v>46</v>
      </c>
      <c r="F5" s="581" t="s">
        <v>47</v>
      </c>
    </row>
    <row r="6" spans="1:7" ht="15.75">
      <c r="A6" s="581">
        <v>1</v>
      </c>
      <c r="B6" s="582">
        <f>B2</f>
        <v>0</v>
      </c>
      <c r="C6" s="582"/>
      <c r="D6" s="582">
        <f>+B6*$B$3*0.5</f>
        <v>0</v>
      </c>
      <c r="E6" s="583"/>
      <c r="F6" s="584">
        <f>Dashboard!E12</f>
        <v>2029</v>
      </c>
    </row>
    <row r="7" spans="1:7" ht="15.75">
      <c r="A7" s="581"/>
      <c r="B7" s="571">
        <f t="shared" ref="B7:B67" si="0">B6-C6</f>
        <v>0</v>
      </c>
      <c r="C7" s="571" t="e">
        <f>+B6/$B$4</f>
        <v>#DIV/0!</v>
      </c>
      <c r="D7" s="571">
        <f>+D6</f>
        <v>0</v>
      </c>
      <c r="E7" s="571" t="e">
        <f>SUM(C6:D7)</f>
        <v>#DIV/0!</v>
      </c>
      <c r="F7" s="585">
        <f>+F6</f>
        <v>2029</v>
      </c>
    </row>
    <row r="8" spans="1:7" ht="15.75">
      <c r="A8" s="581">
        <v>2</v>
      </c>
      <c r="B8" s="582" t="e">
        <f>B7-C7</f>
        <v>#DIV/0!</v>
      </c>
      <c r="C8" s="582"/>
      <c r="D8" s="582" t="e">
        <f>+B8*$B$3*0.5</f>
        <v>#DIV/0!</v>
      </c>
      <c r="E8" s="583"/>
      <c r="F8" s="586">
        <f>+F6+1</f>
        <v>2030</v>
      </c>
    </row>
    <row r="9" spans="1:7" ht="15.75">
      <c r="A9" s="581"/>
      <c r="B9" s="571" t="e">
        <f>B8-C8</f>
        <v>#DIV/0!</v>
      </c>
      <c r="C9" s="571" t="e">
        <f>+C7</f>
        <v>#DIV/0!</v>
      </c>
      <c r="D9" s="571" t="e">
        <f>+D8</f>
        <v>#DIV/0!</v>
      </c>
      <c r="E9" s="571">
        <f>IF($B$4&gt;1,SUM(C8:D9),0)</f>
        <v>0</v>
      </c>
      <c r="F9" s="585">
        <f>+F8</f>
        <v>2030</v>
      </c>
    </row>
    <row r="10" spans="1:7" ht="15.75">
      <c r="A10" s="581">
        <v>3</v>
      </c>
      <c r="B10" s="582" t="e">
        <f t="shared" si="0"/>
        <v>#DIV/0!</v>
      </c>
      <c r="C10" s="582"/>
      <c r="D10" s="582" t="e">
        <f>+B10*$B$3*0.5</f>
        <v>#DIV/0!</v>
      </c>
      <c r="E10" s="583"/>
      <c r="F10" s="586">
        <f>+F8+1</f>
        <v>2031</v>
      </c>
    </row>
    <row r="11" spans="1:7" ht="15.75">
      <c r="A11" s="581"/>
      <c r="B11" s="571" t="e">
        <f t="shared" si="0"/>
        <v>#DIV/0!</v>
      </c>
      <c r="C11" s="571" t="e">
        <f>+C9</f>
        <v>#DIV/0!</v>
      </c>
      <c r="D11" s="571" t="e">
        <f>+D10</f>
        <v>#DIV/0!</v>
      </c>
      <c r="E11" s="571">
        <f>IF($B$4&gt;2,SUM(C10:D11),0)</f>
        <v>0</v>
      </c>
      <c r="F11" s="585">
        <f>+F10</f>
        <v>2031</v>
      </c>
    </row>
    <row r="12" spans="1:7" ht="15.75">
      <c r="A12" s="581">
        <v>4</v>
      </c>
      <c r="B12" s="582" t="e">
        <f t="shared" si="0"/>
        <v>#DIV/0!</v>
      </c>
      <c r="C12" s="582"/>
      <c r="D12" s="582" t="e">
        <f>+B12*$B$3*0.5</f>
        <v>#DIV/0!</v>
      </c>
      <c r="E12" s="583"/>
      <c r="F12" s="586">
        <f>+F10+1</f>
        <v>2032</v>
      </c>
      <c r="G12" s="603" t="s">
        <v>719</v>
      </c>
    </row>
    <row r="13" spans="1:7" ht="15.75">
      <c r="A13" s="581"/>
      <c r="B13" s="571" t="e">
        <f t="shared" si="0"/>
        <v>#DIV/0!</v>
      </c>
      <c r="C13" s="571" t="e">
        <f t="shared" ref="C13:C43" si="1">C11</f>
        <v>#DIV/0!</v>
      </c>
      <c r="D13" s="571" t="e">
        <f>+D12</f>
        <v>#DIV/0!</v>
      </c>
      <c r="E13" s="571">
        <f>IF($B$4&gt;3,SUM(C12:D13),0)</f>
        <v>0</v>
      </c>
      <c r="F13" s="585">
        <f>+F12</f>
        <v>2032</v>
      </c>
      <c r="G13" s="602" t="e">
        <f>SUM(E7:E13)</f>
        <v>#DIV/0!</v>
      </c>
    </row>
    <row r="14" spans="1:7" ht="15.75">
      <c r="A14" s="581">
        <v>5</v>
      </c>
      <c r="B14" s="582" t="e">
        <f t="shared" si="0"/>
        <v>#DIV/0!</v>
      </c>
      <c r="C14" s="582"/>
      <c r="D14" s="582" t="e">
        <f>+B14*$B$3*0.5</f>
        <v>#DIV/0!</v>
      </c>
      <c r="E14" s="583"/>
      <c r="F14" s="586">
        <f>+F12+1</f>
        <v>2033</v>
      </c>
    </row>
    <row r="15" spans="1:7" ht="15.75">
      <c r="A15" s="581"/>
      <c r="B15" s="571" t="e">
        <f t="shared" si="0"/>
        <v>#DIV/0!</v>
      </c>
      <c r="C15" s="571" t="e">
        <f t="shared" si="1"/>
        <v>#DIV/0!</v>
      </c>
      <c r="D15" s="571" t="e">
        <f>+D14</f>
        <v>#DIV/0!</v>
      </c>
      <c r="E15" s="571">
        <f>IF($B$4&gt;4,SUM(C14:D15),0)</f>
        <v>0</v>
      </c>
      <c r="F15" s="585">
        <f>+F14</f>
        <v>2033</v>
      </c>
    </row>
    <row r="16" spans="1:7" ht="15.75">
      <c r="A16" s="581">
        <v>6</v>
      </c>
      <c r="B16" s="582" t="e">
        <f t="shared" si="0"/>
        <v>#DIV/0!</v>
      </c>
      <c r="C16" s="582"/>
      <c r="D16" s="582" t="e">
        <f>+B16*$B$3*0.5</f>
        <v>#DIV/0!</v>
      </c>
      <c r="E16" s="583"/>
      <c r="F16" s="586">
        <f>+F14+1</f>
        <v>2034</v>
      </c>
    </row>
    <row r="17" spans="1:6" ht="15.75">
      <c r="A17" s="581"/>
      <c r="B17" s="571" t="e">
        <f t="shared" si="0"/>
        <v>#DIV/0!</v>
      </c>
      <c r="C17" s="571" t="e">
        <f t="shared" si="1"/>
        <v>#DIV/0!</v>
      </c>
      <c r="D17" s="571" t="e">
        <f>+D16</f>
        <v>#DIV/0!</v>
      </c>
      <c r="E17" s="571">
        <f>IF($B$4&gt;5,SUM(C16:D17),0)</f>
        <v>0</v>
      </c>
      <c r="F17" s="585">
        <f>+F16</f>
        <v>2034</v>
      </c>
    </row>
    <row r="18" spans="1:6" ht="15.75">
      <c r="A18" s="581">
        <v>7</v>
      </c>
      <c r="B18" s="582" t="e">
        <f t="shared" si="0"/>
        <v>#DIV/0!</v>
      </c>
      <c r="C18" s="582"/>
      <c r="D18" s="582" t="e">
        <f>+B18*$B$3*0.5</f>
        <v>#DIV/0!</v>
      </c>
      <c r="E18" s="583"/>
      <c r="F18" s="586">
        <f>+F16+1</f>
        <v>2035</v>
      </c>
    </row>
    <row r="19" spans="1:6" ht="15.75">
      <c r="A19" s="581"/>
      <c r="B19" s="571" t="e">
        <f t="shared" si="0"/>
        <v>#DIV/0!</v>
      </c>
      <c r="C19" s="571" t="e">
        <f t="shared" si="1"/>
        <v>#DIV/0!</v>
      </c>
      <c r="D19" s="571" t="e">
        <f>+D18</f>
        <v>#DIV/0!</v>
      </c>
      <c r="E19" s="571">
        <f>IF($B$4&gt;6,SUM(C18:D19),0)</f>
        <v>0</v>
      </c>
      <c r="F19" s="585">
        <f>+F18</f>
        <v>2035</v>
      </c>
    </row>
    <row r="20" spans="1:6" ht="15.75">
      <c r="A20" s="581">
        <v>8</v>
      </c>
      <c r="B20" s="582" t="e">
        <f t="shared" si="0"/>
        <v>#DIV/0!</v>
      </c>
      <c r="C20" s="582"/>
      <c r="D20" s="582" t="e">
        <f>+B20*$B$3*0.5</f>
        <v>#DIV/0!</v>
      </c>
      <c r="E20" s="583"/>
      <c r="F20" s="586">
        <f>+F18+1</f>
        <v>2036</v>
      </c>
    </row>
    <row r="21" spans="1:6" ht="15.75">
      <c r="A21" s="581"/>
      <c r="B21" s="571" t="e">
        <f t="shared" si="0"/>
        <v>#DIV/0!</v>
      </c>
      <c r="C21" s="571" t="e">
        <f t="shared" si="1"/>
        <v>#DIV/0!</v>
      </c>
      <c r="D21" s="571" t="e">
        <f>+D20</f>
        <v>#DIV/0!</v>
      </c>
      <c r="E21" s="571">
        <f>IF($B$4&gt;7,SUM(C20:D21),0)</f>
        <v>0</v>
      </c>
      <c r="F21" s="585">
        <f>+F20</f>
        <v>2036</v>
      </c>
    </row>
    <row r="22" spans="1:6" ht="15.75">
      <c r="A22" s="581">
        <v>9</v>
      </c>
      <c r="B22" s="582" t="e">
        <f t="shared" si="0"/>
        <v>#DIV/0!</v>
      </c>
      <c r="C22" s="582"/>
      <c r="D22" s="582" t="e">
        <f>+B22*$B$3*0.5</f>
        <v>#DIV/0!</v>
      </c>
      <c r="E22" s="583"/>
      <c r="F22" s="586">
        <f>+F20+1</f>
        <v>2037</v>
      </c>
    </row>
    <row r="23" spans="1:6" ht="15.75">
      <c r="A23" s="581"/>
      <c r="B23" s="571" t="e">
        <f t="shared" si="0"/>
        <v>#DIV/0!</v>
      </c>
      <c r="C23" s="571" t="e">
        <f t="shared" si="1"/>
        <v>#DIV/0!</v>
      </c>
      <c r="D23" s="571" t="e">
        <f>+D22</f>
        <v>#DIV/0!</v>
      </c>
      <c r="E23" s="571">
        <f>IF($B$4&gt;8,SUM(C22:D23),0)</f>
        <v>0</v>
      </c>
      <c r="F23" s="585">
        <f>+F22</f>
        <v>2037</v>
      </c>
    </row>
    <row r="24" spans="1:6" ht="15.75">
      <c r="A24" s="581">
        <v>10</v>
      </c>
      <c r="B24" s="582" t="e">
        <f t="shared" si="0"/>
        <v>#DIV/0!</v>
      </c>
      <c r="C24" s="582"/>
      <c r="D24" s="582" t="e">
        <f>+B24*$B$3*0.5</f>
        <v>#DIV/0!</v>
      </c>
      <c r="E24" s="583"/>
      <c r="F24" s="586">
        <f>+F22+1</f>
        <v>2038</v>
      </c>
    </row>
    <row r="25" spans="1:6" ht="15.75">
      <c r="A25" s="581"/>
      <c r="B25" s="571" t="e">
        <f t="shared" si="0"/>
        <v>#DIV/0!</v>
      </c>
      <c r="C25" s="571" t="e">
        <f t="shared" si="1"/>
        <v>#DIV/0!</v>
      </c>
      <c r="D25" s="571" t="e">
        <f>+D24</f>
        <v>#DIV/0!</v>
      </c>
      <c r="E25" s="571">
        <f>IF($B$4&gt;9,SUM(C24:D25),0)</f>
        <v>0</v>
      </c>
      <c r="F25" s="585">
        <f>+F24</f>
        <v>2038</v>
      </c>
    </row>
    <row r="26" spans="1:6" ht="15.75">
      <c r="A26" s="581">
        <v>11</v>
      </c>
      <c r="B26" s="582" t="e">
        <f t="shared" si="0"/>
        <v>#DIV/0!</v>
      </c>
      <c r="C26" s="582"/>
      <c r="D26" s="582" t="e">
        <f>+B26*$B$3*0.5</f>
        <v>#DIV/0!</v>
      </c>
      <c r="E26" s="583"/>
      <c r="F26" s="586">
        <f>+F24+1</f>
        <v>2039</v>
      </c>
    </row>
    <row r="27" spans="1:6" ht="15.75">
      <c r="A27" s="581"/>
      <c r="B27" s="571" t="e">
        <f t="shared" si="0"/>
        <v>#DIV/0!</v>
      </c>
      <c r="C27" s="571" t="e">
        <f t="shared" si="1"/>
        <v>#DIV/0!</v>
      </c>
      <c r="D27" s="571" t="e">
        <f>+D26</f>
        <v>#DIV/0!</v>
      </c>
      <c r="E27" s="571">
        <f>IF($B$4&gt;10,SUM(C26:D27),0)</f>
        <v>0</v>
      </c>
      <c r="F27" s="585">
        <f>+F26</f>
        <v>2039</v>
      </c>
    </row>
    <row r="28" spans="1:6" ht="15.75">
      <c r="A28" s="581">
        <v>12</v>
      </c>
      <c r="B28" s="582" t="e">
        <f t="shared" si="0"/>
        <v>#DIV/0!</v>
      </c>
      <c r="C28" s="582"/>
      <c r="D28" s="582" t="e">
        <f>+B28*$B$3*0.5</f>
        <v>#DIV/0!</v>
      </c>
      <c r="E28" s="583"/>
      <c r="F28" s="586">
        <f>+F26+1</f>
        <v>2040</v>
      </c>
    </row>
    <row r="29" spans="1:6" ht="15.75">
      <c r="A29" s="581"/>
      <c r="B29" s="571" t="e">
        <f t="shared" si="0"/>
        <v>#DIV/0!</v>
      </c>
      <c r="C29" s="571" t="e">
        <f>+C27</f>
        <v>#DIV/0!</v>
      </c>
      <c r="D29" s="571" t="e">
        <f>+D28</f>
        <v>#DIV/0!</v>
      </c>
      <c r="E29" s="571">
        <f>IF($B$4&gt;11,SUM(C28:D29),0)</f>
        <v>0</v>
      </c>
      <c r="F29" s="585">
        <f>+F28</f>
        <v>2040</v>
      </c>
    </row>
    <row r="30" spans="1:6" ht="15.75">
      <c r="A30" s="581">
        <v>13</v>
      </c>
      <c r="B30" s="582" t="e">
        <f t="shared" si="0"/>
        <v>#DIV/0!</v>
      </c>
      <c r="C30" s="582"/>
      <c r="D30" s="582" t="e">
        <f>+B30*$B$3*0.5</f>
        <v>#DIV/0!</v>
      </c>
      <c r="E30" s="583"/>
      <c r="F30" s="586">
        <f>+F28+1</f>
        <v>2041</v>
      </c>
    </row>
    <row r="31" spans="1:6" ht="15.75">
      <c r="A31" s="581"/>
      <c r="B31" s="571" t="e">
        <f t="shared" si="0"/>
        <v>#DIV/0!</v>
      </c>
      <c r="C31" s="571" t="e">
        <f t="shared" si="1"/>
        <v>#DIV/0!</v>
      </c>
      <c r="D31" s="571" t="e">
        <f>+D30</f>
        <v>#DIV/0!</v>
      </c>
      <c r="E31" s="571">
        <f>IF($B$4&gt;12,SUM(C30:D31),0)</f>
        <v>0</v>
      </c>
      <c r="F31" s="585">
        <f>+F30</f>
        <v>2041</v>
      </c>
    </row>
    <row r="32" spans="1:6" ht="15.75">
      <c r="A32" s="581">
        <v>14</v>
      </c>
      <c r="B32" s="582" t="e">
        <f t="shared" si="0"/>
        <v>#DIV/0!</v>
      </c>
      <c r="C32" s="582"/>
      <c r="D32" s="582" t="e">
        <f>+B32*$B$3*0.5</f>
        <v>#DIV/0!</v>
      </c>
      <c r="E32" s="583"/>
      <c r="F32" s="586">
        <f>+F30+1</f>
        <v>2042</v>
      </c>
    </row>
    <row r="33" spans="1:7" ht="15.75">
      <c r="A33" s="581"/>
      <c r="B33" s="571" t="e">
        <f t="shared" si="0"/>
        <v>#DIV/0!</v>
      </c>
      <c r="C33" s="571" t="e">
        <f>+C31</f>
        <v>#DIV/0!</v>
      </c>
      <c r="D33" s="571" t="e">
        <f>+D32</f>
        <v>#DIV/0!</v>
      </c>
      <c r="E33" s="571">
        <f>IF($B$4&gt;13,SUM(C32:D33),0)</f>
        <v>0</v>
      </c>
      <c r="F33" s="585">
        <f>+F32</f>
        <v>2042</v>
      </c>
    </row>
    <row r="34" spans="1:7" ht="15.75">
      <c r="A34" s="581">
        <v>15</v>
      </c>
      <c r="B34" s="582" t="e">
        <f t="shared" si="0"/>
        <v>#DIV/0!</v>
      </c>
      <c r="C34" s="582"/>
      <c r="D34" s="582" t="e">
        <f>+B34*$B$3*0.5</f>
        <v>#DIV/0!</v>
      </c>
      <c r="E34" s="583"/>
      <c r="F34" s="586">
        <f>+F32+1</f>
        <v>2043</v>
      </c>
    </row>
    <row r="35" spans="1:7" ht="15.75">
      <c r="A35" s="581"/>
      <c r="B35" s="571" t="e">
        <f t="shared" si="0"/>
        <v>#DIV/0!</v>
      </c>
      <c r="C35" s="571" t="e">
        <f t="shared" si="1"/>
        <v>#DIV/0!</v>
      </c>
      <c r="D35" s="571" t="e">
        <f>+D34</f>
        <v>#DIV/0!</v>
      </c>
      <c r="E35" s="571">
        <f>IF($B$4&gt;14,SUM(C34:D35),0)</f>
        <v>0</v>
      </c>
      <c r="F35" s="585">
        <f>+F34</f>
        <v>2043</v>
      </c>
    </row>
    <row r="36" spans="1:7" ht="15.75">
      <c r="A36" s="581">
        <v>16</v>
      </c>
      <c r="B36" s="582" t="e">
        <f t="shared" si="0"/>
        <v>#DIV/0!</v>
      </c>
      <c r="C36" s="582"/>
      <c r="D36" s="582" t="e">
        <f>+B36*$B$3*0.5</f>
        <v>#DIV/0!</v>
      </c>
      <c r="E36" s="583"/>
      <c r="F36" s="586">
        <f>+F34+1</f>
        <v>2044</v>
      </c>
    </row>
    <row r="37" spans="1:7" ht="15.75">
      <c r="A37" s="581"/>
      <c r="B37" s="571" t="e">
        <f t="shared" si="0"/>
        <v>#DIV/0!</v>
      </c>
      <c r="C37" s="571" t="e">
        <f>+C35</f>
        <v>#DIV/0!</v>
      </c>
      <c r="D37" s="571" t="e">
        <f>+D36</f>
        <v>#DIV/0!</v>
      </c>
      <c r="E37" s="571">
        <f>IF($B$4&gt;15,SUM(C36:D37),0)</f>
        <v>0</v>
      </c>
      <c r="F37" s="585">
        <f>+F36</f>
        <v>2044</v>
      </c>
    </row>
    <row r="38" spans="1:7" ht="15.75">
      <c r="A38" s="581">
        <v>17</v>
      </c>
      <c r="B38" s="582" t="e">
        <f t="shared" si="0"/>
        <v>#DIV/0!</v>
      </c>
      <c r="C38" s="582"/>
      <c r="D38" s="582" t="e">
        <f>+B38*$B$3*0.5</f>
        <v>#DIV/0!</v>
      </c>
      <c r="E38" s="583"/>
      <c r="F38" s="586">
        <f>+F36+1</f>
        <v>2045</v>
      </c>
    </row>
    <row r="39" spans="1:7" ht="15.75">
      <c r="A39" s="581"/>
      <c r="B39" s="571" t="e">
        <f t="shared" si="0"/>
        <v>#DIV/0!</v>
      </c>
      <c r="C39" s="571" t="e">
        <f t="shared" si="1"/>
        <v>#DIV/0!</v>
      </c>
      <c r="D39" s="571" t="e">
        <f>+D38</f>
        <v>#DIV/0!</v>
      </c>
      <c r="E39" s="571">
        <f>IF($B$4&gt;16,SUM(C38:D39),0)</f>
        <v>0</v>
      </c>
      <c r="F39" s="585">
        <f>+F38</f>
        <v>2045</v>
      </c>
    </row>
    <row r="40" spans="1:7" ht="15.75">
      <c r="A40" s="581">
        <v>18</v>
      </c>
      <c r="B40" s="582" t="e">
        <f t="shared" si="0"/>
        <v>#DIV/0!</v>
      </c>
      <c r="C40" s="582"/>
      <c r="D40" s="582" t="e">
        <f>+B40*$B$3*0.5</f>
        <v>#DIV/0!</v>
      </c>
      <c r="E40" s="583"/>
      <c r="F40" s="586">
        <f>+F38+1</f>
        <v>2046</v>
      </c>
    </row>
    <row r="41" spans="1:7" ht="15.75">
      <c r="A41" s="581"/>
      <c r="B41" s="571" t="e">
        <f t="shared" si="0"/>
        <v>#DIV/0!</v>
      </c>
      <c r="C41" s="571" t="e">
        <f t="shared" si="1"/>
        <v>#DIV/0!</v>
      </c>
      <c r="D41" s="571" t="e">
        <f>+D40</f>
        <v>#DIV/0!</v>
      </c>
      <c r="E41" s="571">
        <f>IF($B$4&gt;17,SUM(C40:D41),0)</f>
        <v>0</v>
      </c>
      <c r="F41" s="585">
        <f>+F40</f>
        <v>2046</v>
      </c>
    </row>
    <row r="42" spans="1:7" ht="15.75">
      <c r="A42" s="581">
        <v>19</v>
      </c>
      <c r="B42" s="582" t="e">
        <f t="shared" si="0"/>
        <v>#DIV/0!</v>
      </c>
      <c r="C42" s="582"/>
      <c r="D42" s="582" t="e">
        <f>+B42*$B$3*0.5</f>
        <v>#DIV/0!</v>
      </c>
      <c r="E42" s="583"/>
      <c r="F42" s="586">
        <f>+F40+1</f>
        <v>2047</v>
      </c>
    </row>
    <row r="43" spans="1:7" ht="15.75">
      <c r="A43" s="581"/>
      <c r="B43" s="571" t="e">
        <f t="shared" si="0"/>
        <v>#DIV/0!</v>
      </c>
      <c r="C43" s="571" t="e">
        <f t="shared" si="1"/>
        <v>#DIV/0!</v>
      </c>
      <c r="D43" s="571" t="e">
        <f>+D42</f>
        <v>#DIV/0!</v>
      </c>
      <c r="E43" s="571">
        <f>IF($B$4&gt;18,SUM(C42:D43),0)</f>
        <v>0</v>
      </c>
      <c r="F43" s="585">
        <f>+F42</f>
        <v>2047</v>
      </c>
    </row>
    <row r="44" spans="1:7" ht="15.75">
      <c r="A44" s="581">
        <v>20</v>
      </c>
      <c r="B44" s="582" t="e">
        <f t="shared" si="0"/>
        <v>#DIV/0!</v>
      </c>
      <c r="C44" s="582"/>
      <c r="D44" s="582" t="e">
        <f>+B44*$B$3*0.5</f>
        <v>#DIV/0!</v>
      </c>
      <c r="E44" s="583"/>
      <c r="F44" s="586">
        <f>+F42+1</f>
        <v>2048</v>
      </c>
    </row>
    <row r="45" spans="1:7" ht="15.75">
      <c r="A45" s="581"/>
      <c r="B45" s="571" t="e">
        <f>ROUND(B44-C44,0)</f>
        <v>#DIV/0!</v>
      </c>
      <c r="C45" s="571" t="e">
        <f>ROUND(C43,0)</f>
        <v>#DIV/0!</v>
      </c>
      <c r="D45" s="571" t="e">
        <f>+D44</f>
        <v>#DIV/0!</v>
      </c>
      <c r="E45" s="571">
        <f>IF($B$4&gt;19,SUM(C44:D45),0)</f>
        <v>0</v>
      </c>
      <c r="F45" s="585">
        <f>+F44</f>
        <v>2048</v>
      </c>
      <c r="G45" s="587"/>
    </row>
    <row r="46" spans="1:7" ht="15.75">
      <c r="A46" s="581">
        <v>21</v>
      </c>
      <c r="B46" s="582" t="e">
        <f t="shared" si="0"/>
        <v>#DIV/0!</v>
      </c>
      <c r="C46" s="582"/>
      <c r="D46" s="582" t="e">
        <f>+B46*$B$3*0.5</f>
        <v>#DIV/0!</v>
      </c>
      <c r="E46" s="583"/>
      <c r="F46" s="586">
        <f>+F44+1</f>
        <v>2049</v>
      </c>
    </row>
    <row r="47" spans="1:7" ht="15.75">
      <c r="A47" s="571"/>
      <c r="B47" s="571" t="e">
        <f t="shared" si="0"/>
        <v>#DIV/0!</v>
      </c>
      <c r="C47" s="571" t="e">
        <f>IF($B$4=20,0,+C45)</f>
        <v>#DIV/0!</v>
      </c>
      <c r="D47" s="571" t="e">
        <f>+D46</f>
        <v>#DIV/0!</v>
      </c>
      <c r="E47" s="571">
        <f>IF($B$4&gt;20,SUM(C46:D47),0)</f>
        <v>0</v>
      </c>
      <c r="F47" s="585">
        <f>+F46</f>
        <v>2049</v>
      </c>
    </row>
    <row r="48" spans="1:7" ht="15.75">
      <c r="A48" s="581">
        <v>22</v>
      </c>
      <c r="B48" s="582" t="e">
        <f t="shared" si="0"/>
        <v>#DIV/0!</v>
      </c>
      <c r="C48" s="582"/>
      <c r="D48" s="582" t="e">
        <f>+B48*$B$3*0.5</f>
        <v>#DIV/0!</v>
      </c>
      <c r="E48" s="583"/>
      <c r="F48" s="586">
        <f>+F46+1</f>
        <v>2050</v>
      </c>
    </row>
    <row r="49" spans="1:6" ht="15.75">
      <c r="A49" s="571"/>
      <c r="B49" s="571" t="e">
        <f t="shared" si="0"/>
        <v>#DIV/0!</v>
      </c>
      <c r="C49" s="571" t="e">
        <f>+C47</f>
        <v>#DIV/0!</v>
      </c>
      <c r="D49" s="571" t="e">
        <f>+D48</f>
        <v>#DIV/0!</v>
      </c>
      <c r="E49" s="571">
        <f>IF($B$4&gt;21,SUM(C48:D49),0)</f>
        <v>0</v>
      </c>
      <c r="F49" s="585">
        <f>+F48</f>
        <v>2050</v>
      </c>
    </row>
    <row r="50" spans="1:6" ht="15.75">
      <c r="A50" s="581">
        <v>23</v>
      </c>
      <c r="B50" s="582" t="e">
        <f t="shared" si="0"/>
        <v>#DIV/0!</v>
      </c>
      <c r="C50" s="582"/>
      <c r="D50" s="582" t="e">
        <f>+B50*$B$3*0.5</f>
        <v>#DIV/0!</v>
      </c>
      <c r="E50" s="583"/>
      <c r="F50" s="586">
        <f>+F48+1</f>
        <v>2051</v>
      </c>
    </row>
    <row r="51" spans="1:6" ht="15.75">
      <c r="A51" s="571"/>
      <c r="B51" s="571" t="e">
        <f t="shared" si="0"/>
        <v>#DIV/0!</v>
      </c>
      <c r="C51" s="571" t="e">
        <f>+C49</f>
        <v>#DIV/0!</v>
      </c>
      <c r="D51" s="571" t="e">
        <f>+D50</f>
        <v>#DIV/0!</v>
      </c>
      <c r="E51" s="571">
        <f>IF($B$4&gt;22,SUM(C50:D51),0)</f>
        <v>0</v>
      </c>
      <c r="F51" s="585">
        <f>+F50</f>
        <v>2051</v>
      </c>
    </row>
    <row r="52" spans="1:6" ht="15.75">
      <c r="A52" s="581">
        <v>24</v>
      </c>
      <c r="B52" s="582" t="e">
        <f t="shared" si="0"/>
        <v>#DIV/0!</v>
      </c>
      <c r="C52" s="582"/>
      <c r="D52" s="582" t="e">
        <f>+B52*$B$3*0.5</f>
        <v>#DIV/0!</v>
      </c>
      <c r="E52" s="583"/>
      <c r="F52" s="586">
        <f>+F50+1</f>
        <v>2052</v>
      </c>
    </row>
    <row r="53" spans="1:6" ht="15.75">
      <c r="A53" s="571"/>
      <c r="B53" s="571" t="e">
        <f t="shared" si="0"/>
        <v>#DIV/0!</v>
      </c>
      <c r="C53" s="571" t="e">
        <f>+C51</f>
        <v>#DIV/0!</v>
      </c>
      <c r="D53" s="571" t="e">
        <f>+D52</f>
        <v>#DIV/0!</v>
      </c>
      <c r="E53" s="571">
        <f>IF($B$4&gt;23,SUM(C52:D53),0)</f>
        <v>0</v>
      </c>
      <c r="F53" s="585">
        <f>+F52</f>
        <v>2052</v>
      </c>
    </row>
    <row r="54" spans="1:6" ht="15.75">
      <c r="A54" s="581">
        <v>25</v>
      </c>
      <c r="B54" s="582" t="e">
        <f t="shared" si="0"/>
        <v>#DIV/0!</v>
      </c>
      <c r="C54" s="582"/>
      <c r="D54" s="582" t="e">
        <f>+B54*$B$3*0.5</f>
        <v>#DIV/0!</v>
      </c>
      <c r="E54" s="583"/>
      <c r="F54" s="586">
        <f>+F52+1</f>
        <v>2053</v>
      </c>
    </row>
    <row r="55" spans="1:6" ht="15.75">
      <c r="A55" s="571"/>
      <c r="B55" s="571" t="e">
        <f t="shared" si="0"/>
        <v>#DIV/0!</v>
      </c>
      <c r="C55" s="571" t="e">
        <f>+C53</f>
        <v>#DIV/0!</v>
      </c>
      <c r="D55" s="571" t="e">
        <f>+D54</f>
        <v>#DIV/0!</v>
      </c>
      <c r="E55" s="571">
        <f>IF($B$4&gt;24,SUM(C54:D55),0)</f>
        <v>0</v>
      </c>
      <c r="F55" s="585">
        <f>+F54</f>
        <v>2053</v>
      </c>
    </row>
    <row r="56" spans="1:6" ht="15.75">
      <c r="A56" s="581">
        <v>26</v>
      </c>
      <c r="B56" s="582" t="e">
        <f t="shared" si="0"/>
        <v>#DIV/0!</v>
      </c>
      <c r="C56" s="582"/>
      <c r="D56" s="582" t="e">
        <f>+B56*$B$3*0.5</f>
        <v>#DIV/0!</v>
      </c>
      <c r="E56" s="583"/>
      <c r="F56" s="586">
        <f>+F54+1</f>
        <v>2054</v>
      </c>
    </row>
    <row r="57" spans="1:6" ht="15.75">
      <c r="A57" s="571"/>
      <c r="B57" s="571" t="e">
        <f t="shared" si="0"/>
        <v>#DIV/0!</v>
      </c>
      <c r="C57" s="571" t="e">
        <f>+C55</f>
        <v>#DIV/0!</v>
      </c>
      <c r="D57" s="571" t="e">
        <f>+D56</f>
        <v>#DIV/0!</v>
      </c>
      <c r="E57" s="571">
        <f>IF($B$4&gt;25,SUM(C56:D57),0)</f>
        <v>0</v>
      </c>
      <c r="F57" s="585">
        <f>+F56</f>
        <v>2054</v>
      </c>
    </row>
    <row r="58" spans="1:6" ht="15.75">
      <c r="A58" s="581">
        <v>27</v>
      </c>
      <c r="B58" s="582" t="e">
        <f>B57-C57</f>
        <v>#DIV/0!</v>
      </c>
      <c r="C58" s="582"/>
      <c r="D58" s="582" t="e">
        <f>+B58*$B$3*0.5</f>
        <v>#DIV/0!</v>
      </c>
      <c r="E58" s="583"/>
      <c r="F58" s="586">
        <f>+F56+1</f>
        <v>2055</v>
      </c>
    </row>
    <row r="59" spans="1:6" ht="15.75">
      <c r="A59" s="571"/>
      <c r="B59" s="571" t="e">
        <f t="shared" si="0"/>
        <v>#DIV/0!</v>
      </c>
      <c r="C59" s="571" t="e">
        <f>+C57</f>
        <v>#DIV/0!</v>
      </c>
      <c r="D59" s="571" t="e">
        <f>+D58</f>
        <v>#DIV/0!</v>
      </c>
      <c r="E59" s="571">
        <f>IF($B$4&gt;26,SUM(C58:D59),0)</f>
        <v>0</v>
      </c>
      <c r="F59" s="585">
        <f>+F58</f>
        <v>2055</v>
      </c>
    </row>
    <row r="60" spans="1:6" ht="15.75">
      <c r="A60" s="581">
        <v>28</v>
      </c>
      <c r="B60" s="582" t="e">
        <f t="shared" si="0"/>
        <v>#DIV/0!</v>
      </c>
      <c r="C60" s="582"/>
      <c r="D60" s="582" t="e">
        <f>+B60*$B$3*0.5</f>
        <v>#DIV/0!</v>
      </c>
      <c r="E60" s="583"/>
      <c r="F60" s="586">
        <f>+F58+1</f>
        <v>2056</v>
      </c>
    </row>
    <row r="61" spans="1:6" ht="15.75">
      <c r="A61" s="571"/>
      <c r="B61" s="571" t="e">
        <f t="shared" si="0"/>
        <v>#DIV/0!</v>
      </c>
      <c r="C61" s="571" t="e">
        <f>+C59</f>
        <v>#DIV/0!</v>
      </c>
      <c r="D61" s="571" t="e">
        <f>+D60</f>
        <v>#DIV/0!</v>
      </c>
      <c r="E61" s="571">
        <f>IF($B$4&gt;27,SUM(C60:D61),0)</f>
        <v>0</v>
      </c>
      <c r="F61" s="585">
        <f>+F60</f>
        <v>2056</v>
      </c>
    </row>
    <row r="62" spans="1:6" ht="15.75">
      <c r="A62" s="581">
        <v>29</v>
      </c>
      <c r="B62" s="582" t="e">
        <f t="shared" si="0"/>
        <v>#DIV/0!</v>
      </c>
      <c r="C62" s="582"/>
      <c r="D62" s="582" t="e">
        <f>+B62*$B$3*0.5</f>
        <v>#DIV/0!</v>
      </c>
      <c r="E62" s="583"/>
      <c r="F62" s="586">
        <f>+F60+1</f>
        <v>2057</v>
      </c>
    </row>
    <row r="63" spans="1:6" ht="15.75">
      <c r="A63" s="571"/>
      <c r="B63" s="571" t="e">
        <f t="shared" si="0"/>
        <v>#DIV/0!</v>
      </c>
      <c r="C63" s="571" t="e">
        <f>+C61</f>
        <v>#DIV/0!</v>
      </c>
      <c r="D63" s="571" t="e">
        <f>+D62</f>
        <v>#DIV/0!</v>
      </c>
      <c r="E63" s="571">
        <f>IF($B$4&gt;28,SUM(C62:D63),0)</f>
        <v>0</v>
      </c>
      <c r="F63" s="585">
        <f>+F62</f>
        <v>2057</v>
      </c>
    </row>
    <row r="64" spans="1:6" ht="15.75">
      <c r="A64" s="581">
        <v>30</v>
      </c>
      <c r="B64" s="582" t="e">
        <f>IF($B$4=29,0,B63-C63)</f>
        <v>#DIV/0!</v>
      </c>
      <c r="C64" s="582"/>
      <c r="D64" s="582" t="e">
        <f>+B64*$B$3*0.5</f>
        <v>#DIV/0!</v>
      </c>
      <c r="E64" s="583"/>
      <c r="F64" s="586">
        <f>+F62+1</f>
        <v>2058</v>
      </c>
    </row>
    <row r="65" spans="1:7" ht="15.75">
      <c r="A65" s="571"/>
      <c r="B65" s="571" t="e">
        <f>B64-C64</f>
        <v>#DIV/0!</v>
      </c>
      <c r="C65" s="571" t="e">
        <f>IF($B$4=29,0,C63)</f>
        <v>#DIV/0!</v>
      </c>
      <c r="D65" s="571" t="e">
        <f>+D64</f>
        <v>#DIV/0!</v>
      </c>
      <c r="E65" s="571">
        <f>IF($B$4&gt;29,SUM(C64:D65),0)</f>
        <v>0</v>
      </c>
      <c r="F65" s="585">
        <f>+F64</f>
        <v>2058</v>
      </c>
    </row>
    <row r="66" spans="1:7" ht="15.75">
      <c r="A66" s="581">
        <v>31</v>
      </c>
      <c r="B66" s="582" t="e">
        <f>B65-C65</f>
        <v>#DIV/0!</v>
      </c>
      <c r="C66" s="582"/>
      <c r="D66" s="582" t="e">
        <f>+B66*$B$3*0.5</f>
        <v>#DIV/0!</v>
      </c>
      <c r="E66" s="583"/>
      <c r="F66" s="586">
        <f>+F64+1</f>
        <v>2059</v>
      </c>
    </row>
    <row r="67" spans="1:7" ht="15.75">
      <c r="A67" s="571"/>
      <c r="B67" s="588" t="e">
        <f t="shared" si="0"/>
        <v>#DIV/0!</v>
      </c>
      <c r="C67" s="588"/>
      <c r="D67" s="588" t="e">
        <f>+D66</f>
        <v>#DIV/0!</v>
      </c>
      <c r="E67" s="588">
        <f>IF($B$4&gt;30,SUM(C66:D67),0)</f>
        <v>0</v>
      </c>
      <c r="F67" s="589">
        <f>+F66</f>
        <v>2059</v>
      </c>
      <c r="G67" s="590"/>
    </row>
    <row r="68" spans="1:7" ht="15.75">
      <c r="A68" s="571"/>
      <c r="B68" s="571"/>
      <c r="C68" s="570" t="e">
        <f>SUM(C6:C67)</f>
        <v>#DIV/0!</v>
      </c>
      <c r="D68" s="570" t="e">
        <f>SUM(D6:D67)</f>
        <v>#DIV/0!</v>
      </c>
      <c r="E68" s="598">
        <f>SUM(E26:E65)</f>
        <v>0</v>
      </c>
      <c r="F68" s="571"/>
    </row>
    <row r="69" spans="1:7" ht="15.75">
      <c r="A69" s="571"/>
      <c r="B69" s="571"/>
      <c r="C69" s="570"/>
      <c r="D69" s="570"/>
      <c r="E69" s="598"/>
      <c r="F69" s="571"/>
    </row>
    <row r="70" spans="1:7" ht="18.75">
      <c r="C70" s="599"/>
      <c r="D70" s="600" t="s">
        <v>718</v>
      </c>
      <c r="E70" s="601">
        <f>SUM(E14:E67)</f>
        <v>0</v>
      </c>
    </row>
    <row r="71" spans="1:7">
      <c r="D71" s="591"/>
      <c r="E71" s="592"/>
    </row>
  </sheetData>
  <sheetProtection algorithmName="SHA-512" hashValue="RRC95S6Nn5suCwwVznO+1eI9sYRuOqg9Kia4vyBwxtIOSmQNg79mkzxigTPoE8aoYeKXTfEBu7XbF5u0+ryiHg==" saltValue="WsDvVnFk28l7fj3KWUvffg==" spinCount="100000" sheet="1" objects="1" scenarios="1"/>
  <printOptions headings="1" gridLines="1"/>
  <pageMargins left="0.7" right="0.7" top="0.75" bottom="0.75" header="0.3" footer="0.3"/>
  <pageSetup scale="79" orientation="portrait" r:id="rId1"/>
  <headerFooter>
    <oddHeader>&amp;L&amp;F&amp;RPage &amp;P of &amp;N</oddHeader>
    <oddFooter>&amp;L&amp;A&amp;R&amp;D &amp;T</oddFooter>
  </headerFooter>
  <rowBreaks count="1" manualBreakCount="1">
    <brk id="45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L841"/>
  <sheetViews>
    <sheetView showGridLines="0" view="pageBreakPreview" zoomScaleNormal="100" zoomScaleSheetLayoutView="100" workbookViewId="0">
      <selection activeCell="B1" sqref="B1"/>
    </sheetView>
  </sheetViews>
  <sheetFormatPr defaultColWidth="9.140625" defaultRowHeight="12.75"/>
  <cols>
    <col min="1" max="1" width="10.28515625" style="510" customWidth="1"/>
    <col min="2" max="2" width="6.42578125" style="510" customWidth="1"/>
    <col min="3" max="3" width="9.42578125" style="510" customWidth="1"/>
    <col min="4" max="4" width="12.140625" style="510" customWidth="1"/>
    <col min="5" max="5" width="18.7109375" style="510" customWidth="1"/>
    <col min="6" max="6" width="5.28515625" style="510" customWidth="1"/>
    <col min="7" max="7" width="10.7109375" style="510" customWidth="1"/>
    <col min="8" max="8" width="11.85546875" style="510" customWidth="1"/>
    <col min="9" max="9" width="16.5703125" style="510" customWidth="1"/>
    <col min="10" max="10" width="16.42578125" style="510" hidden="1" customWidth="1"/>
    <col min="11" max="11" width="19" style="510" customWidth="1"/>
    <col min="12" max="12" width="13.7109375" style="510" customWidth="1"/>
    <col min="13" max="16384" width="9.140625" style="510"/>
  </cols>
  <sheetData>
    <row r="1" spans="2:10" ht="22.9" customHeight="1">
      <c r="B1" s="593" t="s">
        <v>726</v>
      </c>
      <c r="C1" s="508"/>
      <c r="D1" s="594"/>
      <c r="E1" s="508"/>
      <c r="F1" s="508"/>
      <c r="G1" s="508"/>
      <c r="H1" s="509"/>
      <c r="I1" s="509"/>
    </row>
    <row r="2" spans="2:10" ht="12.75" customHeight="1">
      <c r="B2" s="511"/>
      <c r="C2" s="512"/>
      <c r="D2" s="512"/>
      <c r="E2" s="512"/>
      <c r="F2" s="512"/>
      <c r="G2" s="512"/>
      <c r="H2" s="512"/>
      <c r="I2" s="513" t="str">
        <f ca="1">"© 2008-" &amp; YEAR(TODAY()) &amp; " Vertex42 LLC"</f>
        <v>© 2008-2022 Vertex42 LLC</v>
      </c>
    </row>
    <row r="5" spans="2:10" ht="14.25">
      <c r="B5" s="514" t="s">
        <v>670</v>
      </c>
      <c r="C5" s="515"/>
      <c r="D5" s="515"/>
      <c r="E5" s="515"/>
      <c r="G5" s="514" t="s">
        <v>671</v>
      </c>
      <c r="H5" s="516"/>
      <c r="I5" s="516"/>
      <c r="J5" s="517" t="s">
        <v>672</v>
      </c>
    </row>
    <row r="6" spans="2:10" ht="15" customHeight="1">
      <c r="B6" s="512"/>
      <c r="C6" s="512"/>
      <c r="D6" s="518" t="s">
        <v>673</v>
      </c>
      <c r="E6" s="595">
        <f>Dashboard!J28</f>
        <v>0</v>
      </c>
      <c r="H6" s="519" t="s">
        <v>674</v>
      </c>
      <c r="I6" s="520">
        <f>((1+E7/E15)^(E15/E14))-1</f>
        <v>3.499999999999992E-2</v>
      </c>
      <c r="J6" s="510" t="s">
        <v>152</v>
      </c>
    </row>
    <row r="7" spans="2:10" ht="15" customHeight="1">
      <c r="B7" s="512"/>
      <c r="C7" s="512"/>
      <c r="D7" s="518" t="s">
        <v>675</v>
      </c>
      <c r="E7" s="521">
        <f>Dashboard!F12</f>
        <v>3.5000000000000003E-2</v>
      </c>
      <c r="H7" s="519" t="s">
        <v>676</v>
      </c>
      <c r="I7" s="522">
        <f>SUM(G61:G840)+SUM(H61:H840)</f>
        <v>0</v>
      </c>
      <c r="J7" s="510" t="s">
        <v>677</v>
      </c>
    </row>
    <row r="8" spans="2:10" ht="15" customHeight="1">
      <c r="B8" s="512"/>
      <c r="C8" s="512"/>
      <c r="D8" s="518" t="s">
        <v>678</v>
      </c>
      <c r="E8" s="523">
        <f>Dashboard!J33</f>
        <v>30</v>
      </c>
      <c r="H8" s="519" t="s">
        <v>679</v>
      </c>
      <c r="I8" s="524">
        <f>SUM(G60:G840)</f>
        <v>0</v>
      </c>
      <c r="J8" s="510" t="s">
        <v>680</v>
      </c>
    </row>
    <row r="9" spans="2:10" ht="15" customHeight="1">
      <c r="B9" s="512"/>
      <c r="C9" s="512"/>
      <c r="D9" s="518" t="s">
        <v>681</v>
      </c>
      <c r="E9" s="525">
        <v>46935</v>
      </c>
      <c r="H9" s="519" t="s">
        <v>682</v>
      </c>
      <c r="I9" s="526" t="str">
        <f>IF(AND(SUM(E61:E840)=0,roundOpt)," - ",(nper*(-PMT(rate,nper,loan_amount,,pmtType))-loan_amount)-I8)</f>
        <v xml:space="preserve"> - </v>
      </c>
      <c r="J9" s="510" t="s">
        <v>683</v>
      </c>
    </row>
    <row r="10" spans="2:10" ht="15" customHeight="1">
      <c r="B10" s="512" t="e">
        <f>+#REF!</f>
        <v>#REF!</v>
      </c>
      <c r="C10" s="512"/>
      <c r="D10" s="518" t="s">
        <v>684</v>
      </c>
      <c r="E10" s="525" t="s">
        <v>685</v>
      </c>
      <c r="I10" s="527" t="str">
        <f ca="1">IF(AND(NOT(I840=""),I840&gt;0.004),"ERROR: Limit is "&amp;OFFSET(B841,-1,0,1,1)&amp;" payments",".")</f>
        <v>.</v>
      </c>
      <c r="J10" s="510" t="s">
        <v>686</v>
      </c>
    </row>
    <row r="11" spans="2:10" ht="15" customHeight="1">
      <c r="B11" s="512"/>
      <c r="C11" s="512"/>
      <c r="D11" s="518" t="s">
        <v>687</v>
      </c>
      <c r="E11" s="528" t="str">
        <f>E10</f>
        <v>annual</v>
      </c>
      <c r="I11" s="529" t="str">
        <f>IF(E15&gt;E14,"Warning: negative amortization",".")</f>
        <v>.</v>
      </c>
      <c r="J11" s="510" t="s">
        <v>688</v>
      </c>
    </row>
    <row r="12" spans="2:10" ht="15" customHeight="1">
      <c r="B12" s="512"/>
      <c r="C12" s="512"/>
      <c r="D12" s="518" t="s">
        <v>689</v>
      </c>
      <c r="E12" s="528" t="s">
        <v>690</v>
      </c>
      <c r="J12" s="510" t="s">
        <v>691</v>
      </c>
    </row>
    <row r="13" spans="2:10" ht="15" customHeight="1">
      <c r="B13" s="512"/>
      <c r="C13" s="512"/>
      <c r="D13" s="518" t="s">
        <v>692</v>
      </c>
      <c r="E13" s="528" t="s">
        <v>693</v>
      </c>
      <c r="I13" s="529"/>
      <c r="J13" s="510" t="s">
        <v>694</v>
      </c>
    </row>
    <row r="14" spans="2:10" ht="15" customHeight="1">
      <c r="B14" s="512"/>
      <c r="C14" s="512"/>
      <c r="D14" s="530" t="s">
        <v>695</v>
      </c>
      <c r="E14" s="512">
        <f>INDEX({1;2;4;6;12;24;26;52},MATCH('FY29 Level-Payment'!$E$10,$J$6:$J$13,0))</f>
        <v>1</v>
      </c>
    </row>
    <row r="15" spans="2:10" ht="15" customHeight="1">
      <c r="B15" s="512"/>
      <c r="C15" s="512"/>
      <c r="D15" s="530" t="s">
        <v>687</v>
      </c>
      <c r="E15" s="512">
        <f>INDEX({1;2;4;6;12;24;26;52},MATCH('FY29 Level-Payment'!$E$11,$J$6:$J$13,0))</f>
        <v>1</v>
      </c>
    </row>
    <row r="16" spans="2:10" ht="15" customHeight="1">
      <c r="B16" s="512"/>
      <c r="C16" s="512"/>
      <c r="D16" s="530" t="s">
        <v>689</v>
      </c>
      <c r="E16" s="512">
        <f>IF('FY29 Level-Payment'!$E$12="End of Period",0,1)</f>
        <v>1</v>
      </c>
    </row>
    <row r="17" spans="2:12" ht="15" customHeight="1">
      <c r="B17" s="512"/>
      <c r="C17" s="512"/>
      <c r="D17" s="530" t="s">
        <v>696</v>
      </c>
      <c r="E17" s="512">
        <f>12/$E$14</f>
        <v>12</v>
      </c>
    </row>
    <row r="18" spans="2:12" ht="15" customHeight="1">
      <c r="B18" s="512"/>
      <c r="C18" s="512"/>
      <c r="D18" s="530" t="s">
        <v>697</v>
      </c>
      <c r="E18" s="512">
        <f>$E$8*$E$14</f>
        <v>30</v>
      </c>
    </row>
    <row r="19" spans="2:12" ht="15" customHeight="1">
      <c r="B19" s="512"/>
      <c r="C19" s="512"/>
      <c r="D19" s="530" t="s">
        <v>698</v>
      </c>
      <c r="E19" s="513" t="b">
        <f>(E13="On")</f>
        <v>1</v>
      </c>
    </row>
    <row r="20" spans="2:12">
      <c r="I20" s="531" t="s">
        <v>699</v>
      </c>
    </row>
    <row r="21" spans="2:12" ht="15.75">
      <c r="D21" s="532" t="str">
        <f>E10&amp;" Payment"</f>
        <v>annual Payment</v>
      </c>
      <c r="E21" s="533">
        <f>IF(roundOpt,ROUND(-PMT(rate,nper,$E$6,,pmtType),2),-PMT(rate,nper,$E$6,,pmtType))</f>
        <v>0</v>
      </c>
      <c r="I21" s="531"/>
    </row>
    <row r="22" spans="2:12">
      <c r="I22" s="531"/>
    </row>
    <row r="23" spans="2:12" ht="15">
      <c r="B23" s="534" t="s">
        <v>700</v>
      </c>
      <c r="C23" s="534"/>
      <c r="D23" s="534"/>
      <c r="E23" s="534"/>
      <c r="F23" s="534"/>
      <c r="G23" s="534"/>
      <c r="H23" s="534"/>
      <c r="I23" s="534"/>
    </row>
    <row r="24" spans="2:12" ht="26.25" thickBot="1">
      <c r="B24" s="535"/>
      <c r="C24" s="536" t="s">
        <v>42</v>
      </c>
      <c r="D24" s="537" t="s">
        <v>701</v>
      </c>
      <c r="E24" s="537" t="s">
        <v>702</v>
      </c>
      <c r="F24" s="537"/>
      <c r="G24" s="537" t="s">
        <v>703</v>
      </c>
      <c r="H24" s="537" t="s">
        <v>704</v>
      </c>
      <c r="I24" s="537" t="s">
        <v>705</v>
      </c>
      <c r="K24" s="538" t="s">
        <v>706</v>
      </c>
    </row>
    <row r="25" spans="2:12">
      <c r="B25" s="539"/>
      <c r="C25" s="540"/>
      <c r="D25" s="539"/>
      <c r="E25" s="539"/>
      <c r="F25" s="539"/>
      <c r="G25" s="539"/>
      <c r="H25" s="541"/>
      <c r="I25" s="542">
        <f>loan_amount</f>
        <v>0</v>
      </c>
      <c r="K25" s="543">
        <f>loan_amount</f>
        <v>0</v>
      </c>
    </row>
    <row r="26" spans="2:12">
      <c r="B26" s="544"/>
      <c r="C26" s="544">
        <f>YEAR(fpdate)</f>
        <v>2028</v>
      </c>
      <c r="D26" s="545">
        <f>SUMIF($C$60:$C$841,"&lt;="&amp;DATE($C26,12,31),$D$60:$D$841)-SUM(D$25:D25)</f>
        <v>0</v>
      </c>
      <c r="E26" s="545">
        <f>SUMIF($C$60:$C$841,"&lt;="&amp;DATE($C26,12,31),$E$60:$E$841)-SUM(E$25:E25)</f>
        <v>0</v>
      </c>
      <c r="F26" s="546"/>
      <c r="G26" s="545">
        <f>SUMIF($C$60:$C$841,"&lt;="&amp;DATE($C26,12,31),$G$60:$G$841)-SUM(G$25:G25)</f>
        <v>0</v>
      </c>
      <c r="H26" s="545">
        <f>SUMIF($C$60:$C$841,"&lt;="&amp;DATE($C26,12,31),$H$60:$H$841)-SUM(H$25:H25)</f>
        <v>0</v>
      </c>
      <c r="I26" s="545">
        <f>I25-H26</f>
        <v>0</v>
      </c>
      <c r="K26" s="547">
        <f t="shared" ref="K26:K54" si="0">K25-H26</f>
        <v>0</v>
      </c>
    </row>
    <row r="27" spans="2:12">
      <c r="B27" s="548"/>
      <c r="C27" s="544">
        <f>C26+1</f>
        <v>2029</v>
      </c>
      <c r="D27" s="545">
        <f>SUMIF($C$60:$C$841,"&lt;="&amp;DATE($C27,12,31),$D$60:$D$841)-SUM(D$25:D26)</f>
        <v>0</v>
      </c>
      <c r="E27" s="545">
        <f>SUMIF($C$60:$C$841,"&lt;="&amp;DATE($C27,12,31),$E$60:$E$841)-SUM(E$25:E26)</f>
        <v>0</v>
      </c>
      <c r="F27" s="546"/>
      <c r="G27" s="545">
        <f>SUMIF($C$60:$C$841,"&lt;="&amp;DATE($C27,12,31),$G$60:$G$841)-SUM(G$25:G26)</f>
        <v>0</v>
      </c>
      <c r="H27" s="545">
        <f>SUMIF($C$60:$C$841,"&lt;="&amp;DATE($C27,12,31),$H$60:$H$841)-SUM(H$25:H26)</f>
        <v>0</v>
      </c>
      <c r="I27" s="545">
        <f>I26-H27</f>
        <v>0</v>
      </c>
      <c r="K27" s="547">
        <f t="shared" si="0"/>
        <v>0</v>
      </c>
    </row>
    <row r="28" spans="2:12">
      <c r="B28" s="548"/>
      <c r="C28" s="544">
        <f>C27+1</f>
        <v>2030</v>
      </c>
      <c r="D28" s="545">
        <f>SUMIF($C$60:$C$841,"&lt;="&amp;DATE($C28,12,31),$D$60:$D$841)-SUM(D$25:D27)</f>
        <v>0</v>
      </c>
      <c r="E28" s="545">
        <f>SUMIF($C$60:$C$841,"&lt;="&amp;DATE($C28,12,31),$E$60:$E$841)-SUM(E$25:E27)</f>
        <v>0</v>
      </c>
      <c r="F28" s="546"/>
      <c r="G28" s="545">
        <f>SUMIF($C$60:$C$841,"&lt;="&amp;DATE($C28,12,31),$G$60:$G$841)-SUM(G$25:G27)</f>
        <v>0</v>
      </c>
      <c r="H28" s="545">
        <f>SUMIF($C$60:$C$841,"&lt;="&amp;DATE($C28,12,31),$H$60:$H$841)-SUM(H$25:H27)</f>
        <v>0</v>
      </c>
      <c r="I28" s="545">
        <f>I27-H28</f>
        <v>0</v>
      </c>
      <c r="K28" s="547">
        <f t="shared" si="0"/>
        <v>0</v>
      </c>
      <c r="L28" s="538" t="s">
        <v>719</v>
      </c>
    </row>
    <row r="29" spans="2:12">
      <c r="B29" s="548"/>
      <c r="C29" s="544">
        <f>C28+1</f>
        <v>2031</v>
      </c>
      <c r="D29" s="545">
        <f>SUMIF($C$60:$C$841,"&lt;="&amp;DATE($C29,12,31),$D$60:$D$841)-SUM(D$25:D28)</f>
        <v>0</v>
      </c>
      <c r="E29" s="545">
        <f>SUMIF($C$60:$C$841,"&lt;="&amp;DATE($C29,12,31),$E$60:$E$841)-SUM(E$25:E28)</f>
        <v>0</v>
      </c>
      <c r="F29" s="546"/>
      <c r="G29" s="545">
        <f>SUMIF($C$60:$C$841,"&lt;="&amp;DATE($C29,12,31),$G$60:$G$841)-SUM(G$25:G28)</f>
        <v>0</v>
      </c>
      <c r="H29" s="545">
        <f>SUMIF($C$60:$C$841,"&lt;="&amp;DATE($C29,12,31),$H$60:$H$841)-SUM(H$25:H28)</f>
        <v>0</v>
      </c>
      <c r="I29" s="545">
        <f>I28-H29</f>
        <v>0</v>
      </c>
      <c r="K29" s="547">
        <f t="shared" si="0"/>
        <v>0</v>
      </c>
      <c r="L29" s="604">
        <f>SUM(D26:D29)</f>
        <v>0</v>
      </c>
    </row>
    <row r="30" spans="2:12">
      <c r="B30" s="548"/>
      <c r="C30" s="544">
        <f t="shared" ref="C30:C56" si="1">C29+1</f>
        <v>2032</v>
      </c>
      <c r="D30" s="545">
        <f>SUMIF($C$60:$C$841,"&lt;="&amp;DATE($C30,12,31),$D$60:$D$841)-SUM(D$25:D29)</f>
        <v>0</v>
      </c>
      <c r="E30" s="545">
        <f>SUMIF($C$60:$C$841,"&lt;="&amp;DATE($C30,12,31),$E$60:$E$841)-SUM(E$25:E29)</f>
        <v>0</v>
      </c>
      <c r="F30" s="546"/>
      <c r="G30" s="545">
        <f>SUMIF($C$60:$C$841,"&lt;="&amp;DATE($C30,12,31),$G$60:$G$841)-SUM(G$25:G29)</f>
        <v>0</v>
      </c>
      <c r="H30" s="545">
        <f>SUMIF($C$60:$C$841,"&lt;="&amp;DATE($C30,12,31),$H$60:$H$841)-SUM(H$25:H29)</f>
        <v>0</v>
      </c>
      <c r="I30" s="545">
        <f t="shared" ref="I30:I56" si="2">I29-H30</f>
        <v>0</v>
      </c>
      <c r="K30" s="547">
        <f t="shared" si="0"/>
        <v>0</v>
      </c>
    </row>
    <row r="31" spans="2:12">
      <c r="B31" s="548"/>
      <c r="C31" s="544">
        <f t="shared" si="1"/>
        <v>2033</v>
      </c>
      <c r="D31" s="545">
        <f>SUMIF($C$60:$C$841,"&lt;="&amp;DATE($C31,12,31),$D$60:$D$841)-SUM(D$25:D30)</f>
        <v>0</v>
      </c>
      <c r="E31" s="545">
        <f>SUMIF($C$60:$C$841,"&lt;="&amp;DATE($C31,12,31),$E$60:$E$841)-SUM(E$25:E30)</f>
        <v>0</v>
      </c>
      <c r="F31" s="546"/>
      <c r="G31" s="545">
        <f>SUMIF($C$60:$C$841,"&lt;="&amp;DATE($C31,12,31),$G$60:$G$841)-SUM(G$25:G30)</f>
        <v>0</v>
      </c>
      <c r="H31" s="545">
        <f>SUMIF($C$60:$C$841,"&lt;="&amp;DATE($C31,12,31),$H$60:$H$841)-SUM(H$25:H30)</f>
        <v>0</v>
      </c>
      <c r="I31" s="545">
        <f t="shared" si="2"/>
        <v>0</v>
      </c>
      <c r="K31" s="547">
        <f t="shared" si="0"/>
        <v>0</v>
      </c>
    </row>
    <row r="32" spans="2:12">
      <c r="B32" s="548"/>
      <c r="C32" s="544">
        <f t="shared" si="1"/>
        <v>2034</v>
      </c>
      <c r="D32" s="545">
        <f>SUMIF($C$60:$C$841,"&lt;="&amp;DATE($C32,12,31),$D$60:$D$841)-SUM(D$25:D31)</f>
        <v>0</v>
      </c>
      <c r="E32" s="545">
        <f>SUMIF($C$60:$C$841,"&lt;="&amp;DATE($C32,12,31),$E$60:$E$841)-SUM(E$25:E31)</f>
        <v>0</v>
      </c>
      <c r="F32" s="546"/>
      <c r="G32" s="545">
        <f>SUMIF($C$60:$C$841,"&lt;="&amp;DATE($C32,12,31),$G$60:$G$841)-SUM(G$25:G31)</f>
        <v>0</v>
      </c>
      <c r="H32" s="545">
        <f>SUMIF($C$60:$C$841,"&lt;="&amp;DATE($C32,12,31),$H$60:$H$841)-SUM(H$25:H31)</f>
        <v>0</v>
      </c>
      <c r="I32" s="545">
        <f t="shared" si="2"/>
        <v>0</v>
      </c>
      <c r="K32" s="547">
        <f t="shared" si="0"/>
        <v>0</v>
      </c>
    </row>
    <row r="33" spans="2:11">
      <c r="B33" s="548"/>
      <c r="C33" s="544">
        <f t="shared" si="1"/>
        <v>2035</v>
      </c>
      <c r="D33" s="545">
        <f>SUMIF($C$60:$C$841,"&lt;="&amp;DATE($C33,12,31),$D$60:$D$841)-SUM(D$25:D32)</f>
        <v>0</v>
      </c>
      <c r="E33" s="545">
        <f>SUMIF($C$60:$C$841,"&lt;="&amp;DATE($C33,12,31),$E$60:$E$841)-SUM(E$25:E32)</f>
        <v>0</v>
      </c>
      <c r="F33" s="546"/>
      <c r="G33" s="545">
        <f>SUMIF($C$60:$C$841,"&lt;="&amp;DATE($C33,12,31),$G$60:$G$841)-SUM(G$25:G32)</f>
        <v>0</v>
      </c>
      <c r="H33" s="545">
        <f>SUMIF($C$60:$C$841,"&lt;="&amp;DATE($C33,12,31),$H$60:$H$841)-SUM(H$25:H32)</f>
        <v>0</v>
      </c>
      <c r="I33" s="545">
        <f t="shared" si="2"/>
        <v>0</v>
      </c>
      <c r="K33" s="547">
        <f t="shared" si="0"/>
        <v>0</v>
      </c>
    </row>
    <row r="34" spans="2:11">
      <c r="B34" s="548"/>
      <c r="C34" s="544">
        <f t="shared" si="1"/>
        <v>2036</v>
      </c>
      <c r="D34" s="545">
        <f>SUMIF($C$60:$C$841,"&lt;="&amp;DATE($C34,12,31),$D$60:$D$841)-SUM(D$25:D33)</f>
        <v>0</v>
      </c>
      <c r="E34" s="545">
        <f>SUMIF($C$60:$C$841,"&lt;="&amp;DATE($C34,12,31),$E$60:$E$841)-SUM(E$25:E33)</f>
        <v>0</v>
      </c>
      <c r="F34" s="546"/>
      <c r="G34" s="545">
        <f>SUMIF($C$60:$C$841,"&lt;="&amp;DATE($C34,12,31),$G$60:$G$841)-SUM(G$25:G33)</f>
        <v>0</v>
      </c>
      <c r="H34" s="545">
        <f>SUMIF($C$60:$C$841,"&lt;="&amp;DATE($C34,12,31),$H$60:$H$841)-SUM(H$25:H33)</f>
        <v>0</v>
      </c>
      <c r="I34" s="545">
        <f t="shared" si="2"/>
        <v>0</v>
      </c>
      <c r="K34" s="547">
        <f t="shared" si="0"/>
        <v>0</v>
      </c>
    </row>
    <row r="35" spans="2:11">
      <c r="B35" s="548"/>
      <c r="C35" s="544">
        <f t="shared" si="1"/>
        <v>2037</v>
      </c>
      <c r="D35" s="545">
        <f>SUMIF($C$60:$C$841,"&lt;="&amp;DATE($C35,12,31),$D$60:$D$841)-SUM(D$25:D34)</f>
        <v>0</v>
      </c>
      <c r="E35" s="545">
        <f>SUMIF($C$60:$C$841,"&lt;="&amp;DATE($C35,12,31),$E$60:$E$841)-SUM(E$25:E34)</f>
        <v>0</v>
      </c>
      <c r="F35" s="546"/>
      <c r="G35" s="545">
        <f>SUMIF($C$60:$C$841,"&lt;="&amp;DATE($C35,12,31),$G$60:$G$841)-SUM(G$25:G34)</f>
        <v>0</v>
      </c>
      <c r="H35" s="545">
        <f>SUMIF($C$60:$C$841,"&lt;="&amp;DATE($C35,12,31),$H$60:$H$841)-SUM(H$25:H34)</f>
        <v>0</v>
      </c>
      <c r="I35" s="545">
        <f t="shared" si="2"/>
        <v>0</v>
      </c>
      <c r="K35" s="547">
        <f t="shared" si="0"/>
        <v>0</v>
      </c>
    </row>
    <row r="36" spans="2:11">
      <c r="B36" s="548"/>
      <c r="C36" s="544">
        <f t="shared" si="1"/>
        <v>2038</v>
      </c>
      <c r="D36" s="545">
        <f>SUMIF($C$60:$C$841,"&lt;="&amp;DATE($C36,12,31),$D$60:$D$841)-SUM(D$25:D35)</f>
        <v>0</v>
      </c>
      <c r="E36" s="545">
        <f>SUMIF($C$60:$C$841,"&lt;="&amp;DATE($C36,12,31),$E$60:$E$841)-SUM(E$25:E35)</f>
        <v>0</v>
      </c>
      <c r="F36" s="546"/>
      <c r="G36" s="545">
        <f>SUMIF($C$60:$C$841,"&lt;="&amp;DATE($C36,12,31),$G$60:$G$841)-SUM(G$25:G35)</f>
        <v>0</v>
      </c>
      <c r="H36" s="545">
        <f>SUMIF($C$60:$C$841,"&lt;="&amp;DATE($C36,12,31),$H$60:$H$841)-SUM(H$25:H35)</f>
        <v>0</v>
      </c>
      <c r="I36" s="545">
        <f t="shared" si="2"/>
        <v>0</v>
      </c>
      <c r="K36" s="547">
        <f t="shared" si="0"/>
        <v>0</v>
      </c>
    </row>
    <row r="37" spans="2:11">
      <c r="B37" s="548"/>
      <c r="C37" s="544">
        <f t="shared" si="1"/>
        <v>2039</v>
      </c>
      <c r="D37" s="545">
        <f>SUMIF($C$60:$C$841,"&lt;="&amp;DATE($C37,12,31),$D$60:$D$841)-SUM(D$25:D36)</f>
        <v>0</v>
      </c>
      <c r="E37" s="545">
        <f>SUMIF($C$60:$C$841,"&lt;="&amp;DATE($C37,12,31),$E$60:$E$841)-SUM(E$25:E36)</f>
        <v>0</v>
      </c>
      <c r="F37" s="546"/>
      <c r="G37" s="545">
        <f>SUMIF($C$60:$C$841,"&lt;="&amp;DATE($C37,12,31),$G$60:$G$841)-SUM(G$25:G36)</f>
        <v>0</v>
      </c>
      <c r="H37" s="545">
        <f>SUMIF($C$60:$C$841,"&lt;="&amp;DATE($C37,12,31),$H$60:$H$841)-SUM(H$25:H36)</f>
        <v>0</v>
      </c>
      <c r="I37" s="545">
        <f t="shared" si="2"/>
        <v>0</v>
      </c>
      <c r="K37" s="547">
        <f t="shared" si="0"/>
        <v>0</v>
      </c>
    </row>
    <row r="38" spans="2:11">
      <c r="B38" s="548"/>
      <c r="C38" s="544">
        <f t="shared" si="1"/>
        <v>2040</v>
      </c>
      <c r="D38" s="545">
        <f>SUMIF($C$60:$C$841,"&lt;="&amp;DATE($C38,12,31),$D$60:$D$841)-SUM(D$25:D37)</f>
        <v>0</v>
      </c>
      <c r="E38" s="545">
        <f>SUMIF($C$60:$C$841,"&lt;="&amp;DATE($C38,12,31),$E$60:$E$841)-SUM(E$25:E37)</f>
        <v>0</v>
      </c>
      <c r="F38" s="546"/>
      <c r="G38" s="545">
        <f>SUMIF($C$60:$C$841,"&lt;="&amp;DATE($C38,12,31),$G$60:$G$841)-SUM(G$25:G37)</f>
        <v>0</v>
      </c>
      <c r="H38" s="545">
        <f>SUMIF($C$60:$C$841,"&lt;="&amp;DATE($C38,12,31),$H$60:$H$841)-SUM(H$25:H37)</f>
        <v>0</v>
      </c>
      <c r="I38" s="545">
        <f t="shared" si="2"/>
        <v>0</v>
      </c>
      <c r="K38" s="547">
        <f t="shared" si="0"/>
        <v>0</v>
      </c>
    </row>
    <row r="39" spans="2:11">
      <c r="B39" s="548"/>
      <c r="C39" s="544">
        <f t="shared" si="1"/>
        <v>2041</v>
      </c>
      <c r="D39" s="545">
        <f>SUMIF($C$60:$C$841,"&lt;="&amp;DATE($C39,12,31),$D$60:$D$841)-SUM(D$25:D38)</f>
        <v>0</v>
      </c>
      <c r="E39" s="545">
        <f>SUMIF($C$60:$C$841,"&lt;="&amp;DATE($C39,12,31),$E$60:$E$841)-SUM(E$25:E38)</f>
        <v>0</v>
      </c>
      <c r="F39" s="546"/>
      <c r="G39" s="545">
        <f>SUMIF($C$60:$C$841,"&lt;="&amp;DATE($C39,12,31),$G$60:$G$841)-SUM(G$25:G38)</f>
        <v>0</v>
      </c>
      <c r="H39" s="545">
        <f>SUMIF($C$60:$C$841,"&lt;="&amp;DATE($C39,12,31),$H$60:$H$841)-SUM(H$25:H38)</f>
        <v>0</v>
      </c>
      <c r="I39" s="545">
        <f t="shared" si="2"/>
        <v>0</v>
      </c>
      <c r="K39" s="547">
        <f t="shared" si="0"/>
        <v>0</v>
      </c>
    </row>
    <row r="40" spans="2:11">
      <c r="B40" s="548"/>
      <c r="C40" s="544">
        <f t="shared" si="1"/>
        <v>2042</v>
      </c>
      <c r="D40" s="545">
        <f>SUMIF($C$60:$C$841,"&lt;="&amp;DATE($C40,12,31),$D$60:$D$841)-SUM(D$25:D39)</f>
        <v>0</v>
      </c>
      <c r="E40" s="545">
        <f>SUMIF($C$60:$C$841,"&lt;="&amp;DATE($C40,12,31),$E$60:$E$841)-SUM(E$25:E39)</f>
        <v>0</v>
      </c>
      <c r="F40" s="546"/>
      <c r="G40" s="545">
        <f>SUMIF($C$60:$C$841,"&lt;="&amp;DATE($C40,12,31),$G$60:$G$841)-SUM(G$25:G39)</f>
        <v>0</v>
      </c>
      <c r="H40" s="545">
        <f>SUMIF($C$60:$C$841,"&lt;="&amp;DATE($C40,12,31),$H$60:$H$841)-SUM(H$25:H39)</f>
        <v>0</v>
      </c>
      <c r="I40" s="545">
        <f t="shared" si="2"/>
        <v>0</v>
      </c>
      <c r="K40" s="547">
        <f t="shared" si="0"/>
        <v>0</v>
      </c>
    </row>
    <row r="41" spans="2:11">
      <c r="B41" s="548"/>
      <c r="C41" s="544">
        <f t="shared" si="1"/>
        <v>2043</v>
      </c>
      <c r="D41" s="545">
        <f>SUMIF($C$60:$C$841,"&lt;="&amp;DATE($C41,12,31),$D$60:$D$841)-SUM(D$25:D40)</f>
        <v>0</v>
      </c>
      <c r="E41" s="545">
        <f>SUMIF($C$60:$C$841,"&lt;="&amp;DATE($C41,12,31),$E$60:$E$841)-SUM(E$25:E40)</f>
        <v>0</v>
      </c>
      <c r="F41" s="546"/>
      <c r="G41" s="545">
        <f>SUMIF($C$60:$C$841,"&lt;="&amp;DATE($C41,12,31),$G$60:$G$841)-SUM(G$25:G40)</f>
        <v>0</v>
      </c>
      <c r="H41" s="545">
        <f>SUMIF($C$60:$C$841,"&lt;="&amp;DATE($C41,12,31),$H$60:$H$841)-SUM(H$25:H40)</f>
        <v>0</v>
      </c>
      <c r="I41" s="545">
        <f t="shared" si="2"/>
        <v>0</v>
      </c>
      <c r="K41" s="547">
        <f t="shared" si="0"/>
        <v>0</v>
      </c>
    </row>
    <row r="42" spans="2:11">
      <c r="B42" s="548"/>
      <c r="C42" s="544">
        <f t="shared" si="1"/>
        <v>2044</v>
      </c>
      <c r="D42" s="545">
        <f>SUMIF($C$60:$C$841,"&lt;="&amp;DATE($C42,12,31),$D$60:$D$841)-SUM(D$25:D41)</f>
        <v>0</v>
      </c>
      <c r="E42" s="545">
        <f>SUMIF($C$60:$C$841,"&lt;="&amp;DATE($C42,12,31),$E$60:$E$841)-SUM(E$25:E41)</f>
        <v>0</v>
      </c>
      <c r="F42" s="546"/>
      <c r="G42" s="545">
        <f>SUMIF($C$60:$C$841,"&lt;="&amp;DATE($C42,12,31),$G$60:$G$841)-SUM(G$25:G41)</f>
        <v>0</v>
      </c>
      <c r="H42" s="545">
        <f>SUMIF($C$60:$C$841,"&lt;="&amp;DATE($C42,12,31),$H$60:$H$841)-SUM(H$25:H41)</f>
        <v>0</v>
      </c>
      <c r="I42" s="545">
        <f t="shared" si="2"/>
        <v>0</v>
      </c>
      <c r="K42" s="547">
        <f t="shared" si="0"/>
        <v>0</v>
      </c>
    </row>
    <row r="43" spans="2:11">
      <c r="B43" s="548"/>
      <c r="C43" s="544">
        <f t="shared" si="1"/>
        <v>2045</v>
      </c>
      <c r="D43" s="545">
        <f>SUMIF($C$60:$C$841,"&lt;="&amp;DATE($C43,12,31),$D$60:$D$841)-SUM(D$25:D42)</f>
        <v>0</v>
      </c>
      <c r="E43" s="545">
        <f>SUMIF($C$60:$C$841,"&lt;="&amp;DATE($C43,12,31),$E$60:$E$841)-SUM(E$25:E42)</f>
        <v>0</v>
      </c>
      <c r="F43" s="546"/>
      <c r="G43" s="545">
        <f>SUMIF($C$60:$C$841,"&lt;="&amp;DATE($C43,12,31),$G$60:$G$841)-SUM(G$25:G42)</f>
        <v>0</v>
      </c>
      <c r="H43" s="545">
        <f>SUMIF($C$60:$C$841,"&lt;="&amp;DATE($C43,12,31),$H$60:$H$841)-SUM(H$25:H42)</f>
        <v>0</v>
      </c>
      <c r="I43" s="545">
        <f t="shared" si="2"/>
        <v>0</v>
      </c>
      <c r="K43" s="547">
        <f t="shared" si="0"/>
        <v>0</v>
      </c>
    </row>
    <row r="44" spans="2:11">
      <c r="B44" s="548"/>
      <c r="C44" s="544">
        <f t="shared" si="1"/>
        <v>2046</v>
      </c>
      <c r="D44" s="545">
        <f>SUMIF($C$60:$C$841,"&lt;="&amp;DATE($C44,12,31),$D$60:$D$841)-SUM(D$25:D43)</f>
        <v>0</v>
      </c>
      <c r="E44" s="545">
        <f>SUMIF($C$60:$C$841,"&lt;="&amp;DATE($C44,12,31),$E$60:$E$841)-SUM(E$25:E43)</f>
        <v>0</v>
      </c>
      <c r="F44" s="546"/>
      <c r="G44" s="545">
        <f>SUMIF($C$60:$C$841,"&lt;="&amp;DATE($C44,12,31),$G$60:$G$841)-SUM(G$25:G43)</f>
        <v>0</v>
      </c>
      <c r="H44" s="545">
        <f>SUMIF($C$60:$C$841,"&lt;="&amp;DATE($C44,12,31),$H$60:$H$841)-SUM(H$25:H43)</f>
        <v>0</v>
      </c>
      <c r="I44" s="545">
        <f t="shared" si="2"/>
        <v>0</v>
      </c>
      <c r="K44" s="547">
        <f t="shared" si="0"/>
        <v>0</v>
      </c>
    </row>
    <row r="45" spans="2:11">
      <c r="B45" s="548"/>
      <c r="C45" s="544">
        <f t="shared" si="1"/>
        <v>2047</v>
      </c>
      <c r="D45" s="545">
        <f>SUMIF($C$60:$C$841,"&lt;="&amp;DATE($C45,12,31),$D$60:$D$841)-SUM(D$25:D44)</f>
        <v>0</v>
      </c>
      <c r="E45" s="545">
        <f>SUMIF($C$60:$C$841,"&lt;="&amp;DATE($C45,12,31),$E$60:$E$841)-SUM(E$25:E44)</f>
        <v>0</v>
      </c>
      <c r="F45" s="546"/>
      <c r="G45" s="545">
        <f>SUMIF($C$60:$C$841,"&lt;="&amp;DATE($C45,12,31),$G$60:$G$841)-SUM(G$25:G44)</f>
        <v>0</v>
      </c>
      <c r="H45" s="545">
        <f>SUMIF($C$60:$C$841,"&lt;="&amp;DATE($C45,12,31),$H$60:$H$841)-SUM(H$25:H44)</f>
        <v>0</v>
      </c>
      <c r="I45" s="545">
        <f t="shared" si="2"/>
        <v>0</v>
      </c>
      <c r="K45" s="547">
        <f t="shared" si="0"/>
        <v>0</v>
      </c>
    </row>
    <row r="46" spans="2:11">
      <c r="B46" s="548"/>
      <c r="C46" s="544">
        <f t="shared" si="1"/>
        <v>2048</v>
      </c>
      <c r="D46" s="545">
        <f>SUMIF($C$60:$C$841,"&lt;="&amp;DATE($C46,12,31),$D$60:$D$841)-SUM(D$25:D45)</f>
        <v>0</v>
      </c>
      <c r="E46" s="545">
        <f>SUMIF($C$60:$C$841,"&lt;="&amp;DATE($C46,12,31),$E$60:$E$841)-SUM(E$25:E45)</f>
        <v>0</v>
      </c>
      <c r="F46" s="546"/>
      <c r="G46" s="545">
        <f>SUMIF($C$60:$C$841,"&lt;="&amp;DATE($C46,12,31),$G$60:$G$841)-SUM(G$25:G45)</f>
        <v>0</v>
      </c>
      <c r="H46" s="545">
        <f>SUMIF($C$60:$C$841,"&lt;="&amp;DATE($C46,12,31),$H$60:$H$841)-SUM(H$25:H45)</f>
        <v>0</v>
      </c>
      <c r="I46" s="545">
        <f t="shared" si="2"/>
        <v>0</v>
      </c>
      <c r="K46" s="547">
        <f t="shared" si="0"/>
        <v>0</v>
      </c>
    </row>
    <row r="47" spans="2:11">
      <c r="B47" s="548"/>
      <c r="C47" s="544">
        <f t="shared" si="1"/>
        <v>2049</v>
      </c>
      <c r="D47" s="545">
        <f>SUMIF($C$60:$C$841,"&lt;="&amp;DATE($C47,12,31),$D$60:$D$841)-SUM(D$25:D46)</f>
        <v>0</v>
      </c>
      <c r="E47" s="545">
        <f>SUMIF($C$60:$C$841,"&lt;="&amp;DATE($C47,12,31),$E$60:$E$841)-SUM(E$25:E46)</f>
        <v>0</v>
      </c>
      <c r="F47" s="546"/>
      <c r="G47" s="545">
        <f>SUMIF($C$60:$C$841,"&lt;="&amp;DATE($C47,12,31),$G$60:$G$841)-SUM(G$25:G46)</f>
        <v>0</v>
      </c>
      <c r="H47" s="545">
        <f>SUMIF($C$60:$C$841,"&lt;="&amp;DATE($C47,12,31),$H$60:$H$841)-SUM(H$25:H46)</f>
        <v>0</v>
      </c>
      <c r="I47" s="545">
        <f t="shared" si="2"/>
        <v>0</v>
      </c>
      <c r="K47" s="547">
        <f t="shared" si="0"/>
        <v>0</v>
      </c>
    </row>
    <row r="48" spans="2:11">
      <c r="B48" s="548"/>
      <c r="C48" s="544">
        <f t="shared" si="1"/>
        <v>2050</v>
      </c>
      <c r="D48" s="545">
        <f>SUMIF($C$60:$C$841,"&lt;="&amp;DATE($C48,12,31),$D$60:$D$841)-SUM(D$25:D47)</f>
        <v>0</v>
      </c>
      <c r="E48" s="545">
        <f>SUMIF($C$60:$C$841,"&lt;="&amp;DATE($C48,12,31),$E$60:$E$841)-SUM(E$25:E47)</f>
        <v>0</v>
      </c>
      <c r="F48" s="546"/>
      <c r="G48" s="545">
        <f>SUMIF($C$60:$C$841,"&lt;="&amp;DATE($C48,12,31),$G$60:$G$841)-SUM(G$25:G47)</f>
        <v>0</v>
      </c>
      <c r="H48" s="545">
        <f>SUMIF($C$60:$C$841,"&lt;="&amp;DATE($C48,12,31),$H$60:$H$841)-SUM(H$25:H47)</f>
        <v>0</v>
      </c>
      <c r="I48" s="545">
        <f t="shared" si="2"/>
        <v>0</v>
      </c>
      <c r="K48" s="547">
        <f t="shared" si="0"/>
        <v>0</v>
      </c>
    </row>
    <row r="49" spans="2:11">
      <c r="B49" s="548"/>
      <c r="C49" s="544">
        <f t="shared" si="1"/>
        <v>2051</v>
      </c>
      <c r="D49" s="545">
        <f>SUMIF($C$60:$C$841,"&lt;="&amp;DATE($C49,12,31),$D$60:$D$841)-SUM(D$25:D48)</f>
        <v>0</v>
      </c>
      <c r="E49" s="545">
        <f>SUMIF($C$60:$C$841,"&lt;="&amp;DATE($C49,12,31),$E$60:$E$841)-SUM(E$25:E48)</f>
        <v>0</v>
      </c>
      <c r="F49" s="546"/>
      <c r="G49" s="545">
        <f>SUMIF($C$60:$C$841,"&lt;="&amp;DATE($C49,12,31),$G$60:$G$841)-SUM(G$25:G48)</f>
        <v>0</v>
      </c>
      <c r="H49" s="545">
        <f>SUMIF($C$60:$C$841,"&lt;="&amp;DATE($C49,12,31),$H$60:$H$841)-SUM(H$25:H48)</f>
        <v>0</v>
      </c>
      <c r="I49" s="545">
        <f t="shared" si="2"/>
        <v>0</v>
      </c>
      <c r="K49" s="547">
        <f t="shared" si="0"/>
        <v>0</v>
      </c>
    </row>
    <row r="50" spans="2:11">
      <c r="B50" s="548"/>
      <c r="C50" s="544">
        <f t="shared" si="1"/>
        <v>2052</v>
      </c>
      <c r="D50" s="545">
        <f>SUMIF($C$60:$C$841,"&lt;="&amp;DATE($C50,12,31),$D$60:$D$841)-SUM(D$25:D49)</f>
        <v>0</v>
      </c>
      <c r="E50" s="545">
        <f>SUMIF($C$60:$C$841,"&lt;="&amp;DATE($C50,12,31),$E$60:$E$841)-SUM(E$25:E49)</f>
        <v>0</v>
      </c>
      <c r="F50" s="546"/>
      <c r="G50" s="545">
        <f>SUMIF($C$60:$C$841,"&lt;="&amp;DATE($C50,12,31),$G$60:$G$841)-SUM(G$25:G49)</f>
        <v>0</v>
      </c>
      <c r="H50" s="545">
        <f>SUMIF($C$60:$C$841,"&lt;="&amp;DATE($C50,12,31),$H$60:$H$841)-SUM(H$25:H49)</f>
        <v>0</v>
      </c>
      <c r="I50" s="545">
        <f t="shared" si="2"/>
        <v>0</v>
      </c>
      <c r="K50" s="547">
        <f t="shared" si="0"/>
        <v>0</v>
      </c>
    </row>
    <row r="51" spans="2:11">
      <c r="B51" s="548"/>
      <c r="C51" s="544">
        <f t="shared" si="1"/>
        <v>2053</v>
      </c>
      <c r="D51" s="545">
        <f>SUMIF($C$60:$C$841,"&lt;="&amp;DATE($C51,12,31),$D$60:$D$841)-SUM(D$25:D50)</f>
        <v>0</v>
      </c>
      <c r="E51" s="545">
        <f>SUMIF($C$60:$C$841,"&lt;="&amp;DATE($C51,12,31),$E$60:$E$841)-SUM(E$25:E50)</f>
        <v>0</v>
      </c>
      <c r="F51" s="546"/>
      <c r="G51" s="545">
        <f>SUMIF($C$60:$C$841,"&lt;="&amp;DATE($C51,12,31),$G$60:$G$841)-SUM(G$25:G50)</f>
        <v>0</v>
      </c>
      <c r="H51" s="545">
        <f>SUMIF($C$60:$C$841,"&lt;="&amp;DATE($C51,12,31),$H$60:$H$841)-SUM(H$25:H50)</f>
        <v>0</v>
      </c>
      <c r="I51" s="545">
        <f t="shared" si="2"/>
        <v>0</v>
      </c>
      <c r="K51" s="547">
        <f t="shared" si="0"/>
        <v>0</v>
      </c>
    </row>
    <row r="52" spans="2:11">
      <c r="B52" s="548"/>
      <c r="C52" s="544">
        <f t="shared" si="1"/>
        <v>2054</v>
      </c>
      <c r="D52" s="545">
        <f>SUMIF($C$60:$C$841,"&lt;="&amp;DATE($C52,12,31),$D$60:$D$841)-SUM(D$25:D51)</f>
        <v>0</v>
      </c>
      <c r="E52" s="545">
        <f>SUMIF($C$60:$C$841,"&lt;="&amp;DATE($C52,12,31),$E$60:$E$841)-SUM(E$25:E51)</f>
        <v>0</v>
      </c>
      <c r="F52" s="546"/>
      <c r="G52" s="545">
        <f>SUMIF($C$60:$C$841,"&lt;="&amp;DATE($C52,12,31),$G$60:$G$841)-SUM(G$25:G51)</f>
        <v>0</v>
      </c>
      <c r="H52" s="545">
        <f>SUMIF($C$60:$C$841,"&lt;="&amp;DATE($C52,12,31),$H$60:$H$841)-SUM(H$25:H51)</f>
        <v>0</v>
      </c>
      <c r="I52" s="545">
        <f t="shared" si="2"/>
        <v>0</v>
      </c>
      <c r="K52" s="547">
        <f t="shared" si="0"/>
        <v>0</v>
      </c>
    </row>
    <row r="53" spans="2:11">
      <c r="B53" s="548"/>
      <c r="C53" s="544">
        <f t="shared" si="1"/>
        <v>2055</v>
      </c>
      <c r="D53" s="545">
        <f>SUMIF($C$60:$C$841,"&lt;="&amp;DATE($C53,12,31),$D$60:$D$841)-SUM(D$25:D52)</f>
        <v>0</v>
      </c>
      <c r="E53" s="545">
        <f>SUMIF($C$60:$C$841,"&lt;="&amp;DATE($C53,12,31),$E$60:$E$841)-SUM(E$25:E52)</f>
        <v>0</v>
      </c>
      <c r="F53" s="546"/>
      <c r="G53" s="545">
        <f>SUMIF($C$60:$C$841,"&lt;="&amp;DATE($C53,12,31),$G$60:$G$841)-SUM(G$25:G52)</f>
        <v>0</v>
      </c>
      <c r="H53" s="545">
        <f>SUMIF($C$60:$C$841,"&lt;="&amp;DATE($C53,12,31),$H$60:$H$841)-SUM(H$25:H52)</f>
        <v>0</v>
      </c>
      <c r="I53" s="545">
        <f t="shared" si="2"/>
        <v>0</v>
      </c>
      <c r="K53" s="547">
        <f t="shared" si="0"/>
        <v>0</v>
      </c>
    </row>
    <row r="54" spans="2:11">
      <c r="B54" s="548"/>
      <c r="C54" s="544">
        <f t="shared" si="1"/>
        <v>2056</v>
      </c>
      <c r="D54" s="545">
        <f>SUMIF($C$60:$C$841,"&lt;="&amp;DATE($C54,12,31),$D$60:$D$841)-SUM(D$25:D53)</f>
        <v>0</v>
      </c>
      <c r="E54" s="545">
        <f>SUMIF($C$60:$C$841,"&lt;="&amp;DATE($C54,12,31),$E$60:$E$841)-SUM(E$25:E53)</f>
        <v>0</v>
      </c>
      <c r="F54" s="546"/>
      <c r="G54" s="545">
        <f>SUMIF($C$60:$C$841,"&lt;="&amp;DATE($C54,12,31),$G$60:$G$841)-SUM(G$25:G53)</f>
        <v>0</v>
      </c>
      <c r="H54" s="545">
        <f>SUMIF($C$60:$C$841,"&lt;="&amp;DATE($C54,12,31),$H$60:$H$841)-SUM(H$25:H53)</f>
        <v>0</v>
      </c>
      <c r="I54" s="545">
        <f t="shared" si="2"/>
        <v>0</v>
      </c>
      <c r="K54" s="547">
        <f t="shared" si="0"/>
        <v>0</v>
      </c>
    </row>
    <row r="55" spans="2:11">
      <c r="B55" s="548"/>
      <c r="C55" s="544">
        <f t="shared" si="1"/>
        <v>2057</v>
      </c>
      <c r="D55" s="545">
        <f>SUMIF($C$60:$C$841,"&lt;="&amp;DATE($C55,12,31),$D$60:$D$841)-SUM(D$25:D54)</f>
        <v>0</v>
      </c>
      <c r="E55" s="545">
        <f>SUMIF($C$60:$C$841,"&lt;="&amp;DATE($C55,12,31),$E$60:$E$841)-SUM(E$25:E54)</f>
        <v>0</v>
      </c>
      <c r="F55" s="546"/>
      <c r="G55" s="545">
        <f>SUMIF($C$60:$C$841,"&lt;="&amp;DATE($C55,12,31),$G$60:$G$841)-SUM(G$25:G54)</f>
        <v>0</v>
      </c>
      <c r="H55" s="545">
        <f>SUMIF($C$60:$C$841,"&lt;="&amp;DATE($C55,12,31),$H$60:$H$841)-SUM(H$25:H54)</f>
        <v>0</v>
      </c>
      <c r="I55" s="545">
        <f t="shared" si="2"/>
        <v>0</v>
      </c>
      <c r="K55" s="547"/>
    </row>
    <row r="56" spans="2:11">
      <c r="B56" s="548"/>
      <c r="C56" s="544">
        <f t="shared" si="1"/>
        <v>2058</v>
      </c>
      <c r="D56" s="545">
        <f>SUMIF($C$60:$C$841,"&lt;="&amp;DATE($C56,12,31),$D$60:$D$841)-SUM(D$25:D55)</f>
        <v>0</v>
      </c>
      <c r="E56" s="545">
        <f>SUMIF($C$60:$C$841,"&lt;="&amp;DATE($C56,12,31),$E$60:$E$841)-SUM(E$25:E55)</f>
        <v>0</v>
      </c>
      <c r="F56" s="546"/>
      <c r="G56" s="545">
        <f>SUMIF($C$60:$C$841,"&lt;="&amp;DATE($C56,12,31),$G$60:$G$841)-SUM(G$25:G55)</f>
        <v>0</v>
      </c>
      <c r="H56" s="545">
        <f>SUMIF($C$60:$C$841,"&lt;="&amp;DATE($C56,12,31),$H$60:$H$841)-SUM(H$25:H55)</f>
        <v>0</v>
      </c>
      <c r="I56" s="545">
        <f t="shared" si="2"/>
        <v>0</v>
      </c>
    </row>
    <row r="57" spans="2:11">
      <c r="I57" s="531"/>
    </row>
    <row r="58" spans="2:11" ht="15">
      <c r="B58" s="534" t="s">
        <v>707</v>
      </c>
      <c r="C58" s="534"/>
      <c r="D58" s="534"/>
      <c r="E58" s="534"/>
      <c r="F58" s="534"/>
      <c r="G58" s="534"/>
      <c r="H58" s="534"/>
    </row>
    <row r="59" spans="2:11" ht="26.25" thickBot="1">
      <c r="B59" s="549" t="s">
        <v>708</v>
      </c>
      <c r="C59" s="550" t="s">
        <v>709</v>
      </c>
      <c r="D59" s="550" t="s">
        <v>710</v>
      </c>
      <c r="E59" s="550" t="s">
        <v>711</v>
      </c>
      <c r="F59" s="537"/>
      <c r="G59" s="551" t="s">
        <v>45</v>
      </c>
      <c r="H59" s="551" t="s">
        <v>44</v>
      </c>
      <c r="I59" s="551" t="s">
        <v>492</v>
      </c>
    </row>
    <row r="60" spans="2:11">
      <c r="B60" s="552"/>
      <c r="C60" s="553"/>
      <c r="D60" s="552"/>
      <c r="E60" s="552"/>
      <c r="F60" s="552"/>
      <c r="G60" s="554"/>
      <c r="H60" s="554"/>
      <c r="I60" s="554">
        <f>$E$6</f>
        <v>0</v>
      </c>
    </row>
    <row r="61" spans="2:11">
      <c r="B61" s="555" t="str">
        <f t="shared" ref="B61:B124" si="3">IF(I60="","",IF(roundOpt,IF(OR(B60&gt;=nper,ROUND(I60,2)&lt;=0),"",B60+1),IF(OR(B60&gt;=nper,I60&lt;=0),"",B60+1)))</f>
        <v/>
      </c>
      <c r="C61" s="556" t="str">
        <f t="shared" ref="C61:C124" si="4">IF(B61="","",IF(OR(periods_per_year=26,periods_per_year=52),IF(periods_per_year=26,IF(B61=1,fpdate,C60+14),IF(periods_per_year=52,IF(B61=1,fpdate,C60+7),"n/a")),IF(periods_per_year=24,DATE(YEAR(fpdate),MONTH(fpdate)+(B61-1)/2+IF(AND(DAY(fpdate)&gt;=15,MOD(B61,2)=0),1,0),IF(MOD(B61,2)=0,IF(DAY(fpdate)&gt;=15,DAY(fpdate)-14,DAY(fpdate)+14),DAY(fpdate))),IF(DAY(DATE(YEAR(fpdate),MONTH(fpdate)+(B61-1)*months_per_period,DAY(fpdate)))&lt;&gt;DAY(fpdate),DATE(YEAR(fpdate),MONTH(fpdate)+(B61-1)*months_per_period+1,0),DATE(YEAR(fpdate),MONTH(fpdate)+(B61-1)*months_per_period,DAY(fpdate))))))</f>
        <v/>
      </c>
      <c r="D61" s="557" t="str">
        <f t="shared" ref="D61:D124" si="5">IF(B61="","",IF(roundOpt,IF(OR(B61=nper,payment&gt;ROUND((1+rate)*I60,2)),ROUND((1+rate)*I60,2),payment),IF(OR(B61=nper,payment&gt;(1+rate)*I60),(1+rate)*I60,payment)))</f>
        <v/>
      </c>
      <c r="E61" s="558"/>
      <c r="F61" s="559"/>
      <c r="G61" s="559" t="str">
        <f t="shared" ref="G61:G124" si="6">IF(B61="","",IF(AND(B61=1,pmtType=1),0,IF(roundOpt,ROUND(rate*I60,2),rate*I60)))</f>
        <v/>
      </c>
      <c r="H61" s="559" t="str">
        <f t="shared" ref="H61:H124" si="7">IF(B61="","",D61-G61+E61)</f>
        <v/>
      </c>
      <c r="I61" s="559" t="str">
        <f t="shared" ref="I61:I124" si="8">IF(B61="","",I60-H61)</f>
        <v/>
      </c>
    </row>
    <row r="62" spans="2:11">
      <c r="B62" s="555" t="str">
        <f t="shared" si="3"/>
        <v/>
      </c>
      <c r="C62" s="556" t="str">
        <f t="shared" si="4"/>
        <v/>
      </c>
      <c r="D62" s="557" t="str">
        <f t="shared" si="5"/>
        <v/>
      </c>
      <c r="E62" s="560"/>
      <c r="F62" s="559"/>
      <c r="G62" s="559" t="str">
        <f t="shared" si="6"/>
        <v/>
      </c>
      <c r="H62" s="559" t="str">
        <f t="shared" si="7"/>
        <v/>
      </c>
      <c r="I62" s="559" t="str">
        <f t="shared" si="8"/>
        <v/>
      </c>
    </row>
    <row r="63" spans="2:11">
      <c r="B63" s="555" t="str">
        <f t="shared" si="3"/>
        <v/>
      </c>
      <c r="C63" s="556" t="str">
        <f t="shared" si="4"/>
        <v/>
      </c>
      <c r="D63" s="557" t="str">
        <f t="shared" si="5"/>
        <v/>
      </c>
      <c r="E63" s="560"/>
      <c r="F63" s="559"/>
      <c r="G63" s="559" t="str">
        <f t="shared" si="6"/>
        <v/>
      </c>
      <c r="H63" s="559" t="str">
        <f t="shared" si="7"/>
        <v/>
      </c>
      <c r="I63" s="559" t="str">
        <f t="shared" si="8"/>
        <v/>
      </c>
    </row>
    <row r="64" spans="2:11">
      <c r="B64" s="555" t="str">
        <f t="shared" si="3"/>
        <v/>
      </c>
      <c r="C64" s="556" t="str">
        <f t="shared" si="4"/>
        <v/>
      </c>
      <c r="D64" s="557" t="str">
        <f t="shared" si="5"/>
        <v/>
      </c>
      <c r="E64" s="560"/>
      <c r="F64" s="559"/>
      <c r="G64" s="559" t="str">
        <f t="shared" si="6"/>
        <v/>
      </c>
      <c r="H64" s="559" t="str">
        <f t="shared" si="7"/>
        <v/>
      </c>
      <c r="I64" s="559" t="str">
        <f t="shared" si="8"/>
        <v/>
      </c>
    </row>
    <row r="65" spans="2:10" ht="15">
      <c r="B65" s="555" t="str">
        <f t="shared" si="3"/>
        <v/>
      </c>
      <c r="C65" s="556" t="str">
        <f t="shared" si="4"/>
        <v/>
      </c>
      <c r="D65" s="557" t="str">
        <f t="shared" si="5"/>
        <v/>
      </c>
      <c r="E65" s="560"/>
      <c r="F65" s="559"/>
      <c r="G65" s="559" t="str">
        <f t="shared" si="6"/>
        <v/>
      </c>
      <c r="H65" s="559" t="str">
        <f t="shared" si="7"/>
        <v/>
      </c>
      <c r="I65" s="559" t="str">
        <f t="shared" si="8"/>
        <v/>
      </c>
      <c r="J65" s="561"/>
    </row>
    <row r="66" spans="2:10" ht="15">
      <c r="B66" s="555" t="str">
        <f t="shared" si="3"/>
        <v/>
      </c>
      <c r="C66" s="556" t="str">
        <f t="shared" si="4"/>
        <v/>
      </c>
      <c r="D66" s="557" t="str">
        <f t="shared" si="5"/>
        <v/>
      </c>
      <c r="E66" s="560"/>
      <c r="F66" s="559"/>
      <c r="G66" s="559" t="str">
        <f t="shared" si="6"/>
        <v/>
      </c>
      <c r="H66" s="559" t="str">
        <f t="shared" si="7"/>
        <v/>
      </c>
      <c r="I66" s="559" t="str">
        <f t="shared" si="8"/>
        <v/>
      </c>
      <c r="J66" s="561"/>
    </row>
    <row r="67" spans="2:10" ht="15">
      <c r="B67" s="555" t="str">
        <f t="shared" si="3"/>
        <v/>
      </c>
      <c r="C67" s="556" t="str">
        <f t="shared" si="4"/>
        <v/>
      </c>
      <c r="D67" s="557" t="str">
        <f t="shared" si="5"/>
        <v/>
      </c>
      <c r="E67" s="560"/>
      <c r="F67" s="559"/>
      <c r="G67" s="559" t="str">
        <f t="shared" si="6"/>
        <v/>
      </c>
      <c r="H67" s="559" t="str">
        <f t="shared" si="7"/>
        <v/>
      </c>
      <c r="I67" s="559" t="str">
        <f t="shared" si="8"/>
        <v/>
      </c>
      <c r="J67" s="562"/>
    </row>
    <row r="68" spans="2:10">
      <c r="B68" s="555" t="str">
        <f t="shared" si="3"/>
        <v/>
      </c>
      <c r="C68" s="556" t="str">
        <f t="shared" si="4"/>
        <v/>
      </c>
      <c r="D68" s="557" t="str">
        <f t="shared" si="5"/>
        <v/>
      </c>
      <c r="E68" s="560"/>
      <c r="F68" s="559"/>
      <c r="G68" s="559" t="str">
        <f t="shared" si="6"/>
        <v/>
      </c>
      <c r="H68" s="559" t="str">
        <f t="shared" si="7"/>
        <v/>
      </c>
      <c r="I68" s="559" t="str">
        <f t="shared" si="8"/>
        <v/>
      </c>
    </row>
    <row r="69" spans="2:10">
      <c r="B69" s="555" t="str">
        <f t="shared" si="3"/>
        <v/>
      </c>
      <c r="C69" s="556" t="str">
        <f t="shared" si="4"/>
        <v/>
      </c>
      <c r="D69" s="557" t="str">
        <f t="shared" si="5"/>
        <v/>
      </c>
      <c r="E69" s="560"/>
      <c r="F69" s="559"/>
      <c r="G69" s="559" t="str">
        <f t="shared" si="6"/>
        <v/>
      </c>
      <c r="H69" s="559" t="str">
        <f t="shared" si="7"/>
        <v/>
      </c>
      <c r="I69" s="559" t="str">
        <f t="shared" si="8"/>
        <v/>
      </c>
    </row>
    <row r="70" spans="2:10">
      <c r="B70" s="555" t="str">
        <f t="shared" si="3"/>
        <v/>
      </c>
      <c r="C70" s="556" t="str">
        <f t="shared" si="4"/>
        <v/>
      </c>
      <c r="D70" s="557" t="str">
        <f t="shared" si="5"/>
        <v/>
      </c>
      <c r="E70" s="560"/>
      <c r="F70" s="559"/>
      <c r="G70" s="559" t="str">
        <f t="shared" si="6"/>
        <v/>
      </c>
      <c r="H70" s="559" t="str">
        <f t="shared" si="7"/>
        <v/>
      </c>
      <c r="I70" s="559" t="str">
        <f t="shared" si="8"/>
        <v/>
      </c>
    </row>
    <row r="71" spans="2:10">
      <c r="B71" s="555" t="str">
        <f t="shared" si="3"/>
        <v/>
      </c>
      <c r="C71" s="556" t="str">
        <f t="shared" si="4"/>
        <v/>
      </c>
      <c r="D71" s="557" t="str">
        <f t="shared" si="5"/>
        <v/>
      </c>
      <c r="E71" s="560"/>
      <c r="F71" s="559"/>
      <c r="G71" s="559" t="str">
        <f t="shared" si="6"/>
        <v/>
      </c>
      <c r="H71" s="559" t="str">
        <f t="shared" si="7"/>
        <v/>
      </c>
      <c r="I71" s="559" t="str">
        <f t="shared" si="8"/>
        <v/>
      </c>
    </row>
    <row r="72" spans="2:10">
      <c r="B72" s="555" t="str">
        <f t="shared" si="3"/>
        <v/>
      </c>
      <c r="C72" s="556" t="str">
        <f t="shared" si="4"/>
        <v/>
      </c>
      <c r="D72" s="557" t="str">
        <f t="shared" si="5"/>
        <v/>
      </c>
      <c r="E72" s="560"/>
      <c r="F72" s="559"/>
      <c r="G72" s="559" t="str">
        <f t="shared" si="6"/>
        <v/>
      </c>
      <c r="H72" s="559" t="str">
        <f t="shared" si="7"/>
        <v/>
      </c>
      <c r="I72" s="559" t="str">
        <f t="shared" si="8"/>
        <v/>
      </c>
    </row>
    <row r="73" spans="2:10">
      <c r="B73" s="555" t="str">
        <f t="shared" si="3"/>
        <v/>
      </c>
      <c r="C73" s="556" t="str">
        <f t="shared" si="4"/>
        <v/>
      </c>
      <c r="D73" s="557" t="str">
        <f t="shared" si="5"/>
        <v/>
      </c>
      <c r="E73" s="560"/>
      <c r="F73" s="559"/>
      <c r="G73" s="559" t="str">
        <f t="shared" si="6"/>
        <v/>
      </c>
      <c r="H73" s="559" t="str">
        <f t="shared" si="7"/>
        <v/>
      </c>
      <c r="I73" s="559" t="str">
        <f t="shared" si="8"/>
        <v/>
      </c>
    </row>
    <row r="74" spans="2:10">
      <c r="B74" s="555" t="str">
        <f t="shared" si="3"/>
        <v/>
      </c>
      <c r="C74" s="556" t="str">
        <f t="shared" si="4"/>
        <v/>
      </c>
      <c r="D74" s="557" t="str">
        <f t="shared" si="5"/>
        <v/>
      </c>
      <c r="E74" s="560"/>
      <c r="F74" s="559"/>
      <c r="G74" s="559" t="str">
        <f t="shared" si="6"/>
        <v/>
      </c>
      <c r="H74" s="559" t="str">
        <f t="shared" si="7"/>
        <v/>
      </c>
      <c r="I74" s="559" t="str">
        <f t="shared" si="8"/>
        <v/>
      </c>
    </row>
    <row r="75" spans="2:10">
      <c r="B75" s="555" t="str">
        <f t="shared" si="3"/>
        <v/>
      </c>
      <c r="C75" s="556" t="str">
        <f t="shared" si="4"/>
        <v/>
      </c>
      <c r="D75" s="557" t="str">
        <f t="shared" si="5"/>
        <v/>
      </c>
      <c r="E75" s="560"/>
      <c r="F75" s="559"/>
      <c r="G75" s="559" t="str">
        <f t="shared" si="6"/>
        <v/>
      </c>
      <c r="H75" s="559" t="str">
        <f t="shared" si="7"/>
        <v/>
      </c>
      <c r="I75" s="559" t="str">
        <f t="shared" si="8"/>
        <v/>
      </c>
    </row>
    <row r="76" spans="2:10">
      <c r="B76" s="555" t="str">
        <f t="shared" si="3"/>
        <v/>
      </c>
      <c r="C76" s="556" t="str">
        <f t="shared" si="4"/>
        <v/>
      </c>
      <c r="D76" s="557" t="str">
        <f t="shared" si="5"/>
        <v/>
      </c>
      <c r="E76" s="560"/>
      <c r="F76" s="559"/>
      <c r="G76" s="559" t="str">
        <f t="shared" si="6"/>
        <v/>
      </c>
      <c r="H76" s="559" t="str">
        <f t="shared" si="7"/>
        <v/>
      </c>
      <c r="I76" s="559" t="str">
        <f t="shared" si="8"/>
        <v/>
      </c>
    </row>
    <row r="77" spans="2:10">
      <c r="B77" s="555" t="str">
        <f t="shared" si="3"/>
        <v/>
      </c>
      <c r="C77" s="556" t="str">
        <f t="shared" si="4"/>
        <v/>
      </c>
      <c r="D77" s="557" t="str">
        <f t="shared" si="5"/>
        <v/>
      </c>
      <c r="E77" s="560"/>
      <c r="F77" s="559"/>
      <c r="G77" s="559" t="str">
        <f t="shared" si="6"/>
        <v/>
      </c>
      <c r="H77" s="559" t="str">
        <f t="shared" si="7"/>
        <v/>
      </c>
      <c r="I77" s="559" t="str">
        <f t="shared" si="8"/>
        <v/>
      </c>
    </row>
    <row r="78" spans="2:10">
      <c r="B78" s="555" t="str">
        <f t="shared" si="3"/>
        <v/>
      </c>
      <c r="C78" s="556" t="str">
        <f t="shared" si="4"/>
        <v/>
      </c>
      <c r="D78" s="557" t="str">
        <f t="shared" si="5"/>
        <v/>
      </c>
      <c r="E78" s="560"/>
      <c r="F78" s="559"/>
      <c r="G78" s="559" t="str">
        <f t="shared" si="6"/>
        <v/>
      </c>
      <c r="H78" s="559" t="str">
        <f t="shared" si="7"/>
        <v/>
      </c>
      <c r="I78" s="559" t="str">
        <f t="shared" si="8"/>
        <v/>
      </c>
    </row>
    <row r="79" spans="2:10">
      <c r="B79" s="555" t="str">
        <f t="shared" si="3"/>
        <v/>
      </c>
      <c r="C79" s="556" t="str">
        <f t="shared" si="4"/>
        <v/>
      </c>
      <c r="D79" s="557" t="str">
        <f t="shared" si="5"/>
        <v/>
      </c>
      <c r="E79" s="560"/>
      <c r="F79" s="559"/>
      <c r="G79" s="559" t="str">
        <f t="shared" si="6"/>
        <v/>
      </c>
      <c r="H79" s="559" t="str">
        <f t="shared" si="7"/>
        <v/>
      </c>
      <c r="I79" s="559" t="str">
        <f t="shared" si="8"/>
        <v/>
      </c>
    </row>
    <row r="80" spans="2:10">
      <c r="B80" s="555" t="str">
        <f t="shared" si="3"/>
        <v/>
      </c>
      <c r="C80" s="556" t="str">
        <f t="shared" si="4"/>
        <v/>
      </c>
      <c r="D80" s="557" t="str">
        <f t="shared" si="5"/>
        <v/>
      </c>
      <c r="E80" s="560"/>
      <c r="F80" s="559"/>
      <c r="G80" s="559" t="str">
        <f t="shared" si="6"/>
        <v/>
      </c>
      <c r="H80" s="559" t="str">
        <f t="shared" si="7"/>
        <v/>
      </c>
      <c r="I80" s="559" t="str">
        <f t="shared" si="8"/>
        <v/>
      </c>
    </row>
    <row r="81" spans="2:9">
      <c r="B81" s="555" t="str">
        <f t="shared" si="3"/>
        <v/>
      </c>
      <c r="C81" s="556" t="str">
        <f t="shared" si="4"/>
        <v/>
      </c>
      <c r="D81" s="557" t="str">
        <f t="shared" si="5"/>
        <v/>
      </c>
      <c r="E81" s="560"/>
      <c r="F81" s="559"/>
      <c r="G81" s="559" t="str">
        <f t="shared" si="6"/>
        <v/>
      </c>
      <c r="H81" s="559" t="str">
        <f t="shared" si="7"/>
        <v/>
      </c>
      <c r="I81" s="559" t="str">
        <f t="shared" si="8"/>
        <v/>
      </c>
    </row>
    <row r="82" spans="2:9">
      <c r="B82" s="555" t="str">
        <f t="shared" si="3"/>
        <v/>
      </c>
      <c r="C82" s="556" t="str">
        <f t="shared" si="4"/>
        <v/>
      </c>
      <c r="D82" s="557" t="str">
        <f t="shared" si="5"/>
        <v/>
      </c>
      <c r="E82" s="560"/>
      <c r="F82" s="559"/>
      <c r="G82" s="559" t="str">
        <f t="shared" si="6"/>
        <v/>
      </c>
      <c r="H82" s="559" t="str">
        <f t="shared" si="7"/>
        <v/>
      </c>
      <c r="I82" s="559" t="str">
        <f t="shared" si="8"/>
        <v/>
      </c>
    </row>
    <row r="83" spans="2:9">
      <c r="B83" s="555" t="str">
        <f t="shared" si="3"/>
        <v/>
      </c>
      <c r="C83" s="556" t="str">
        <f t="shared" si="4"/>
        <v/>
      </c>
      <c r="D83" s="557" t="str">
        <f t="shared" si="5"/>
        <v/>
      </c>
      <c r="E83" s="560"/>
      <c r="F83" s="559"/>
      <c r="G83" s="559" t="str">
        <f t="shared" si="6"/>
        <v/>
      </c>
      <c r="H83" s="559" t="str">
        <f t="shared" si="7"/>
        <v/>
      </c>
      <c r="I83" s="559" t="str">
        <f t="shared" si="8"/>
        <v/>
      </c>
    </row>
    <row r="84" spans="2:9">
      <c r="B84" s="555" t="str">
        <f t="shared" si="3"/>
        <v/>
      </c>
      <c r="C84" s="556" t="str">
        <f t="shared" si="4"/>
        <v/>
      </c>
      <c r="D84" s="557" t="str">
        <f t="shared" si="5"/>
        <v/>
      </c>
      <c r="E84" s="560"/>
      <c r="F84" s="559"/>
      <c r="G84" s="559" t="str">
        <f t="shared" si="6"/>
        <v/>
      </c>
      <c r="H84" s="559" t="str">
        <f t="shared" si="7"/>
        <v/>
      </c>
      <c r="I84" s="559" t="str">
        <f t="shared" si="8"/>
        <v/>
      </c>
    </row>
    <row r="85" spans="2:9">
      <c r="B85" s="555" t="str">
        <f t="shared" si="3"/>
        <v/>
      </c>
      <c r="C85" s="556" t="str">
        <f t="shared" si="4"/>
        <v/>
      </c>
      <c r="D85" s="557" t="str">
        <f t="shared" si="5"/>
        <v/>
      </c>
      <c r="E85" s="560"/>
      <c r="F85" s="559"/>
      <c r="G85" s="559" t="str">
        <f t="shared" si="6"/>
        <v/>
      </c>
      <c r="H85" s="559" t="str">
        <f t="shared" si="7"/>
        <v/>
      </c>
      <c r="I85" s="559" t="str">
        <f t="shared" si="8"/>
        <v/>
      </c>
    </row>
    <row r="86" spans="2:9">
      <c r="B86" s="555" t="str">
        <f t="shared" si="3"/>
        <v/>
      </c>
      <c r="C86" s="556" t="str">
        <f t="shared" si="4"/>
        <v/>
      </c>
      <c r="D86" s="557" t="str">
        <f t="shared" si="5"/>
        <v/>
      </c>
      <c r="E86" s="560"/>
      <c r="F86" s="559"/>
      <c r="G86" s="559" t="str">
        <f t="shared" si="6"/>
        <v/>
      </c>
      <c r="H86" s="559" t="str">
        <f t="shared" si="7"/>
        <v/>
      </c>
      <c r="I86" s="559" t="str">
        <f t="shared" si="8"/>
        <v/>
      </c>
    </row>
    <row r="87" spans="2:9">
      <c r="B87" s="555" t="str">
        <f t="shared" si="3"/>
        <v/>
      </c>
      <c r="C87" s="556" t="str">
        <f t="shared" si="4"/>
        <v/>
      </c>
      <c r="D87" s="557" t="str">
        <f t="shared" si="5"/>
        <v/>
      </c>
      <c r="E87" s="560"/>
      <c r="F87" s="559"/>
      <c r="G87" s="559" t="str">
        <f t="shared" si="6"/>
        <v/>
      </c>
      <c r="H87" s="559" t="str">
        <f t="shared" si="7"/>
        <v/>
      </c>
      <c r="I87" s="559" t="str">
        <f t="shared" si="8"/>
        <v/>
      </c>
    </row>
    <row r="88" spans="2:9">
      <c r="B88" s="555" t="str">
        <f t="shared" si="3"/>
        <v/>
      </c>
      <c r="C88" s="556" t="str">
        <f t="shared" si="4"/>
        <v/>
      </c>
      <c r="D88" s="557" t="str">
        <f t="shared" si="5"/>
        <v/>
      </c>
      <c r="E88" s="560"/>
      <c r="F88" s="559"/>
      <c r="G88" s="559" t="str">
        <f t="shared" si="6"/>
        <v/>
      </c>
      <c r="H88" s="559" t="str">
        <f t="shared" si="7"/>
        <v/>
      </c>
      <c r="I88" s="559" t="str">
        <f t="shared" si="8"/>
        <v/>
      </c>
    </row>
    <row r="89" spans="2:9">
      <c r="B89" s="555" t="str">
        <f t="shared" si="3"/>
        <v/>
      </c>
      <c r="C89" s="556" t="str">
        <f t="shared" si="4"/>
        <v/>
      </c>
      <c r="D89" s="557" t="str">
        <f t="shared" si="5"/>
        <v/>
      </c>
      <c r="E89" s="560"/>
      <c r="F89" s="559"/>
      <c r="G89" s="559" t="str">
        <f t="shared" si="6"/>
        <v/>
      </c>
      <c r="H89" s="559" t="str">
        <f t="shared" si="7"/>
        <v/>
      </c>
      <c r="I89" s="559" t="str">
        <f t="shared" si="8"/>
        <v/>
      </c>
    </row>
    <row r="90" spans="2:9">
      <c r="B90" s="555" t="str">
        <f t="shared" si="3"/>
        <v/>
      </c>
      <c r="C90" s="556" t="str">
        <f t="shared" si="4"/>
        <v/>
      </c>
      <c r="D90" s="557" t="str">
        <f t="shared" si="5"/>
        <v/>
      </c>
      <c r="E90" s="560"/>
      <c r="F90" s="559"/>
      <c r="G90" s="559" t="str">
        <f t="shared" si="6"/>
        <v/>
      </c>
      <c r="H90" s="559" t="str">
        <f t="shared" si="7"/>
        <v/>
      </c>
      <c r="I90" s="559" t="str">
        <f t="shared" si="8"/>
        <v/>
      </c>
    </row>
    <row r="91" spans="2:9">
      <c r="B91" s="555"/>
      <c r="C91" s="556"/>
      <c r="D91" s="557"/>
      <c r="E91" s="560"/>
      <c r="F91" s="559"/>
      <c r="G91" s="559"/>
      <c r="H91" s="559"/>
      <c r="I91" s="559"/>
    </row>
    <row r="92" spans="2:9" ht="15.75">
      <c r="B92" s="555"/>
      <c r="C92" s="556"/>
      <c r="D92" s="596" t="s">
        <v>718</v>
      </c>
      <c r="E92" s="597">
        <f>SUM(D30:D56)</f>
        <v>0</v>
      </c>
      <c r="F92" s="559"/>
      <c r="G92" s="559"/>
      <c r="H92" s="559"/>
      <c r="I92" s="559"/>
    </row>
    <row r="93" spans="2:9">
      <c r="B93" s="555"/>
      <c r="C93" s="556"/>
      <c r="D93" s="557"/>
      <c r="E93" s="560"/>
      <c r="F93" s="559"/>
      <c r="G93" s="559"/>
      <c r="H93" s="559"/>
      <c r="I93" s="559"/>
    </row>
    <row r="94" spans="2:9">
      <c r="B94" s="555"/>
      <c r="C94" s="556"/>
      <c r="D94" s="557"/>
      <c r="E94" s="560"/>
      <c r="F94" s="559"/>
      <c r="G94" s="559"/>
      <c r="H94" s="559"/>
      <c r="I94" s="559"/>
    </row>
    <row r="95" spans="2:9">
      <c r="B95" s="555"/>
      <c r="C95" s="556"/>
      <c r="D95" s="557"/>
      <c r="E95" s="560"/>
      <c r="F95" s="559"/>
      <c r="G95" s="559"/>
      <c r="H95" s="559"/>
      <c r="I95" s="559"/>
    </row>
    <row r="96" spans="2:9">
      <c r="B96" s="555"/>
      <c r="C96" s="556"/>
      <c r="D96" s="557"/>
      <c r="E96" s="560"/>
      <c r="F96" s="559"/>
      <c r="G96" s="559"/>
      <c r="H96" s="559"/>
      <c r="I96" s="559"/>
    </row>
    <row r="97" spans="2:9">
      <c r="B97" s="555"/>
      <c r="C97" s="556"/>
      <c r="D97" s="557"/>
      <c r="E97" s="560"/>
      <c r="F97" s="559"/>
      <c r="G97" s="559"/>
      <c r="H97" s="559"/>
      <c r="I97" s="559"/>
    </row>
    <row r="98" spans="2:9">
      <c r="B98" s="555" t="str">
        <f t="shared" si="3"/>
        <v/>
      </c>
      <c r="C98" s="556" t="str">
        <f t="shared" si="4"/>
        <v/>
      </c>
      <c r="D98" s="557" t="str">
        <f t="shared" si="5"/>
        <v/>
      </c>
      <c r="E98" s="560"/>
      <c r="F98" s="559"/>
      <c r="G98" s="559" t="str">
        <f t="shared" si="6"/>
        <v/>
      </c>
      <c r="H98" s="559" t="str">
        <f t="shared" si="7"/>
        <v/>
      </c>
      <c r="I98" s="559" t="str">
        <f t="shared" si="8"/>
        <v/>
      </c>
    </row>
    <row r="99" spans="2:9">
      <c r="B99" s="555" t="str">
        <f t="shared" si="3"/>
        <v/>
      </c>
      <c r="C99" s="556" t="str">
        <f t="shared" si="4"/>
        <v/>
      </c>
      <c r="D99" s="557" t="str">
        <f t="shared" si="5"/>
        <v/>
      </c>
      <c r="E99" s="560"/>
      <c r="F99" s="559"/>
      <c r="G99" s="559" t="str">
        <f t="shared" si="6"/>
        <v/>
      </c>
      <c r="H99" s="559" t="str">
        <f t="shared" si="7"/>
        <v/>
      </c>
      <c r="I99" s="559" t="str">
        <f t="shared" si="8"/>
        <v/>
      </c>
    </row>
    <row r="100" spans="2:9">
      <c r="B100" s="555" t="str">
        <f t="shared" si="3"/>
        <v/>
      </c>
      <c r="C100" s="556" t="str">
        <f t="shared" si="4"/>
        <v/>
      </c>
      <c r="D100" s="557" t="str">
        <f t="shared" si="5"/>
        <v/>
      </c>
      <c r="E100" s="560"/>
      <c r="F100" s="559"/>
      <c r="G100" s="559" t="str">
        <f t="shared" si="6"/>
        <v/>
      </c>
      <c r="H100" s="559" t="str">
        <f t="shared" si="7"/>
        <v/>
      </c>
      <c r="I100" s="559" t="str">
        <f t="shared" si="8"/>
        <v/>
      </c>
    </row>
    <row r="101" spans="2:9">
      <c r="B101" s="555" t="str">
        <f t="shared" si="3"/>
        <v/>
      </c>
      <c r="C101" s="556" t="str">
        <f t="shared" si="4"/>
        <v/>
      </c>
      <c r="D101" s="557" t="str">
        <f t="shared" si="5"/>
        <v/>
      </c>
      <c r="E101" s="560"/>
      <c r="F101" s="559"/>
      <c r="G101" s="559" t="str">
        <f t="shared" si="6"/>
        <v/>
      </c>
      <c r="H101" s="559" t="str">
        <f t="shared" si="7"/>
        <v/>
      </c>
      <c r="I101" s="559" t="str">
        <f t="shared" si="8"/>
        <v/>
      </c>
    </row>
    <row r="102" spans="2:9">
      <c r="B102" s="555" t="str">
        <f t="shared" si="3"/>
        <v/>
      </c>
      <c r="C102" s="556" t="str">
        <f t="shared" si="4"/>
        <v/>
      </c>
      <c r="D102" s="557" t="str">
        <f t="shared" si="5"/>
        <v/>
      </c>
      <c r="E102" s="560"/>
      <c r="F102" s="559"/>
      <c r="G102" s="559" t="str">
        <f t="shared" si="6"/>
        <v/>
      </c>
      <c r="H102" s="559" t="str">
        <f t="shared" si="7"/>
        <v/>
      </c>
      <c r="I102" s="559" t="str">
        <f t="shared" si="8"/>
        <v/>
      </c>
    </row>
    <row r="103" spans="2:9">
      <c r="B103" s="555" t="str">
        <f t="shared" si="3"/>
        <v/>
      </c>
      <c r="C103" s="556" t="str">
        <f t="shared" si="4"/>
        <v/>
      </c>
      <c r="D103" s="557" t="str">
        <f t="shared" si="5"/>
        <v/>
      </c>
      <c r="E103" s="560"/>
      <c r="F103" s="559"/>
      <c r="G103" s="559" t="str">
        <f t="shared" si="6"/>
        <v/>
      </c>
      <c r="H103" s="559" t="str">
        <f t="shared" si="7"/>
        <v/>
      </c>
      <c r="I103" s="559" t="str">
        <f t="shared" si="8"/>
        <v/>
      </c>
    </row>
    <row r="104" spans="2:9">
      <c r="B104" s="555" t="str">
        <f t="shared" si="3"/>
        <v/>
      </c>
      <c r="C104" s="556" t="str">
        <f t="shared" si="4"/>
        <v/>
      </c>
      <c r="D104" s="557" t="str">
        <f t="shared" si="5"/>
        <v/>
      </c>
      <c r="E104" s="560"/>
      <c r="F104" s="559"/>
      <c r="G104" s="559" t="str">
        <f t="shared" si="6"/>
        <v/>
      </c>
      <c r="H104" s="559" t="str">
        <f t="shared" si="7"/>
        <v/>
      </c>
      <c r="I104" s="559" t="str">
        <f t="shared" si="8"/>
        <v/>
      </c>
    </row>
    <row r="105" spans="2:9">
      <c r="B105" s="555" t="str">
        <f t="shared" si="3"/>
        <v/>
      </c>
      <c r="C105" s="556" t="str">
        <f t="shared" si="4"/>
        <v/>
      </c>
      <c r="D105" s="557" t="str">
        <f t="shared" si="5"/>
        <v/>
      </c>
      <c r="E105" s="560"/>
      <c r="F105" s="559"/>
      <c r="G105" s="559" t="str">
        <f t="shared" si="6"/>
        <v/>
      </c>
      <c r="H105" s="559" t="str">
        <f t="shared" si="7"/>
        <v/>
      </c>
      <c r="I105" s="559" t="str">
        <f t="shared" si="8"/>
        <v/>
      </c>
    </row>
    <row r="106" spans="2:9">
      <c r="B106" s="555" t="str">
        <f t="shared" si="3"/>
        <v/>
      </c>
      <c r="C106" s="556" t="str">
        <f t="shared" si="4"/>
        <v/>
      </c>
      <c r="D106" s="557" t="str">
        <f t="shared" si="5"/>
        <v/>
      </c>
      <c r="E106" s="560"/>
      <c r="F106" s="559"/>
      <c r="G106" s="559" t="str">
        <f t="shared" si="6"/>
        <v/>
      </c>
      <c r="H106" s="559" t="str">
        <f t="shared" si="7"/>
        <v/>
      </c>
      <c r="I106" s="559" t="str">
        <f t="shared" si="8"/>
        <v/>
      </c>
    </row>
    <row r="107" spans="2:9">
      <c r="B107" s="555" t="str">
        <f t="shared" si="3"/>
        <v/>
      </c>
      <c r="C107" s="556" t="str">
        <f t="shared" si="4"/>
        <v/>
      </c>
      <c r="D107" s="557" t="str">
        <f t="shared" si="5"/>
        <v/>
      </c>
      <c r="E107" s="560"/>
      <c r="F107" s="559"/>
      <c r="G107" s="559" t="str">
        <f t="shared" si="6"/>
        <v/>
      </c>
      <c r="H107" s="559" t="str">
        <f t="shared" si="7"/>
        <v/>
      </c>
      <c r="I107" s="559" t="str">
        <f t="shared" si="8"/>
        <v/>
      </c>
    </row>
    <row r="108" spans="2:9">
      <c r="B108" s="555" t="str">
        <f t="shared" si="3"/>
        <v/>
      </c>
      <c r="C108" s="556" t="str">
        <f t="shared" si="4"/>
        <v/>
      </c>
      <c r="D108" s="557" t="str">
        <f t="shared" si="5"/>
        <v/>
      </c>
      <c r="E108" s="560"/>
      <c r="F108" s="559"/>
      <c r="G108" s="559" t="str">
        <f t="shared" si="6"/>
        <v/>
      </c>
      <c r="H108" s="559" t="str">
        <f t="shared" si="7"/>
        <v/>
      </c>
      <c r="I108" s="559" t="str">
        <f t="shared" si="8"/>
        <v/>
      </c>
    </row>
    <row r="109" spans="2:9">
      <c r="B109" s="555" t="str">
        <f t="shared" si="3"/>
        <v/>
      </c>
      <c r="C109" s="556" t="str">
        <f t="shared" si="4"/>
        <v/>
      </c>
      <c r="D109" s="557" t="str">
        <f t="shared" si="5"/>
        <v/>
      </c>
      <c r="E109" s="560"/>
      <c r="F109" s="559"/>
      <c r="G109" s="559" t="str">
        <f t="shared" si="6"/>
        <v/>
      </c>
      <c r="H109" s="559" t="str">
        <f t="shared" si="7"/>
        <v/>
      </c>
      <c r="I109" s="559" t="str">
        <f t="shared" si="8"/>
        <v/>
      </c>
    </row>
    <row r="110" spans="2:9">
      <c r="B110" s="555" t="str">
        <f t="shared" si="3"/>
        <v/>
      </c>
      <c r="C110" s="556" t="str">
        <f t="shared" si="4"/>
        <v/>
      </c>
      <c r="D110" s="557" t="str">
        <f t="shared" si="5"/>
        <v/>
      </c>
      <c r="E110" s="560"/>
      <c r="F110" s="559"/>
      <c r="G110" s="559" t="str">
        <f t="shared" si="6"/>
        <v/>
      </c>
      <c r="H110" s="559" t="str">
        <f t="shared" si="7"/>
        <v/>
      </c>
      <c r="I110" s="559" t="str">
        <f t="shared" si="8"/>
        <v/>
      </c>
    </row>
    <row r="111" spans="2:9">
      <c r="B111" s="555" t="str">
        <f t="shared" si="3"/>
        <v/>
      </c>
      <c r="C111" s="556" t="str">
        <f t="shared" si="4"/>
        <v/>
      </c>
      <c r="D111" s="557" t="str">
        <f t="shared" si="5"/>
        <v/>
      </c>
      <c r="E111" s="560"/>
      <c r="F111" s="559"/>
      <c r="G111" s="559" t="str">
        <f t="shared" si="6"/>
        <v/>
      </c>
      <c r="H111" s="559" t="str">
        <f t="shared" si="7"/>
        <v/>
      </c>
      <c r="I111" s="559" t="str">
        <f t="shared" si="8"/>
        <v/>
      </c>
    </row>
    <row r="112" spans="2:9">
      <c r="B112" s="555" t="str">
        <f t="shared" si="3"/>
        <v/>
      </c>
      <c r="C112" s="556" t="str">
        <f t="shared" si="4"/>
        <v/>
      </c>
      <c r="D112" s="557" t="str">
        <f t="shared" si="5"/>
        <v/>
      </c>
      <c r="E112" s="560"/>
      <c r="F112" s="559"/>
      <c r="G112" s="559" t="str">
        <f t="shared" si="6"/>
        <v/>
      </c>
      <c r="H112" s="559" t="str">
        <f t="shared" si="7"/>
        <v/>
      </c>
      <c r="I112" s="559" t="str">
        <f t="shared" si="8"/>
        <v/>
      </c>
    </row>
    <row r="113" spans="2:9">
      <c r="B113" s="555" t="str">
        <f t="shared" si="3"/>
        <v/>
      </c>
      <c r="C113" s="556" t="str">
        <f t="shared" si="4"/>
        <v/>
      </c>
      <c r="D113" s="557" t="str">
        <f t="shared" si="5"/>
        <v/>
      </c>
      <c r="E113" s="560"/>
      <c r="F113" s="559"/>
      <c r="G113" s="559" t="str">
        <f t="shared" si="6"/>
        <v/>
      </c>
      <c r="H113" s="559" t="str">
        <f t="shared" si="7"/>
        <v/>
      </c>
      <c r="I113" s="559" t="str">
        <f t="shared" si="8"/>
        <v/>
      </c>
    </row>
    <row r="114" spans="2:9">
      <c r="B114" s="555" t="str">
        <f t="shared" si="3"/>
        <v/>
      </c>
      <c r="C114" s="556" t="str">
        <f t="shared" si="4"/>
        <v/>
      </c>
      <c r="D114" s="557" t="str">
        <f t="shared" si="5"/>
        <v/>
      </c>
      <c r="E114" s="560"/>
      <c r="F114" s="559"/>
      <c r="G114" s="559" t="str">
        <f t="shared" si="6"/>
        <v/>
      </c>
      <c r="H114" s="559" t="str">
        <f t="shared" si="7"/>
        <v/>
      </c>
      <c r="I114" s="559" t="str">
        <f t="shared" si="8"/>
        <v/>
      </c>
    </row>
    <row r="115" spans="2:9">
      <c r="B115" s="555" t="str">
        <f t="shared" si="3"/>
        <v/>
      </c>
      <c r="C115" s="556" t="str">
        <f t="shared" si="4"/>
        <v/>
      </c>
      <c r="D115" s="557" t="str">
        <f t="shared" si="5"/>
        <v/>
      </c>
      <c r="E115" s="560"/>
      <c r="F115" s="559"/>
      <c r="G115" s="559" t="str">
        <f t="shared" si="6"/>
        <v/>
      </c>
      <c r="H115" s="559" t="str">
        <f t="shared" si="7"/>
        <v/>
      </c>
      <c r="I115" s="559" t="str">
        <f t="shared" si="8"/>
        <v/>
      </c>
    </row>
    <row r="116" spans="2:9">
      <c r="B116" s="555" t="str">
        <f t="shared" si="3"/>
        <v/>
      </c>
      <c r="C116" s="556" t="str">
        <f t="shared" si="4"/>
        <v/>
      </c>
      <c r="D116" s="557" t="str">
        <f t="shared" si="5"/>
        <v/>
      </c>
      <c r="E116" s="560"/>
      <c r="F116" s="559"/>
      <c r="G116" s="559" t="str">
        <f t="shared" si="6"/>
        <v/>
      </c>
      <c r="H116" s="559" t="str">
        <f t="shared" si="7"/>
        <v/>
      </c>
      <c r="I116" s="559" t="str">
        <f t="shared" si="8"/>
        <v/>
      </c>
    </row>
    <row r="117" spans="2:9">
      <c r="B117" s="555" t="str">
        <f t="shared" si="3"/>
        <v/>
      </c>
      <c r="C117" s="556" t="str">
        <f t="shared" si="4"/>
        <v/>
      </c>
      <c r="D117" s="557" t="str">
        <f t="shared" si="5"/>
        <v/>
      </c>
      <c r="E117" s="560"/>
      <c r="F117" s="559"/>
      <c r="G117" s="559" t="str">
        <f t="shared" si="6"/>
        <v/>
      </c>
      <c r="H117" s="559" t="str">
        <f t="shared" si="7"/>
        <v/>
      </c>
      <c r="I117" s="559" t="str">
        <f t="shared" si="8"/>
        <v/>
      </c>
    </row>
    <row r="118" spans="2:9">
      <c r="B118" s="555" t="str">
        <f t="shared" si="3"/>
        <v/>
      </c>
      <c r="C118" s="556" t="str">
        <f t="shared" si="4"/>
        <v/>
      </c>
      <c r="D118" s="557" t="str">
        <f t="shared" si="5"/>
        <v/>
      </c>
      <c r="E118" s="560"/>
      <c r="F118" s="559"/>
      <c r="G118" s="559" t="str">
        <f t="shared" si="6"/>
        <v/>
      </c>
      <c r="H118" s="559" t="str">
        <f t="shared" si="7"/>
        <v/>
      </c>
      <c r="I118" s="559" t="str">
        <f t="shared" si="8"/>
        <v/>
      </c>
    </row>
    <row r="119" spans="2:9">
      <c r="B119" s="555" t="str">
        <f t="shared" si="3"/>
        <v/>
      </c>
      <c r="C119" s="556" t="str">
        <f t="shared" si="4"/>
        <v/>
      </c>
      <c r="D119" s="557" t="str">
        <f t="shared" si="5"/>
        <v/>
      </c>
      <c r="E119" s="560"/>
      <c r="F119" s="559"/>
      <c r="G119" s="559" t="str">
        <f t="shared" si="6"/>
        <v/>
      </c>
      <c r="H119" s="559" t="str">
        <f t="shared" si="7"/>
        <v/>
      </c>
      <c r="I119" s="559" t="str">
        <f t="shared" si="8"/>
        <v/>
      </c>
    </row>
    <row r="120" spans="2:9">
      <c r="B120" s="555" t="str">
        <f t="shared" si="3"/>
        <v/>
      </c>
      <c r="C120" s="556" t="str">
        <f t="shared" si="4"/>
        <v/>
      </c>
      <c r="D120" s="557" t="str">
        <f t="shared" si="5"/>
        <v/>
      </c>
      <c r="E120" s="560"/>
      <c r="F120" s="559"/>
      <c r="G120" s="559" t="str">
        <f t="shared" si="6"/>
        <v/>
      </c>
      <c r="H120" s="559" t="str">
        <f t="shared" si="7"/>
        <v/>
      </c>
      <c r="I120" s="559" t="str">
        <f t="shared" si="8"/>
        <v/>
      </c>
    </row>
    <row r="121" spans="2:9">
      <c r="B121" s="555" t="str">
        <f t="shared" si="3"/>
        <v/>
      </c>
      <c r="C121" s="556" t="str">
        <f t="shared" si="4"/>
        <v/>
      </c>
      <c r="D121" s="557" t="str">
        <f t="shared" si="5"/>
        <v/>
      </c>
      <c r="E121" s="560"/>
      <c r="F121" s="559"/>
      <c r="G121" s="559" t="str">
        <f t="shared" si="6"/>
        <v/>
      </c>
      <c r="H121" s="559" t="str">
        <f t="shared" si="7"/>
        <v/>
      </c>
      <c r="I121" s="559" t="str">
        <f t="shared" si="8"/>
        <v/>
      </c>
    </row>
    <row r="122" spans="2:9">
      <c r="B122" s="555" t="str">
        <f t="shared" si="3"/>
        <v/>
      </c>
      <c r="C122" s="556" t="str">
        <f t="shared" si="4"/>
        <v/>
      </c>
      <c r="D122" s="557" t="str">
        <f t="shared" si="5"/>
        <v/>
      </c>
      <c r="E122" s="560"/>
      <c r="F122" s="559"/>
      <c r="G122" s="559" t="str">
        <f t="shared" si="6"/>
        <v/>
      </c>
      <c r="H122" s="559" t="str">
        <f t="shared" si="7"/>
        <v/>
      </c>
      <c r="I122" s="559" t="str">
        <f t="shared" si="8"/>
        <v/>
      </c>
    </row>
    <row r="123" spans="2:9">
      <c r="B123" s="555" t="str">
        <f t="shared" si="3"/>
        <v/>
      </c>
      <c r="C123" s="556" t="str">
        <f t="shared" si="4"/>
        <v/>
      </c>
      <c r="D123" s="557" t="str">
        <f t="shared" si="5"/>
        <v/>
      </c>
      <c r="E123" s="560"/>
      <c r="F123" s="559"/>
      <c r="G123" s="559" t="str">
        <f t="shared" si="6"/>
        <v/>
      </c>
      <c r="H123" s="559" t="str">
        <f t="shared" si="7"/>
        <v/>
      </c>
      <c r="I123" s="559" t="str">
        <f t="shared" si="8"/>
        <v/>
      </c>
    </row>
    <row r="124" spans="2:9">
      <c r="B124" s="555" t="str">
        <f t="shared" si="3"/>
        <v/>
      </c>
      <c r="C124" s="556" t="str">
        <f t="shared" si="4"/>
        <v/>
      </c>
      <c r="D124" s="557" t="str">
        <f t="shared" si="5"/>
        <v/>
      </c>
      <c r="E124" s="560"/>
      <c r="F124" s="559"/>
      <c r="G124" s="559" t="str">
        <f t="shared" si="6"/>
        <v/>
      </c>
      <c r="H124" s="559" t="str">
        <f t="shared" si="7"/>
        <v/>
      </c>
      <c r="I124" s="559" t="str">
        <f t="shared" si="8"/>
        <v/>
      </c>
    </row>
    <row r="125" spans="2:9">
      <c r="B125" s="555" t="str">
        <f t="shared" ref="B125:B188" si="9">IF(I124="","",IF(roundOpt,IF(OR(B124&gt;=nper,ROUND(I124,2)&lt;=0),"",B124+1),IF(OR(B124&gt;=nper,I124&lt;=0),"",B124+1)))</f>
        <v/>
      </c>
      <c r="C125" s="556" t="str">
        <f t="shared" ref="C125:C188" si="10">IF(B125="","",IF(OR(periods_per_year=26,periods_per_year=52),IF(periods_per_year=26,IF(B125=1,fpdate,C124+14),IF(periods_per_year=52,IF(B125=1,fpdate,C124+7),"n/a")),IF(periods_per_year=24,DATE(YEAR(fpdate),MONTH(fpdate)+(B125-1)/2+IF(AND(DAY(fpdate)&gt;=15,MOD(B125,2)=0),1,0),IF(MOD(B125,2)=0,IF(DAY(fpdate)&gt;=15,DAY(fpdate)-14,DAY(fpdate)+14),DAY(fpdate))),IF(DAY(DATE(YEAR(fpdate),MONTH(fpdate)+(B125-1)*months_per_period,DAY(fpdate)))&lt;&gt;DAY(fpdate),DATE(YEAR(fpdate),MONTH(fpdate)+(B125-1)*months_per_period+1,0),DATE(YEAR(fpdate),MONTH(fpdate)+(B125-1)*months_per_period,DAY(fpdate))))))</f>
        <v/>
      </c>
      <c r="D125" s="557" t="str">
        <f t="shared" ref="D125:D188" si="11">IF(B125="","",IF(roundOpt,IF(OR(B125=nper,payment&gt;ROUND((1+rate)*I124,2)),ROUND((1+rate)*I124,2),payment),IF(OR(B125=nper,payment&gt;(1+rate)*I124),(1+rate)*I124,payment)))</f>
        <v/>
      </c>
      <c r="E125" s="560"/>
      <c r="F125" s="559"/>
      <c r="G125" s="559" t="str">
        <f t="shared" ref="G125:G188" si="12">IF(B125="","",IF(AND(B125=1,pmtType=1),0,IF(roundOpt,ROUND(rate*I124,2),rate*I124)))</f>
        <v/>
      </c>
      <c r="H125" s="559" t="str">
        <f t="shared" ref="H125:H188" si="13">IF(B125="","",D125-G125+E125)</f>
        <v/>
      </c>
      <c r="I125" s="559" t="str">
        <f t="shared" ref="I125:I188" si="14">IF(B125="","",I124-H125)</f>
        <v/>
      </c>
    </row>
    <row r="126" spans="2:9">
      <c r="B126" s="555" t="str">
        <f t="shared" si="9"/>
        <v/>
      </c>
      <c r="C126" s="556" t="str">
        <f t="shared" si="10"/>
        <v/>
      </c>
      <c r="D126" s="557" t="str">
        <f t="shared" si="11"/>
        <v/>
      </c>
      <c r="E126" s="560"/>
      <c r="F126" s="559"/>
      <c r="G126" s="559" t="str">
        <f t="shared" si="12"/>
        <v/>
      </c>
      <c r="H126" s="559" t="str">
        <f t="shared" si="13"/>
        <v/>
      </c>
      <c r="I126" s="559" t="str">
        <f t="shared" si="14"/>
        <v/>
      </c>
    </row>
    <row r="127" spans="2:9">
      <c r="B127" s="555" t="str">
        <f t="shared" si="9"/>
        <v/>
      </c>
      <c r="C127" s="556" t="str">
        <f t="shared" si="10"/>
        <v/>
      </c>
      <c r="D127" s="557" t="str">
        <f t="shared" si="11"/>
        <v/>
      </c>
      <c r="E127" s="560"/>
      <c r="F127" s="559"/>
      <c r="G127" s="559" t="str">
        <f t="shared" si="12"/>
        <v/>
      </c>
      <c r="H127" s="559" t="str">
        <f t="shared" si="13"/>
        <v/>
      </c>
      <c r="I127" s="559" t="str">
        <f t="shared" si="14"/>
        <v/>
      </c>
    </row>
    <row r="128" spans="2:9">
      <c r="B128" s="555" t="str">
        <f t="shared" si="9"/>
        <v/>
      </c>
      <c r="C128" s="556" t="str">
        <f t="shared" si="10"/>
        <v/>
      </c>
      <c r="D128" s="557" t="str">
        <f t="shared" si="11"/>
        <v/>
      </c>
      <c r="E128" s="560"/>
      <c r="F128" s="559"/>
      <c r="G128" s="559" t="str">
        <f t="shared" si="12"/>
        <v/>
      </c>
      <c r="H128" s="559" t="str">
        <f t="shared" si="13"/>
        <v/>
      </c>
      <c r="I128" s="559" t="str">
        <f t="shared" si="14"/>
        <v/>
      </c>
    </row>
    <row r="129" spans="2:9">
      <c r="B129" s="555" t="str">
        <f t="shared" si="9"/>
        <v/>
      </c>
      <c r="C129" s="556" t="str">
        <f t="shared" si="10"/>
        <v/>
      </c>
      <c r="D129" s="557" t="str">
        <f t="shared" si="11"/>
        <v/>
      </c>
      <c r="E129" s="560"/>
      <c r="F129" s="559"/>
      <c r="G129" s="559" t="str">
        <f t="shared" si="12"/>
        <v/>
      </c>
      <c r="H129" s="559" t="str">
        <f t="shared" si="13"/>
        <v/>
      </c>
      <c r="I129" s="559" t="str">
        <f t="shared" si="14"/>
        <v/>
      </c>
    </row>
    <row r="130" spans="2:9">
      <c r="B130" s="555" t="str">
        <f t="shared" si="9"/>
        <v/>
      </c>
      <c r="C130" s="556" t="str">
        <f t="shared" si="10"/>
        <v/>
      </c>
      <c r="D130" s="557" t="str">
        <f t="shared" si="11"/>
        <v/>
      </c>
      <c r="E130" s="560"/>
      <c r="F130" s="559"/>
      <c r="G130" s="559" t="str">
        <f t="shared" si="12"/>
        <v/>
      </c>
      <c r="H130" s="559" t="str">
        <f t="shared" si="13"/>
        <v/>
      </c>
      <c r="I130" s="559" t="str">
        <f t="shared" si="14"/>
        <v/>
      </c>
    </row>
    <row r="131" spans="2:9">
      <c r="B131" s="555" t="str">
        <f t="shared" si="9"/>
        <v/>
      </c>
      <c r="C131" s="556" t="str">
        <f t="shared" si="10"/>
        <v/>
      </c>
      <c r="D131" s="557" t="str">
        <f t="shared" si="11"/>
        <v/>
      </c>
      <c r="E131" s="560"/>
      <c r="F131" s="559"/>
      <c r="G131" s="559" t="str">
        <f t="shared" si="12"/>
        <v/>
      </c>
      <c r="H131" s="559" t="str">
        <f t="shared" si="13"/>
        <v/>
      </c>
      <c r="I131" s="559" t="str">
        <f t="shared" si="14"/>
        <v/>
      </c>
    </row>
    <row r="132" spans="2:9">
      <c r="B132" s="555" t="str">
        <f t="shared" si="9"/>
        <v/>
      </c>
      <c r="C132" s="556" t="str">
        <f t="shared" si="10"/>
        <v/>
      </c>
      <c r="D132" s="557" t="str">
        <f t="shared" si="11"/>
        <v/>
      </c>
      <c r="E132" s="560"/>
      <c r="F132" s="559"/>
      <c r="G132" s="559" t="str">
        <f t="shared" si="12"/>
        <v/>
      </c>
      <c r="H132" s="559" t="str">
        <f t="shared" si="13"/>
        <v/>
      </c>
      <c r="I132" s="559" t="str">
        <f t="shared" si="14"/>
        <v/>
      </c>
    </row>
    <row r="133" spans="2:9">
      <c r="B133" s="555" t="str">
        <f t="shared" si="9"/>
        <v/>
      </c>
      <c r="C133" s="556" t="str">
        <f t="shared" si="10"/>
        <v/>
      </c>
      <c r="D133" s="557" t="str">
        <f t="shared" si="11"/>
        <v/>
      </c>
      <c r="E133" s="560"/>
      <c r="F133" s="559"/>
      <c r="G133" s="559" t="str">
        <f t="shared" si="12"/>
        <v/>
      </c>
      <c r="H133" s="559" t="str">
        <f t="shared" si="13"/>
        <v/>
      </c>
      <c r="I133" s="559" t="str">
        <f t="shared" si="14"/>
        <v/>
      </c>
    </row>
    <row r="134" spans="2:9">
      <c r="B134" s="555" t="str">
        <f t="shared" si="9"/>
        <v/>
      </c>
      <c r="C134" s="556" t="str">
        <f t="shared" si="10"/>
        <v/>
      </c>
      <c r="D134" s="557" t="str">
        <f t="shared" si="11"/>
        <v/>
      </c>
      <c r="E134" s="560"/>
      <c r="F134" s="559"/>
      <c r="G134" s="559" t="str">
        <f t="shared" si="12"/>
        <v/>
      </c>
      <c r="H134" s="559" t="str">
        <f t="shared" si="13"/>
        <v/>
      </c>
      <c r="I134" s="559" t="str">
        <f t="shared" si="14"/>
        <v/>
      </c>
    </row>
    <row r="135" spans="2:9">
      <c r="B135" s="555" t="str">
        <f t="shared" si="9"/>
        <v/>
      </c>
      <c r="C135" s="556" t="str">
        <f t="shared" si="10"/>
        <v/>
      </c>
      <c r="D135" s="557" t="str">
        <f t="shared" si="11"/>
        <v/>
      </c>
      <c r="E135" s="560"/>
      <c r="F135" s="559"/>
      <c r="G135" s="559" t="str">
        <f t="shared" si="12"/>
        <v/>
      </c>
      <c r="H135" s="559" t="str">
        <f t="shared" si="13"/>
        <v/>
      </c>
      <c r="I135" s="559" t="str">
        <f t="shared" si="14"/>
        <v/>
      </c>
    </row>
    <row r="136" spans="2:9">
      <c r="B136" s="555" t="str">
        <f t="shared" si="9"/>
        <v/>
      </c>
      <c r="C136" s="556" t="str">
        <f t="shared" si="10"/>
        <v/>
      </c>
      <c r="D136" s="557" t="str">
        <f t="shared" si="11"/>
        <v/>
      </c>
      <c r="E136" s="560"/>
      <c r="F136" s="559"/>
      <c r="G136" s="559" t="str">
        <f t="shared" si="12"/>
        <v/>
      </c>
      <c r="H136" s="559" t="str">
        <f t="shared" si="13"/>
        <v/>
      </c>
      <c r="I136" s="559" t="str">
        <f t="shared" si="14"/>
        <v/>
      </c>
    </row>
    <row r="137" spans="2:9">
      <c r="B137" s="555" t="str">
        <f t="shared" si="9"/>
        <v/>
      </c>
      <c r="C137" s="556" t="str">
        <f t="shared" si="10"/>
        <v/>
      </c>
      <c r="D137" s="557" t="str">
        <f t="shared" si="11"/>
        <v/>
      </c>
      <c r="E137" s="560"/>
      <c r="F137" s="559"/>
      <c r="G137" s="559" t="str">
        <f t="shared" si="12"/>
        <v/>
      </c>
      <c r="H137" s="559" t="str">
        <f t="shared" si="13"/>
        <v/>
      </c>
      <c r="I137" s="559" t="str">
        <f t="shared" si="14"/>
        <v/>
      </c>
    </row>
    <row r="138" spans="2:9">
      <c r="B138" s="555" t="str">
        <f t="shared" si="9"/>
        <v/>
      </c>
      <c r="C138" s="556" t="str">
        <f t="shared" si="10"/>
        <v/>
      </c>
      <c r="D138" s="557" t="str">
        <f t="shared" si="11"/>
        <v/>
      </c>
      <c r="E138" s="560"/>
      <c r="F138" s="559"/>
      <c r="G138" s="559" t="str">
        <f t="shared" si="12"/>
        <v/>
      </c>
      <c r="H138" s="559" t="str">
        <f t="shared" si="13"/>
        <v/>
      </c>
      <c r="I138" s="559" t="str">
        <f t="shared" si="14"/>
        <v/>
      </c>
    </row>
    <row r="139" spans="2:9">
      <c r="B139" s="555" t="str">
        <f t="shared" si="9"/>
        <v/>
      </c>
      <c r="C139" s="556" t="str">
        <f t="shared" si="10"/>
        <v/>
      </c>
      <c r="D139" s="557" t="str">
        <f t="shared" si="11"/>
        <v/>
      </c>
      <c r="E139" s="560"/>
      <c r="F139" s="559"/>
      <c r="G139" s="559" t="str">
        <f t="shared" si="12"/>
        <v/>
      </c>
      <c r="H139" s="559" t="str">
        <f t="shared" si="13"/>
        <v/>
      </c>
      <c r="I139" s="559" t="str">
        <f t="shared" si="14"/>
        <v/>
      </c>
    </row>
    <row r="140" spans="2:9">
      <c r="B140" s="555" t="str">
        <f t="shared" si="9"/>
        <v/>
      </c>
      <c r="C140" s="556" t="str">
        <f t="shared" si="10"/>
        <v/>
      </c>
      <c r="D140" s="557" t="str">
        <f t="shared" si="11"/>
        <v/>
      </c>
      <c r="E140" s="560"/>
      <c r="F140" s="559"/>
      <c r="G140" s="559" t="str">
        <f t="shared" si="12"/>
        <v/>
      </c>
      <c r="H140" s="559" t="str">
        <f t="shared" si="13"/>
        <v/>
      </c>
      <c r="I140" s="559" t="str">
        <f t="shared" si="14"/>
        <v/>
      </c>
    </row>
    <row r="141" spans="2:9">
      <c r="B141" s="555" t="str">
        <f t="shared" si="9"/>
        <v/>
      </c>
      <c r="C141" s="556" t="str">
        <f t="shared" si="10"/>
        <v/>
      </c>
      <c r="D141" s="557" t="str">
        <f t="shared" si="11"/>
        <v/>
      </c>
      <c r="E141" s="560"/>
      <c r="F141" s="559"/>
      <c r="G141" s="559" t="str">
        <f t="shared" si="12"/>
        <v/>
      </c>
      <c r="H141" s="559" t="str">
        <f t="shared" si="13"/>
        <v/>
      </c>
      <c r="I141" s="559" t="str">
        <f t="shared" si="14"/>
        <v/>
      </c>
    </row>
    <row r="142" spans="2:9">
      <c r="B142" s="555" t="str">
        <f t="shared" si="9"/>
        <v/>
      </c>
      <c r="C142" s="556" t="str">
        <f t="shared" si="10"/>
        <v/>
      </c>
      <c r="D142" s="557" t="str">
        <f t="shared" si="11"/>
        <v/>
      </c>
      <c r="E142" s="560"/>
      <c r="F142" s="559"/>
      <c r="G142" s="559" t="str">
        <f t="shared" si="12"/>
        <v/>
      </c>
      <c r="H142" s="559" t="str">
        <f t="shared" si="13"/>
        <v/>
      </c>
      <c r="I142" s="559" t="str">
        <f t="shared" si="14"/>
        <v/>
      </c>
    </row>
    <row r="143" spans="2:9">
      <c r="B143" s="555" t="str">
        <f t="shared" si="9"/>
        <v/>
      </c>
      <c r="C143" s="556" t="str">
        <f t="shared" si="10"/>
        <v/>
      </c>
      <c r="D143" s="557" t="str">
        <f t="shared" si="11"/>
        <v/>
      </c>
      <c r="E143" s="560"/>
      <c r="F143" s="559"/>
      <c r="G143" s="559" t="str">
        <f t="shared" si="12"/>
        <v/>
      </c>
      <c r="H143" s="559" t="str">
        <f t="shared" si="13"/>
        <v/>
      </c>
      <c r="I143" s="559" t="str">
        <f t="shared" si="14"/>
        <v/>
      </c>
    </row>
    <row r="144" spans="2:9">
      <c r="B144" s="555" t="str">
        <f t="shared" si="9"/>
        <v/>
      </c>
      <c r="C144" s="556" t="str">
        <f t="shared" si="10"/>
        <v/>
      </c>
      <c r="D144" s="557" t="str">
        <f t="shared" si="11"/>
        <v/>
      </c>
      <c r="E144" s="560"/>
      <c r="F144" s="559"/>
      <c r="G144" s="559" t="str">
        <f t="shared" si="12"/>
        <v/>
      </c>
      <c r="H144" s="559" t="str">
        <f t="shared" si="13"/>
        <v/>
      </c>
      <c r="I144" s="559" t="str">
        <f t="shared" si="14"/>
        <v/>
      </c>
    </row>
    <row r="145" spans="2:9">
      <c r="B145" s="555" t="str">
        <f t="shared" si="9"/>
        <v/>
      </c>
      <c r="C145" s="556" t="str">
        <f t="shared" si="10"/>
        <v/>
      </c>
      <c r="D145" s="557" t="str">
        <f t="shared" si="11"/>
        <v/>
      </c>
      <c r="E145" s="560"/>
      <c r="F145" s="559"/>
      <c r="G145" s="559" t="str">
        <f t="shared" si="12"/>
        <v/>
      </c>
      <c r="H145" s="559" t="str">
        <f t="shared" si="13"/>
        <v/>
      </c>
      <c r="I145" s="559" t="str">
        <f t="shared" si="14"/>
        <v/>
      </c>
    </row>
    <row r="146" spans="2:9">
      <c r="B146" s="555" t="str">
        <f t="shared" si="9"/>
        <v/>
      </c>
      <c r="C146" s="556" t="str">
        <f t="shared" si="10"/>
        <v/>
      </c>
      <c r="D146" s="557" t="str">
        <f t="shared" si="11"/>
        <v/>
      </c>
      <c r="E146" s="560"/>
      <c r="F146" s="559"/>
      <c r="G146" s="559" t="str">
        <f t="shared" si="12"/>
        <v/>
      </c>
      <c r="H146" s="559" t="str">
        <f t="shared" si="13"/>
        <v/>
      </c>
      <c r="I146" s="559" t="str">
        <f t="shared" si="14"/>
        <v/>
      </c>
    </row>
    <row r="147" spans="2:9">
      <c r="B147" s="555" t="str">
        <f t="shared" si="9"/>
        <v/>
      </c>
      <c r="C147" s="556" t="str">
        <f t="shared" si="10"/>
        <v/>
      </c>
      <c r="D147" s="557" t="str">
        <f t="shared" si="11"/>
        <v/>
      </c>
      <c r="E147" s="560"/>
      <c r="F147" s="559"/>
      <c r="G147" s="559" t="str">
        <f t="shared" si="12"/>
        <v/>
      </c>
      <c r="H147" s="559" t="str">
        <f t="shared" si="13"/>
        <v/>
      </c>
      <c r="I147" s="559" t="str">
        <f t="shared" si="14"/>
        <v/>
      </c>
    </row>
    <row r="148" spans="2:9">
      <c r="B148" s="555" t="str">
        <f t="shared" si="9"/>
        <v/>
      </c>
      <c r="C148" s="556" t="str">
        <f t="shared" si="10"/>
        <v/>
      </c>
      <c r="D148" s="557" t="str">
        <f t="shared" si="11"/>
        <v/>
      </c>
      <c r="E148" s="560"/>
      <c r="F148" s="559"/>
      <c r="G148" s="559" t="str">
        <f t="shared" si="12"/>
        <v/>
      </c>
      <c r="H148" s="559" t="str">
        <f t="shared" si="13"/>
        <v/>
      </c>
      <c r="I148" s="559" t="str">
        <f t="shared" si="14"/>
        <v/>
      </c>
    </row>
    <row r="149" spans="2:9">
      <c r="B149" s="555" t="str">
        <f t="shared" si="9"/>
        <v/>
      </c>
      <c r="C149" s="556" t="str">
        <f t="shared" si="10"/>
        <v/>
      </c>
      <c r="D149" s="557" t="str">
        <f t="shared" si="11"/>
        <v/>
      </c>
      <c r="E149" s="560"/>
      <c r="F149" s="559"/>
      <c r="G149" s="559" t="str">
        <f t="shared" si="12"/>
        <v/>
      </c>
      <c r="H149" s="559" t="str">
        <f t="shared" si="13"/>
        <v/>
      </c>
      <c r="I149" s="559" t="str">
        <f t="shared" si="14"/>
        <v/>
      </c>
    </row>
    <row r="150" spans="2:9">
      <c r="B150" s="555" t="str">
        <f t="shared" si="9"/>
        <v/>
      </c>
      <c r="C150" s="556" t="str">
        <f t="shared" si="10"/>
        <v/>
      </c>
      <c r="D150" s="557" t="str">
        <f t="shared" si="11"/>
        <v/>
      </c>
      <c r="E150" s="560"/>
      <c r="F150" s="559"/>
      <c r="G150" s="559" t="str">
        <f t="shared" si="12"/>
        <v/>
      </c>
      <c r="H150" s="559" t="str">
        <f t="shared" si="13"/>
        <v/>
      </c>
      <c r="I150" s="559" t="str">
        <f t="shared" si="14"/>
        <v/>
      </c>
    </row>
    <row r="151" spans="2:9">
      <c r="B151" s="555" t="str">
        <f t="shared" si="9"/>
        <v/>
      </c>
      <c r="C151" s="556" t="str">
        <f t="shared" si="10"/>
        <v/>
      </c>
      <c r="D151" s="557" t="str">
        <f t="shared" si="11"/>
        <v/>
      </c>
      <c r="E151" s="560"/>
      <c r="F151" s="559"/>
      <c r="G151" s="559" t="str">
        <f t="shared" si="12"/>
        <v/>
      </c>
      <c r="H151" s="559" t="str">
        <f t="shared" si="13"/>
        <v/>
      </c>
      <c r="I151" s="559" t="str">
        <f t="shared" si="14"/>
        <v/>
      </c>
    </row>
    <row r="152" spans="2:9">
      <c r="B152" s="555" t="str">
        <f t="shared" si="9"/>
        <v/>
      </c>
      <c r="C152" s="556" t="str">
        <f t="shared" si="10"/>
        <v/>
      </c>
      <c r="D152" s="557" t="str">
        <f t="shared" si="11"/>
        <v/>
      </c>
      <c r="E152" s="560"/>
      <c r="F152" s="559"/>
      <c r="G152" s="559" t="str">
        <f t="shared" si="12"/>
        <v/>
      </c>
      <c r="H152" s="559" t="str">
        <f t="shared" si="13"/>
        <v/>
      </c>
      <c r="I152" s="559" t="str">
        <f t="shared" si="14"/>
        <v/>
      </c>
    </row>
    <row r="153" spans="2:9">
      <c r="B153" s="555" t="str">
        <f t="shared" si="9"/>
        <v/>
      </c>
      <c r="C153" s="556" t="str">
        <f t="shared" si="10"/>
        <v/>
      </c>
      <c r="D153" s="557" t="str">
        <f t="shared" si="11"/>
        <v/>
      </c>
      <c r="E153" s="560"/>
      <c r="F153" s="559"/>
      <c r="G153" s="559" t="str">
        <f t="shared" si="12"/>
        <v/>
      </c>
      <c r="H153" s="559" t="str">
        <f t="shared" si="13"/>
        <v/>
      </c>
      <c r="I153" s="559" t="str">
        <f t="shared" si="14"/>
        <v/>
      </c>
    </row>
    <row r="154" spans="2:9">
      <c r="B154" s="555" t="str">
        <f t="shared" si="9"/>
        <v/>
      </c>
      <c r="C154" s="556" t="str">
        <f t="shared" si="10"/>
        <v/>
      </c>
      <c r="D154" s="557" t="str">
        <f t="shared" si="11"/>
        <v/>
      </c>
      <c r="E154" s="560"/>
      <c r="F154" s="559"/>
      <c r="G154" s="559" t="str">
        <f t="shared" si="12"/>
        <v/>
      </c>
      <c r="H154" s="559" t="str">
        <f t="shared" si="13"/>
        <v/>
      </c>
      <c r="I154" s="559" t="str">
        <f t="shared" si="14"/>
        <v/>
      </c>
    </row>
    <row r="155" spans="2:9">
      <c r="B155" s="555" t="str">
        <f t="shared" si="9"/>
        <v/>
      </c>
      <c r="C155" s="556" t="str">
        <f t="shared" si="10"/>
        <v/>
      </c>
      <c r="D155" s="557" t="str">
        <f t="shared" si="11"/>
        <v/>
      </c>
      <c r="E155" s="560"/>
      <c r="F155" s="559"/>
      <c r="G155" s="559" t="str">
        <f t="shared" si="12"/>
        <v/>
      </c>
      <c r="H155" s="559" t="str">
        <f t="shared" si="13"/>
        <v/>
      </c>
      <c r="I155" s="559" t="str">
        <f t="shared" si="14"/>
        <v/>
      </c>
    </row>
    <row r="156" spans="2:9">
      <c r="B156" s="555" t="str">
        <f t="shared" si="9"/>
        <v/>
      </c>
      <c r="C156" s="556" t="str">
        <f t="shared" si="10"/>
        <v/>
      </c>
      <c r="D156" s="557" t="str">
        <f t="shared" si="11"/>
        <v/>
      </c>
      <c r="E156" s="560"/>
      <c r="F156" s="559"/>
      <c r="G156" s="559" t="str">
        <f t="shared" si="12"/>
        <v/>
      </c>
      <c r="H156" s="559" t="str">
        <f t="shared" si="13"/>
        <v/>
      </c>
      <c r="I156" s="559" t="str">
        <f t="shared" si="14"/>
        <v/>
      </c>
    </row>
    <row r="157" spans="2:9">
      <c r="B157" s="555" t="str">
        <f t="shared" si="9"/>
        <v/>
      </c>
      <c r="C157" s="556" t="str">
        <f t="shared" si="10"/>
        <v/>
      </c>
      <c r="D157" s="557" t="str">
        <f t="shared" si="11"/>
        <v/>
      </c>
      <c r="E157" s="560"/>
      <c r="F157" s="559"/>
      <c r="G157" s="559" t="str">
        <f t="shared" si="12"/>
        <v/>
      </c>
      <c r="H157" s="559" t="str">
        <f t="shared" si="13"/>
        <v/>
      </c>
      <c r="I157" s="559" t="str">
        <f t="shared" si="14"/>
        <v/>
      </c>
    </row>
    <row r="158" spans="2:9">
      <c r="B158" s="555" t="str">
        <f t="shared" si="9"/>
        <v/>
      </c>
      <c r="C158" s="556" t="str">
        <f t="shared" si="10"/>
        <v/>
      </c>
      <c r="D158" s="557" t="str">
        <f t="shared" si="11"/>
        <v/>
      </c>
      <c r="E158" s="560"/>
      <c r="F158" s="559"/>
      <c r="G158" s="559" t="str">
        <f t="shared" si="12"/>
        <v/>
      </c>
      <c r="H158" s="559" t="str">
        <f t="shared" si="13"/>
        <v/>
      </c>
      <c r="I158" s="559" t="str">
        <f t="shared" si="14"/>
        <v/>
      </c>
    </row>
    <row r="159" spans="2:9">
      <c r="B159" s="555" t="str">
        <f t="shared" si="9"/>
        <v/>
      </c>
      <c r="C159" s="556" t="str">
        <f t="shared" si="10"/>
        <v/>
      </c>
      <c r="D159" s="557" t="str">
        <f t="shared" si="11"/>
        <v/>
      </c>
      <c r="E159" s="560"/>
      <c r="F159" s="559"/>
      <c r="G159" s="559" t="str">
        <f t="shared" si="12"/>
        <v/>
      </c>
      <c r="H159" s="559" t="str">
        <f t="shared" si="13"/>
        <v/>
      </c>
      <c r="I159" s="559" t="str">
        <f t="shared" si="14"/>
        <v/>
      </c>
    </row>
    <row r="160" spans="2:9">
      <c r="B160" s="555" t="str">
        <f t="shared" si="9"/>
        <v/>
      </c>
      <c r="C160" s="556" t="str">
        <f t="shared" si="10"/>
        <v/>
      </c>
      <c r="D160" s="557" t="str">
        <f t="shared" si="11"/>
        <v/>
      </c>
      <c r="E160" s="560"/>
      <c r="F160" s="559"/>
      <c r="G160" s="559" t="str">
        <f t="shared" si="12"/>
        <v/>
      </c>
      <c r="H160" s="559" t="str">
        <f t="shared" si="13"/>
        <v/>
      </c>
      <c r="I160" s="559" t="str">
        <f t="shared" si="14"/>
        <v/>
      </c>
    </row>
    <row r="161" spans="2:9">
      <c r="B161" s="555" t="str">
        <f t="shared" si="9"/>
        <v/>
      </c>
      <c r="C161" s="556" t="str">
        <f t="shared" si="10"/>
        <v/>
      </c>
      <c r="D161" s="557" t="str">
        <f t="shared" si="11"/>
        <v/>
      </c>
      <c r="E161" s="560"/>
      <c r="F161" s="559"/>
      <c r="G161" s="559" t="str">
        <f t="shared" si="12"/>
        <v/>
      </c>
      <c r="H161" s="559" t="str">
        <f t="shared" si="13"/>
        <v/>
      </c>
      <c r="I161" s="559" t="str">
        <f t="shared" si="14"/>
        <v/>
      </c>
    </row>
    <row r="162" spans="2:9">
      <c r="B162" s="555" t="str">
        <f t="shared" si="9"/>
        <v/>
      </c>
      <c r="C162" s="556" t="str">
        <f t="shared" si="10"/>
        <v/>
      </c>
      <c r="D162" s="557" t="str">
        <f t="shared" si="11"/>
        <v/>
      </c>
      <c r="E162" s="560"/>
      <c r="F162" s="559"/>
      <c r="G162" s="559" t="str">
        <f t="shared" si="12"/>
        <v/>
      </c>
      <c r="H162" s="559" t="str">
        <f t="shared" si="13"/>
        <v/>
      </c>
      <c r="I162" s="559" t="str">
        <f t="shared" si="14"/>
        <v/>
      </c>
    </row>
    <row r="163" spans="2:9">
      <c r="B163" s="555" t="str">
        <f t="shared" si="9"/>
        <v/>
      </c>
      <c r="C163" s="556" t="str">
        <f t="shared" si="10"/>
        <v/>
      </c>
      <c r="D163" s="557" t="str">
        <f t="shared" si="11"/>
        <v/>
      </c>
      <c r="E163" s="560"/>
      <c r="F163" s="559"/>
      <c r="G163" s="559" t="str">
        <f t="shared" si="12"/>
        <v/>
      </c>
      <c r="H163" s="559" t="str">
        <f t="shared" si="13"/>
        <v/>
      </c>
      <c r="I163" s="559" t="str">
        <f t="shared" si="14"/>
        <v/>
      </c>
    </row>
    <row r="164" spans="2:9">
      <c r="B164" s="555" t="str">
        <f t="shared" si="9"/>
        <v/>
      </c>
      <c r="C164" s="556" t="str">
        <f t="shared" si="10"/>
        <v/>
      </c>
      <c r="D164" s="557" t="str">
        <f t="shared" si="11"/>
        <v/>
      </c>
      <c r="E164" s="560"/>
      <c r="F164" s="559"/>
      <c r="G164" s="559" t="str">
        <f t="shared" si="12"/>
        <v/>
      </c>
      <c r="H164" s="559" t="str">
        <f t="shared" si="13"/>
        <v/>
      </c>
      <c r="I164" s="559" t="str">
        <f t="shared" si="14"/>
        <v/>
      </c>
    </row>
    <row r="165" spans="2:9">
      <c r="B165" s="555" t="str">
        <f t="shared" si="9"/>
        <v/>
      </c>
      <c r="C165" s="556" t="str">
        <f t="shared" si="10"/>
        <v/>
      </c>
      <c r="D165" s="557" t="str">
        <f t="shared" si="11"/>
        <v/>
      </c>
      <c r="E165" s="560"/>
      <c r="F165" s="559"/>
      <c r="G165" s="559" t="str">
        <f t="shared" si="12"/>
        <v/>
      </c>
      <c r="H165" s="559" t="str">
        <f t="shared" si="13"/>
        <v/>
      </c>
      <c r="I165" s="559" t="str">
        <f t="shared" si="14"/>
        <v/>
      </c>
    </row>
    <row r="166" spans="2:9">
      <c r="B166" s="555" t="str">
        <f t="shared" si="9"/>
        <v/>
      </c>
      <c r="C166" s="556" t="str">
        <f t="shared" si="10"/>
        <v/>
      </c>
      <c r="D166" s="557" t="str">
        <f t="shared" si="11"/>
        <v/>
      </c>
      <c r="E166" s="560"/>
      <c r="F166" s="559"/>
      <c r="G166" s="559" t="str">
        <f t="shared" si="12"/>
        <v/>
      </c>
      <c r="H166" s="559" t="str">
        <f t="shared" si="13"/>
        <v/>
      </c>
      <c r="I166" s="559" t="str">
        <f t="shared" si="14"/>
        <v/>
      </c>
    </row>
    <row r="167" spans="2:9">
      <c r="B167" s="555" t="str">
        <f t="shared" si="9"/>
        <v/>
      </c>
      <c r="C167" s="556" t="str">
        <f t="shared" si="10"/>
        <v/>
      </c>
      <c r="D167" s="557" t="str">
        <f t="shared" si="11"/>
        <v/>
      </c>
      <c r="E167" s="560"/>
      <c r="F167" s="559"/>
      <c r="G167" s="559" t="str">
        <f t="shared" si="12"/>
        <v/>
      </c>
      <c r="H167" s="559" t="str">
        <f t="shared" si="13"/>
        <v/>
      </c>
      <c r="I167" s="559" t="str">
        <f t="shared" si="14"/>
        <v/>
      </c>
    </row>
    <row r="168" spans="2:9">
      <c r="B168" s="555" t="str">
        <f t="shared" si="9"/>
        <v/>
      </c>
      <c r="C168" s="556" t="str">
        <f t="shared" si="10"/>
        <v/>
      </c>
      <c r="D168" s="557" t="str">
        <f t="shared" si="11"/>
        <v/>
      </c>
      <c r="E168" s="560"/>
      <c r="F168" s="559"/>
      <c r="G168" s="559" t="str">
        <f t="shared" si="12"/>
        <v/>
      </c>
      <c r="H168" s="559" t="str">
        <f t="shared" si="13"/>
        <v/>
      </c>
      <c r="I168" s="559" t="str">
        <f t="shared" si="14"/>
        <v/>
      </c>
    </row>
    <row r="169" spans="2:9">
      <c r="B169" s="555" t="str">
        <f t="shared" si="9"/>
        <v/>
      </c>
      <c r="C169" s="556" t="str">
        <f t="shared" si="10"/>
        <v/>
      </c>
      <c r="D169" s="557" t="str">
        <f t="shared" si="11"/>
        <v/>
      </c>
      <c r="E169" s="560"/>
      <c r="F169" s="559"/>
      <c r="G169" s="559" t="str">
        <f t="shared" si="12"/>
        <v/>
      </c>
      <c r="H169" s="559" t="str">
        <f t="shared" si="13"/>
        <v/>
      </c>
      <c r="I169" s="559" t="str">
        <f t="shared" si="14"/>
        <v/>
      </c>
    </row>
    <row r="170" spans="2:9">
      <c r="B170" s="555" t="str">
        <f t="shared" si="9"/>
        <v/>
      </c>
      <c r="C170" s="556" t="str">
        <f t="shared" si="10"/>
        <v/>
      </c>
      <c r="D170" s="557" t="str">
        <f t="shared" si="11"/>
        <v/>
      </c>
      <c r="E170" s="560"/>
      <c r="F170" s="559"/>
      <c r="G170" s="559" t="str">
        <f t="shared" si="12"/>
        <v/>
      </c>
      <c r="H170" s="559" t="str">
        <f t="shared" si="13"/>
        <v/>
      </c>
      <c r="I170" s="559" t="str">
        <f t="shared" si="14"/>
        <v/>
      </c>
    </row>
    <row r="171" spans="2:9">
      <c r="B171" s="555" t="str">
        <f t="shared" si="9"/>
        <v/>
      </c>
      <c r="C171" s="556" t="str">
        <f t="shared" si="10"/>
        <v/>
      </c>
      <c r="D171" s="557" t="str">
        <f t="shared" si="11"/>
        <v/>
      </c>
      <c r="E171" s="560"/>
      <c r="F171" s="559"/>
      <c r="G171" s="559" t="str">
        <f t="shared" si="12"/>
        <v/>
      </c>
      <c r="H171" s="559" t="str">
        <f t="shared" si="13"/>
        <v/>
      </c>
      <c r="I171" s="559" t="str">
        <f t="shared" si="14"/>
        <v/>
      </c>
    </row>
    <row r="172" spans="2:9">
      <c r="B172" s="555" t="str">
        <f t="shared" si="9"/>
        <v/>
      </c>
      <c r="C172" s="556" t="str">
        <f t="shared" si="10"/>
        <v/>
      </c>
      <c r="D172" s="557" t="str">
        <f t="shared" si="11"/>
        <v/>
      </c>
      <c r="E172" s="560"/>
      <c r="F172" s="559"/>
      <c r="G172" s="559" t="str">
        <f t="shared" si="12"/>
        <v/>
      </c>
      <c r="H172" s="559" t="str">
        <f t="shared" si="13"/>
        <v/>
      </c>
      <c r="I172" s="559" t="str">
        <f t="shared" si="14"/>
        <v/>
      </c>
    </row>
    <row r="173" spans="2:9">
      <c r="B173" s="555" t="str">
        <f t="shared" si="9"/>
        <v/>
      </c>
      <c r="C173" s="556" t="str">
        <f t="shared" si="10"/>
        <v/>
      </c>
      <c r="D173" s="557" t="str">
        <f t="shared" si="11"/>
        <v/>
      </c>
      <c r="E173" s="560"/>
      <c r="F173" s="559"/>
      <c r="G173" s="559" t="str">
        <f t="shared" si="12"/>
        <v/>
      </c>
      <c r="H173" s="559" t="str">
        <f t="shared" si="13"/>
        <v/>
      </c>
      <c r="I173" s="559" t="str">
        <f t="shared" si="14"/>
        <v/>
      </c>
    </row>
    <row r="174" spans="2:9">
      <c r="B174" s="555" t="str">
        <f t="shared" si="9"/>
        <v/>
      </c>
      <c r="C174" s="556" t="str">
        <f t="shared" si="10"/>
        <v/>
      </c>
      <c r="D174" s="557" t="str">
        <f t="shared" si="11"/>
        <v/>
      </c>
      <c r="E174" s="560"/>
      <c r="F174" s="559"/>
      <c r="G174" s="559" t="str">
        <f t="shared" si="12"/>
        <v/>
      </c>
      <c r="H174" s="559" t="str">
        <f t="shared" si="13"/>
        <v/>
      </c>
      <c r="I174" s="559" t="str">
        <f t="shared" si="14"/>
        <v/>
      </c>
    </row>
    <row r="175" spans="2:9">
      <c r="B175" s="555" t="str">
        <f t="shared" si="9"/>
        <v/>
      </c>
      <c r="C175" s="556" t="str">
        <f t="shared" si="10"/>
        <v/>
      </c>
      <c r="D175" s="557" t="str">
        <f t="shared" si="11"/>
        <v/>
      </c>
      <c r="E175" s="560"/>
      <c r="F175" s="559"/>
      <c r="G175" s="559" t="str">
        <f t="shared" si="12"/>
        <v/>
      </c>
      <c r="H175" s="559" t="str">
        <f t="shared" si="13"/>
        <v/>
      </c>
      <c r="I175" s="559" t="str">
        <f t="shared" si="14"/>
        <v/>
      </c>
    </row>
    <row r="176" spans="2:9">
      <c r="B176" s="555" t="str">
        <f t="shared" si="9"/>
        <v/>
      </c>
      <c r="C176" s="556" t="str">
        <f t="shared" si="10"/>
        <v/>
      </c>
      <c r="D176" s="557" t="str">
        <f t="shared" si="11"/>
        <v/>
      </c>
      <c r="E176" s="560"/>
      <c r="F176" s="559"/>
      <c r="G176" s="559" t="str">
        <f t="shared" si="12"/>
        <v/>
      </c>
      <c r="H176" s="559" t="str">
        <f t="shared" si="13"/>
        <v/>
      </c>
      <c r="I176" s="559" t="str">
        <f t="shared" si="14"/>
        <v/>
      </c>
    </row>
    <row r="177" spans="2:9">
      <c r="B177" s="555" t="str">
        <f t="shared" si="9"/>
        <v/>
      </c>
      <c r="C177" s="556" t="str">
        <f t="shared" si="10"/>
        <v/>
      </c>
      <c r="D177" s="557" t="str">
        <f t="shared" si="11"/>
        <v/>
      </c>
      <c r="E177" s="560"/>
      <c r="F177" s="559"/>
      <c r="G177" s="559" t="str">
        <f t="shared" si="12"/>
        <v/>
      </c>
      <c r="H177" s="559" t="str">
        <f t="shared" si="13"/>
        <v/>
      </c>
      <c r="I177" s="559" t="str">
        <f t="shared" si="14"/>
        <v/>
      </c>
    </row>
    <row r="178" spans="2:9">
      <c r="B178" s="555" t="str">
        <f t="shared" si="9"/>
        <v/>
      </c>
      <c r="C178" s="556" t="str">
        <f t="shared" si="10"/>
        <v/>
      </c>
      <c r="D178" s="557" t="str">
        <f t="shared" si="11"/>
        <v/>
      </c>
      <c r="E178" s="560"/>
      <c r="F178" s="559"/>
      <c r="G178" s="559" t="str">
        <f t="shared" si="12"/>
        <v/>
      </c>
      <c r="H178" s="559" t="str">
        <f t="shared" si="13"/>
        <v/>
      </c>
      <c r="I178" s="559" t="str">
        <f t="shared" si="14"/>
        <v/>
      </c>
    </row>
    <row r="179" spans="2:9">
      <c r="B179" s="555" t="str">
        <f t="shared" si="9"/>
        <v/>
      </c>
      <c r="C179" s="556" t="str">
        <f t="shared" si="10"/>
        <v/>
      </c>
      <c r="D179" s="557" t="str">
        <f t="shared" si="11"/>
        <v/>
      </c>
      <c r="E179" s="560"/>
      <c r="F179" s="559"/>
      <c r="G179" s="559" t="str">
        <f t="shared" si="12"/>
        <v/>
      </c>
      <c r="H179" s="559" t="str">
        <f t="shared" si="13"/>
        <v/>
      </c>
      <c r="I179" s="559" t="str">
        <f t="shared" si="14"/>
        <v/>
      </c>
    </row>
    <row r="180" spans="2:9">
      <c r="B180" s="555" t="str">
        <f t="shared" si="9"/>
        <v/>
      </c>
      <c r="C180" s="556" t="str">
        <f t="shared" si="10"/>
        <v/>
      </c>
      <c r="D180" s="557" t="str">
        <f t="shared" si="11"/>
        <v/>
      </c>
      <c r="E180" s="560"/>
      <c r="F180" s="559"/>
      <c r="G180" s="559" t="str">
        <f t="shared" si="12"/>
        <v/>
      </c>
      <c r="H180" s="559" t="str">
        <f t="shared" si="13"/>
        <v/>
      </c>
      <c r="I180" s="559" t="str">
        <f t="shared" si="14"/>
        <v/>
      </c>
    </row>
    <row r="181" spans="2:9">
      <c r="B181" s="555" t="str">
        <f t="shared" si="9"/>
        <v/>
      </c>
      <c r="C181" s="556" t="str">
        <f t="shared" si="10"/>
        <v/>
      </c>
      <c r="D181" s="557" t="str">
        <f t="shared" si="11"/>
        <v/>
      </c>
      <c r="E181" s="560"/>
      <c r="F181" s="559"/>
      <c r="G181" s="559" t="str">
        <f t="shared" si="12"/>
        <v/>
      </c>
      <c r="H181" s="559" t="str">
        <f t="shared" si="13"/>
        <v/>
      </c>
      <c r="I181" s="559" t="str">
        <f t="shared" si="14"/>
        <v/>
      </c>
    </row>
    <row r="182" spans="2:9">
      <c r="B182" s="555" t="str">
        <f t="shared" si="9"/>
        <v/>
      </c>
      <c r="C182" s="556" t="str">
        <f t="shared" si="10"/>
        <v/>
      </c>
      <c r="D182" s="557" t="str">
        <f t="shared" si="11"/>
        <v/>
      </c>
      <c r="E182" s="560"/>
      <c r="F182" s="559"/>
      <c r="G182" s="559" t="str">
        <f t="shared" si="12"/>
        <v/>
      </c>
      <c r="H182" s="559" t="str">
        <f t="shared" si="13"/>
        <v/>
      </c>
      <c r="I182" s="559" t="str">
        <f t="shared" si="14"/>
        <v/>
      </c>
    </row>
    <row r="183" spans="2:9">
      <c r="B183" s="555" t="str">
        <f t="shared" si="9"/>
        <v/>
      </c>
      <c r="C183" s="556" t="str">
        <f t="shared" si="10"/>
        <v/>
      </c>
      <c r="D183" s="557" t="str">
        <f t="shared" si="11"/>
        <v/>
      </c>
      <c r="E183" s="560"/>
      <c r="F183" s="559"/>
      <c r="G183" s="559" t="str">
        <f t="shared" si="12"/>
        <v/>
      </c>
      <c r="H183" s="559" t="str">
        <f t="shared" si="13"/>
        <v/>
      </c>
      <c r="I183" s="559" t="str">
        <f t="shared" si="14"/>
        <v/>
      </c>
    </row>
    <row r="184" spans="2:9">
      <c r="B184" s="555" t="str">
        <f t="shared" si="9"/>
        <v/>
      </c>
      <c r="C184" s="556" t="str">
        <f t="shared" si="10"/>
        <v/>
      </c>
      <c r="D184" s="557" t="str">
        <f t="shared" si="11"/>
        <v/>
      </c>
      <c r="E184" s="560"/>
      <c r="F184" s="559"/>
      <c r="G184" s="559" t="str">
        <f t="shared" si="12"/>
        <v/>
      </c>
      <c r="H184" s="559" t="str">
        <f t="shared" si="13"/>
        <v/>
      </c>
      <c r="I184" s="559" t="str">
        <f t="shared" si="14"/>
        <v/>
      </c>
    </row>
    <row r="185" spans="2:9">
      <c r="B185" s="555" t="str">
        <f t="shared" si="9"/>
        <v/>
      </c>
      <c r="C185" s="556" t="str">
        <f t="shared" si="10"/>
        <v/>
      </c>
      <c r="D185" s="557" t="str">
        <f t="shared" si="11"/>
        <v/>
      </c>
      <c r="E185" s="560"/>
      <c r="F185" s="559"/>
      <c r="G185" s="559" t="str">
        <f t="shared" si="12"/>
        <v/>
      </c>
      <c r="H185" s="559" t="str">
        <f t="shared" si="13"/>
        <v/>
      </c>
      <c r="I185" s="559" t="str">
        <f t="shared" si="14"/>
        <v/>
      </c>
    </row>
    <row r="186" spans="2:9">
      <c r="B186" s="555" t="str">
        <f t="shared" si="9"/>
        <v/>
      </c>
      <c r="C186" s="556" t="str">
        <f t="shared" si="10"/>
        <v/>
      </c>
      <c r="D186" s="557" t="str">
        <f t="shared" si="11"/>
        <v/>
      </c>
      <c r="E186" s="560"/>
      <c r="F186" s="559"/>
      <c r="G186" s="559" t="str">
        <f t="shared" si="12"/>
        <v/>
      </c>
      <c r="H186" s="559" t="str">
        <f t="shared" si="13"/>
        <v/>
      </c>
      <c r="I186" s="559" t="str">
        <f t="shared" si="14"/>
        <v/>
      </c>
    </row>
    <row r="187" spans="2:9">
      <c r="B187" s="555" t="str">
        <f t="shared" si="9"/>
        <v/>
      </c>
      <c r="C187" s="556" t="str">
        <f t="shared" si="10"/>
        <v/>
      </c>
      <c r="D187" s="557" t="str">
        <f t="shared" si="11"/>
        <v/>
      </c>
      <c r="E187" s="560"/>
      <c r="F187" s="559"/>
      <c r="G187" s="559" t="str">
        <f t="shared" si="12"/>
        <v/>
      </c>
      <c r="H187" s="559" t="str">
        <f t="shared" si="13"/>
        <v/>
      </c>
      <c r="I187" s="559" t="str">
        <f t="shared" si="14"/>
        <v/>
      </c>
    </row>
    <row r="188" spans="2:9">
      <c r="B188" s="555" t="str">
        <f t="shared" si="9"/>
        <v/>
      </c>
      <c r="C188" s="556" t="str">
        <f t="shared" si="10"/>
        <v/>
      </c>
      <c r="D188" s="557" t="str">
        <f t="shared" si="11"/>
        <v/>
      </c>
      <c r="E188" s="560"/>
      <c r="F188" s="559"/>
      <c r="G188" s="559" t="str">
        <f t="shared" si="12"/>
        <v/>
      </c>
      <c r="H188" s="559" t="str">
        <f t="shared" si="13"/>
        <v/>
      </c>
      <c r="I188" s="559" t="str">
        <f t="shared" si="14"/>
        <v/>
      </c>
    </row>
    <row r="189" spans="2:9">
      <c r="B189" s="555" t="str">
        <f t="shared" ref="B189:B252" si="15">IF(I188="","",IF(roundOpt,IF(OR(B188&gt;=nper,ROUND(I188,2)&lt;=0),"",B188+1),IF(OR(B188&gt;=nper,I188&lt;=0),"",B188+1)))</f>
        <v/>
      </c>
      <c r="C189" s="556" t="str">
        <f t="shared" ref="C189:C252" si="16">IF(B189="","",IF(OR(periods_per_year=26,periods_per_year=52),IF(periods_per_year=26,IF(B189=1,fpdate,C188+14),IF(periods_per_year=52,IF(B189=1,fpdate,C188+7),"n/a")),IF(periods_per_year=24,DATE(YEAR(fpdate),MONTH(fpdate)+(B189-1)/2+IF(AND(DAY(fpdate)&gt;=15,MOD(B189,2)=0),1,0),IF(MOD(B189,2)=0,IF(DAY(fpdate)&gt;=15,DAY(fpdate)-14,DAY(fpdate)+14),DAY(fpdate))),IF(DAY(DATE(YEAR(fpdate),MONTH(fpdate)+(B189-1)*months_per_period,DAY(fpdate)))&lt;&gt;DAY(fpdate),DATE(YEAR(fpdate),MONTH(fpdate)+(B189-1)*months_per_period+1,0),DATE(YEAR(fpdate),MONTH(fpdate)+(B189-1)*months_per_period,DAY(fpdate))))))</f>
        <v/>
      </c>
      <c r="D189" s="557" t="str">
        <f t="shared" ref="D189:D252" si="17">IF(B189="","",IF(roundOpt,IF(OR(B189=nper,payment&gt;ROUND((1+rate)*I188,2)),ROUND((1+rate)*I188,2),payment),IF(OR(B189=nper,payment&gt;(1+rate)*I188),(1+rate)*I188,payment)))</f>
        <v/>
      </c>
      <c r="E189" s="560"/>
      <c r="F189" s="559"/>
      <c r="G189" s="559" t="str">
        <f t="shared" ref="G189:G252" si="18">IF(B189="","",IF(AND(B189=1,pmtType=1),0,IF(roundOpt,ROUND(rate*I188,2),rate*I188)))</f>
        <v/>
      </c>
      <c r="H189" s="559" t="str">
        <f t="shared" ref="H189:H252" si="19">IF(B189="","",D189-G189+E189)</f>
        <v/>
      </c>
      <c r="I189" s="559" t="str">
        <f t="shared" ref="I189:I252" si="20">IF(B189="","",I188-H189)</f>
        <v/>
      </c>
    </row>
    <row r="190" spans="2:9">
      <c r="B190" s="555" t="str">
        <f t="shared" si="15"/>
        <v/>
      </c>
      <c r="C190" s="556" t="str">
        <f t="shared" si="16"/>
        <v/>
      </c>
      <c r="D190" s="557" t="str">
        <f t="shared" si="17"/>
        <v/>
      </c>
      <c r="E190" s="560"/>
      <c r="F190" s="559"/>
      <c r="G190" s="559" t="str">
        <f t="shared" si="18"/>
        <v/>
      </c>
      <c r="H190" s="559" t="str">
        <f t="shared" si="19"/>
        <v/>
      </c>
      <c r="I190" s="559" t="str">
        <f t="shared" si="20"/>
        <v/>
      </c>
    </row>
    <row r="191" spans="2:9">
      <c r="B191" s="555" t="str">
        <f t="shared" si="15"/>
        <v/>
      </c>
      <c r="C191" s="556" t="str">
        <f t="shared" si="16"/>
        <v/>
      </c>
      <c r="D191" s="557" t="str">
        <f t="shared" si="17"/>
        <v/>
      </c>
      <c r="E191" s="560"/>
      <c r="F191" s="559"/>
      <c r="G191" s="559" t="str">
        <f t="shared" si="18"/>
        <v/>
      </c>
      <c r="H191" s="559" t="str">
        <f t="shared" si="19"/>
        <v/>
      </c>
      <c r="I191" s="559" t="str">
        <f t="shared" si="20"/>
        <v/>
      </c>
    </row>
    <row r="192" spans="2:9">
      <c r="B192" s="555" t="str">
        <f t="shared" si="15"/>
        <v/>
      </c>
      <c r="C192" s="556" t="str">
        <f t="shared" si="16"/>
        <v/>
      </c>
      <c r="D192" s="557" t="str">
        <f t="shared" si="17"/>
        <v/>
      </c>
      <c r="E192" s="560"/>
      <c r="F192" s="559"/>
      <c r="G192" s="559" t="str">
        <f t="shared" si="18"/>
        <v/>
      </c>
      <c r="H192" s="559" t="str">
        <f t="shared" si="19"/>
        <v/>
      </c>
      <c r="I192" s="559" t="str">
        <f t="shared" si="20"/>
        <v/>
      </c>
    </row>
    <row r="193" spans="2:9">
      <c r="B193" s="555" t="str">
        <f t="shared" si="15"/>
        <v/>
      </c>
      <c r="C193" s="556" t="str">
        <f t="shared" si="16"/>
        <v/>
      </c>
      <c r="D193" s="557" t="str">
        <f t="shared" si="17"/>
        <v/>
      </c>
      <c r="E193" s="560"/>
      <c r="F193" s="559"/>
      <c r="G193" s="559" t="str">
        <f t="shared" si="18"/>
        <v/>
      </c>
      <c r="H193" s="559" t="str">
        <f t="shared" si="19"/>
        <v/>
      </c>
      <c r="I193" s="559" t="str">
        <f t="shared" si="20"/>
        <v/>
      </c>
    </row>
    <row r="194" spans="2:9">
      <c r="B194" s="555" t="str">
        <f t="shared" si="15"/>
        <v/>
      </c>
      <c r="C194" s="556" t="str">
        <f t="shared" si="16"/>
        <v/>
      </c>
      <c r="D194" s="557" t="str">
        <f t="shared" si="17"/>
        <v/>
      </c>
      <c r="E194" s="560"/>
      <c r="F194" s="559"/>
      <c r="G194" s="559" t="str">
        <f t="shared" si="18"/>
        <v/>
      </c>
      <c r="H194" s="559" t="str">
        <f t="shared" si="19"/>
        <v/>
      </c>
      <c r="I194" s="559" t="str">
        <f t="shared" si="20"/>
        <v/>
      </c>
    </row>
    <row r="195" spans="2:9">
      <c r="B195" s="555" t="str">
        <f t="shared" si="15"/>
        <v/>
      </c>
      <c r="C195" s="556" t="str">
        <f t="shared" si="16"/>
        <v/>
      </c>
      <c r="D195" s="557" t="str">
        <f t="shared" si="17"/>
        <v/>
      </c>
      <c r="E195" s="560"/>
      <c r="F195" s="559"/>
      <c r="G195" s="559" t="str">
        <f t="shared" si="18"/>
        <v/>
      </c>
      <c r="H195" s="559" t="str">
        <f t="shared" si="19"/>
        <v/>
      </c>
      <c r="I195" s="559" t="str">
        <f t="shared" si="20"/>
        <v/>
      </c>
    </row>
    <row r="196" spans="2:9">
      <c r="B196" s="555" t="str">
        <f t="shared" si="15"/>
        <v/>
      </c>
      <c r="C196" s="556" t="str">
        <f t="shared" si="16"/>
        <v/>
      </c>
      <c r="D196" s="557" t="str">
        <f t="shared" si="17"/>
        <v/>
      </c>
      <c r="E196" s="560"/>
      <c r="F196" s="559"/>
      <c r="G196" s="559" t="str">
        <f t="shared" si="18"/>
        <v/>
      </c>
      <c r="H196" s="559" t="str">
        <f t="shared" si="19"/>
        <v/>
      </c>
      <c r="I196" s="559" t="str">
        <f t="shared" si="20"/>
        <v/>
      </c>
    </row>
    <row r="197" spans="2:9">
      <c r="B197" s="555" t="str">
        <f t="shared" si="15"/>
        <v/>
      </c>
      <c r="C197" s="556" t="str">
        <f t="shared" si="16"/>
        <v/>
      </c>
      <c r="D197" s="557" t="str">
        <f t="shared" si="17"/>
        <v/>
      </c>
      <c r="E197" s="560"/>
      <c r="F197" s="559"/>
      <c r="G197" s="559" t="str">
        <f t="shared" si="18"/>
        <v/>
      </c>
      <c r="H197" s="559" t="str">
        <f t="shared" si="19"/>
        <v/>
      </c>
      <c r="I197" s="559" t="str">
        <f t="shared" si="20"/>
        <v/>
      </c>
    </row>
    <row r="198" spans="2:9">
      <c r="B198" s="555" t="str">
        <f t="shared" si="15"/>
        <v/>
      </c>
      <c r="C198" s="556" t="str">
        <f t="shared" si="16"/>
        <v/>
      </c>
      <c r="D198" s="557" t="str">
        <f t="shared" si="17"/>
        <v/>
      </c>
      <c r="E198" s="560"/>
      <c r="F198" s="559"/>
      <c r="G198" s="559" t="str">
        <f t="shared" si="18"/>
        <v/>
      </c>
      <c r="H198" s="559" t="str">
        <f t="shared" si="19"/>
        <v/>
      </c>
      <c r="I198" s="559" t="str">
        <f t="shared" si="20"/>
        <v/>
      </c>
    </row>
    <row r="199" spans="2:9">
      <c r="B199" s="555" t="str">
        <f t="shared" si="15"/>
        <v/>
      </c>
      <c r="C199" s="556" t="str">
        <f t="shared" si="16"/>
        <v/>
      </c>
      <c r="D199" s="557" t="str">
        <f t="shared" si="17"/>
        <v/>
      </c>
      <c r="E199" s="560"/>
      <c r="F199" s="559"/>
      <c r="G199" s="559" t="str">
        <f t="shared" si="18"/>
        <v/>
      </c>
      <c r="H199" s="559" t="str">
        <f t="shared" si="19"/>
        <v/>
      </c>
      <c r="I199" s="559" t="str">
        <f t="shared" si="20"/>
        <v/>
      </c>
    </row>
    <row r="200" spans="2:9">
      <c r="B200" s="555" t="str">
        <f t="shared" si="15"/>
        <v/>
      </c>
      <c r="C200" s="556" t="str">
        <f t="shared" si="16"/>
        <v/>
      </c>
      <c r="D200" s="557" t="str">
        <f t="shared" si="17"/>
        <v/>
      </c>
      <c r="E200" s="560"/>
      <c r="F200" s="559"/>
      <c r="G200" s="559" t="str">
        <f t="shared" si="18"/>
        <v/>
      </c>
      <c r="H200" s="559" t="str">
        <f t="shared" si="19"/>
        <v/>
      </c>
      <c r="I200" s="559" t="str">
        <f t="shared" si="20"/>
        <v/>
      </c>
    </row>
    <row r="201" spans="2:9">
      <c r="B201" s="555" t="str">
        <f t="shared" si="15"/>
        <v/>
      </c>
      <c r="C201" s="556" t="str">
        <f t="shared" si="16"/>
        <v/>
      </c>
      <c r="D201" s="557" t="str">
        <f t="shared" si="17"/>
        <v/>
      </c>
      <c r="E201" s="560"/>
      <c r="F201" s="559"/>
      <c r="G201" s="559" t="str">
        <f t="shared" si="18"/>
        <v/>
      </c>
      <c r="H201" s="559" t="str">
        <f t="shared" si="19"/>
        <v/>
      </c>
      <c r="I201" s="559" t="str">
        <f t="shared" si="20"/>
        <v/>
      </c>
    </row>
    <row r="202" spans="2:9">
      <c r="B202" s="555" t="str">
        <f t="shared" si="15"/>
        <v/>
      </c>
      <c r="C202" s="556" t="str">
        <f t="shared" si="16"/>
        <v/>
      </c>
      <c r="D202" s="557" t="str">
        <f t="shared" si="17"/>
        <v/>
      </c>
      <c r="E202" s="560"/>
      <c r="F202" s="559"/>
      <c r="G202" s="559" t="str">
        <f t="shared" si="18"/>
        <v/>
      </c>
      <c r="H202" s="559" t="str">
        <f t="shared" si="19"/>
        <v/>
      </c>
      <c r="I202" s="559" t="str">
        <f t="shared" si="20"/>
        <v/>
      </c>
    </row>
    <row r="203" spans="2:9">
      <c r="B203" s="555" t="str">
        <f t="shared" si="15"/>
        <v/>
      </c>
      <c r="C203" s="556" t="str">
        <f t="shared" si="16"/>
        <v/>
      </c>
      <c r="D203" s="557" t="str">
        <f t="shared" si="17"/>
        <v/>
      </c>
      <c r="E203" s="560"/>
      <c r="F203" s="559"/>
      <c r="G203" s="559" t="str">
        <f t="shared" si="18"/>
        <v/>
      </c>
      <c r="H203" s="559" t="str">
        <f t="shared" si="19"/>
        <v/>
      </c>
      <c r="I203" s="559" t="str">
        <f t="shared" si="20"/>
        <v/>
      </c>
    </row>
    <row r="204" spans="2:9">
      <c r="B204" s="555" t="str">
        <f t="shared" si="15"/>
        <v/>
      </c>
      <c r="C204" s="556" t="str">
        <f t="shared" si="16"/>
        <v/>
      </c>
      <c r="D204" s="557" t="str">
        <f t="shared" si="17"/>
        <v/>
      </c>
      <c r="E204" s="560"/>
      <c r="F204" s="559"/>
      <c r="G204" s="559" t="str">
        <f t="shared" si="18"/>
        <v/>
      </c>
      <c r="H204" s="559" t="str">
        <f t="shared" si="19"/>
        <v/>
      </c>
      <c r="I204" s="559" t="str">
        <f t="shared" si="20"/>
        <v/>
      </c>
    </row>
    <row r="205" spans="2:9">
      <c r="B205" s="555" t="str">
        <f t="shared" si="15"/>
        <v/>
      </c>
      <c r="C205" s="556" t="str">
        <f t="shared" si="16"/>
        <v/>
      </c>
      <c r="D205" s="557" t="str">
        <f t="shared" si="17"/>
        <v/>
      </c>
      <c r="E205" s="560"/>
      <c r="F205" s="559"/>
      <c r="G205" s="559" t="str">
        <f t="shared" si="18"/>
        <v/>
      </c>
      <c r="H205" s="559" t="str">
        <f t="shared" si="19"/>
        <v/>
      </c>
      <c r="I205" s="559" t="str">
        <f t="shared" si="20"/>
        <v/>
      </c>
    </row>
    <row r="206" spans="2:9">
      <c r="B206" s="555" t="str">
        <f t="shared" si="15"/>
        <v/>
      </c>
      <c r="C206" s="556" t="str">
        <f t="shared" si="16"/>
        <v/>
      </c>
      <c r="D206" s="557" t="str">
        <f t="shared" si="17"/>
        <v/>
      </c>
      <c r="E206" s="560"/>
      <c r="F206" s="559"/>
      <c r="G206" s="559" t="str">
        <f t="shared" si="18"/>
        <v/>
      </c>
      <c r="H206" s="559" t="str">
        <f t="shared" si="19"/>
        <v/>
      </c>
      <c r="I206" s="559" t="str">
        <f t="shared" si="20"/>
        <v/>
      </c>
    </row>
    <row r="207" spans="2:9">
      <c r="B207" s="555" t="str">
        <f t="shared" si="15"/>
        <v/>
      </c>
      <c r="C207" s="556" t="str">
        <f t="shared" si="16"/>
        <v/>
      </c>
      <c r="D207" s="557" t="str">
        <f t="shared" si="17"/>
        <v/>
      </c>
      <c r="E207" s="560"/>
      <c r="F207" s="559"/>
      <c r="G207" s="559" t="str">
        <f t="shared" si="18"/>
        <v/>
      </c>
      <c r="H207" s="559" t="str">
        <f t="shared" si="19"/>
        <v/>
      </c>
      <c r="I207" s="559" t="str">
        <f t="shared" si="20"/>
        <v/>
      </c>
    </row>
    <row r="208" spans="2:9">
      <c r="B208" s="555" t="str">
        <f t="shared" si="15"/>
        <v/>
      </c>
      <c r="C208" s="556" t="str">
        <f t="shared" si="16"/>
        <v/>
      </c>
      <c r="D208" s="557" t="str">
        <f t="shared" si="17"/>
        <v/>
      </c>
      <c r="E208" s="560"/>
      <c r="F208" s="559"/>
      <c r="G208" s="559" t="str">
        <f t="shared" si="18"/>
        <v/>
      </c>
      <c r="H208" s="559" t="str">
        <f t="shared" si="19"/>
        <v/>
      </c>
      <c r="I208" s="559" t="str">
        <f t="shared" si="20"/>
        <v/>
      </c>
    </row>
    <row r="209" spans="2:9">
      <c r="B209" s="555" t="str">
        <f t="shared" si="15"/>
        <v/>
      </c>
      <c r="C209" s="556" t="str">
        <f t="shared" si="16"/>
        <v/>
      </c>
      <c r="D209" s="557" t="str">
        <f t="shared" si="17"/>
        <v/>
      </c>
      <c r="E209" s="560"/>
      <c r="F209" s="559"/>
      <c r="G209" s="559" t="str">
        <f t="shared" si="18"/>
        <v/>
      </c>
      <c r="H209" s="559" t="str">
        <f t="shared" si="19"/>
        <v/>
      </c>
      <c r="I209" s="559" t="str">
        <f t="shared" si="20"/>
        <v/>
      </c>
    </row>
    <row r="210" spans="2:9">
      <c r="B210" s="555" t="str">
        <f t="shared" si="15"/>
        <v/>
      </c>
      <c r="C210" s="556" t="str">
        <f t="shared" si="16"/>
        <v/>
      </c>
      <c r="D210" s="557" t="str">
        <f t="shared" si="17"/>
        <v/>
      </c>
      <c r="E210" s="560"/>
      <c r="F210" s="559"/>
      <c r="G210" s="559" t="str">
        <f t="shared" si="18"/>
        <v/>
      </c>
      <c r="H210" s="559" t="str">
        <f t="shared" si="19"/>
        <v/>
      </c>
      <c r="I210" s="559" t="str">
        <f t="shared" si="20"/>
        <v/>
      </c>
    </row>
    <row r="211" spans="2:9">
      <c r="B211" s="555" t="str">
        <f t="shared" si="15"/>
        <v/>
      </c>
      <c r="C211" s="556" t="str">
        <f t="shared" si="16"/>
        <v/>
      </c>
      <c r="D211" s="557" t="str">
        <f t="shared" si="17"/>
        <v/>
      </c>
      <c r="E211" s="560"/>
      <c r="F211" s="559"/>
      <c r="G211" s="559" t="str">
        <f t="shared" si="18"/>
        <v/>
      </c>
      <c r="H211" s="559" t="str">
        <f t="shared" si="19"/>
        <v/>
      </c>
      <c r="I211" s="559" t="str">
        <f t="shared" si="20"/>
        <v/>
      </c>
    </row>
    <row r="212" spans="2:9">
      <c r="B212" s="555" t="str">
        <f t="shared" si="15"/>
        <v/>
      </c>
      <c r="C212" s="556" t="str">
        <f t="shared" si="16"/>
        <v/>
      </c>
      <c r="D212" s="557" t="str">
        <f t="shared" si="17"/>
        <v/>
      </c>
      <c r="E212" s="560"/>
      <c r="F212" s="559"/>
      <c r="G212" s="559" t="str">
        <f t="shared" si="18"/>
        <v/>
      </c>
      <c r="H212" s="559" t="str">
        <f t="shared" si="19"/>
        <v/>
      </c>
      <c r="I212" s="559" t="str">
        <f t="shared" si="20"/>
        <v/>
      </c>
    </row>
    <row r="213" spans="2:9">
      <c r="B213" s="555" t="str">
        <f t="shared" si="15"/>
        <v/>
      </c>
      <c r="C213" s="556" t="str">
        <f t="shared" si="16"/>
        <v/>
      </c>
      <c r="D213" s="557" t="str">
        <f t="shared" si="17"/>
        <v/>
      </c>
      <c r="E213" s="560"/>
      <c r="F213" s="559"/>
      <c r="G213" s="559" t="str">
        <f t="shared" si="18"/>
        <v/>
      </c>
      <c r="H213" s="559" t="str">
        <f t="shared" si="19"/>
        <v/>
      </c>
      <c r="I213" s="559" t="str">
        <f t="shared" si="20"/>
        <v/>
      </c>
    </row>
    <row r="214" spans="2:9">
      <c r="B214" s="555" t="str">
        <f t="shared" si="15"/>
        <v/>
      </c>
      <c r="C214" s="556" t="str">
        <f t="shared" si="16"/>
        <v/>
      </c>
      <c r="D214" s="557" t="str">
        <f t="shared" si="17"/>
        <v/>
      </c>
      <c r="E214" s="560"/>
      <c r="F214" s="559"/>
      <c r="G214" s="559" t="str">
        <f t="shared" si="18"/>
        <v/>
      </c>
      <c r="H214" s="559" t="str">
        <f t="shared" si="19"/>
        <v/>
      </c>
      <c r="I214" s="559" t="str">
        <f t="shared" si="20"/>
        <v/>
      </c>
    </row>
    <row r="215" spans="2:9">
      <c r="B215" s="555" t="str">
        <f t="shared" si="15"/>
        <v/>
      </c>
      <c r="C215" s="556" t="str">
        <f t="shared" si="16"/>
        <v/>
      </c>
      <c r="D215" s="557" t="str">
        <f t="shared" si="17"/>
        <v/>
      </c>
      <c r="E215" s="560"/>
      <c r="F215" s="559"/>
      <c r="G215" s="559" t="str">
        <f t="shared" si="18"/>
        <v/>
      </c>
      <c r="H215" s="559" t="str">
        <f t="shared" si="19"/>
        <v/>
      </c>
      <c r="I215" s="559" t="str">
        <f t="shared" si="20"/>
        <v/>
      </c>
    </row>
    <row r="216" spans="2:9">
      <c r="B216" s="555" t="str">
        <f t="shared" si="15"/>
        <v/>
      </c>
      <c r="C216" s="556" t="str">
        <f t="shared" si="16"/>
        <v/>
      </c>
      <c r="D216" s="557" t="str">
        <f t="shared" si="17"/>
        <v/>
      </c>
      <c r="E216" s="560"/>
      <c r="F216" s="559"/>
      <c r="G216" s="559" t="str">
        <f t="shared" si="18"/>
        <v/>
      </c>
      <c r="H216" s="559" t="str">
        <f t="shared" si="19"/>
        <v/>
      </c>
      <c r="I216" s="559" t="str">
        <f t="shared" si="20"/>
        <v/>
      </c>
    </row>
    <row r="217" spans="2:9">
      <c r="B217" s="555" t="str">
        <f t="shared" si="15"/>
        <v/>
      </c>
      <c r="C217" s="556" t="str">
        <f t="shared" si="16"/>
        <v/>
      </c>
      <c r="D217" s="557" t="str">
        <f t="shared" si="17"/>
        <v/>
      </c>
      <c r="E217" s="560"/>
      <c r="F217" s="559"/>
      <c r="G217" s="559" t="str">
        <f t="shared" si="18"/>
        <v/>
      </c>
      <c r="H217" s="559" t="str">
        <f t="shared" si="19"/>
        <v/>
      </c>
      <c r="I217" s="559" t="str">
        <f t="shared" si="20"/>
        <v/>
      </c>
    </row>
    <row r="218" spans="2:9">
      <c r="B218" s="555" t="str">
        <f t="shared" si="15"/>
        <v/>
      </c>
      <c r="C218" s="556" t="str">
        <f t="shared" si="16"/>
        <v/>
      </c>
      <c r="D218" s="557" t="str">
        <f t="shared" si="17"/>
        <v/>
      </c>
      <c r="E218" s="560"/>
      <c r="F218" s="559"/>
      <c r="G218" s="559" t="str">
        <f t="shared" si="18"/>
        <v/>
      </c>
      <c r="H218" s="559" t="str">
        <f t="shared" si="19"/>
        <v/>
      </c>
      <c r="I218" s="559" t="str">
        <f t="shared" si="20"/>
        <v/>
      </c>
    </row>
    <row r="219" spans="2:9">
      <c r="B219" s="555" t="str">
        <f t="shared" si="15"/>
        <v/>
      </c>
      <c r="C219" s="556" t="str">
        <f t="shared" si="16"/>
        <v/>
      </c>
      <c r="D219" s="557" t="str">
        <f t="shared" si="17"/>
        <v/>
      </c>
      <c r="E219" s="560"/>
      <c r="F219" s="559"/>
      <c r="G219" s="559" t="str">
        <f t="shared" si="18"/>
        <v/>
      </c>
      <c r="H219" s="559" t="str">
        <f t="shared" si="19"/>
        <v/>
      </c>
      <c r="I219" s="559" t="str">
        <f t="shared" si="20"/>
        <v/>
      </c>
    </row>
    <row r="220" spans="2:9">
      <c r="B220" s="555" t="str">
        <f t="shared" si="15"/>
        <v/>
      </c>
      <c r="C220" s="556" t="str">
        <f t="shared" si="16"/>
        <v/>
      </c>
      <c r="D220" s="557" t="str">
        <f t="shared" si="17"/>
        <v/>
      </c>
      <c r="E220" s="560"/>
      <c r="F220" s="559"/>
      <c r="G220" s="559" t="str">
        <f t="shared" si="18"/>
        <v/>
      </c>
      <c r="H220" s="559" t="str">
        <f t="shared" si="19"/>
        <v/>
      </c>
      <c r="I220" s="559" t="str">
        <f t="shared" si="20"/>
        <v/>
      </c>
    </row>
    <row r="221" spans="2:9">
      <c r="B221" s="555" t="str">
        <f t="shared" si="15"/>
        <v/>
      </c>
      <c r="C221" s="556" t="str">
        <f t="shared" si="16"/>
        <v/>
      </c>
      <c r="D221" s="557" t="str">
        <f t="shared" si="17"/>
        <v/>
      </c>
      <c r="E221" s="560"/>
      <c r="F221" s="559"/>
      <c r="G221" s="559" t="str">
        <f t="shared" si="18"/>
        <v/>
      </c>
      <c r="H221" s="559" t="str">
        <f t="shared" si="19"/>
        <v/>
      </c>
      <c r="I221" s="559" t="str">
        <f t="shared" si="20"/>
        <v/>
      </c>
    </row>
    <row r="222" spans="2:9">
      <c r="B222" s="555" t="str">
        <f t="shared" si="15"/>
        <v/>
      </c>
      <c r="C222" s="556" t="str">
        <f t="shared" si="16"/>
        <v/>
      </c>
      <c r="D222" s="557" t="str">
        <f t="shared" si="17"/>
        <v/>
      </c>
      <c r="E222" s="560"/>
      <c r="F222" s="559"/>
      <c r="G222" s="559" t="str">
        <f t="shared" si="18"/>
        <v/>
      </c>
      <c r="H222" s="559" t="str">
        <f t="shared" si="19"/>
        <v/>
      </c>
      <c r="I222" s="559" t="str">
        <f t="shared" si="20"/>
        <v/>
      </c>
    </row>
    <row r="223" spans="2:9">
      <c r="B223" s="555" t="str">
        <f t="shared" si="15"/>
        <v/>
      </c>
      <c r="C223" s="556" t="str">
        <f t="shared" si="16"/>
        <v/>
      </c>
      <c r="D223" s="557" t="str">
        <f t="shared" si="17"/>
        <v/>
      </c>
      <c r="E223" s="560"/>
      <c r="F223" s="559"/>
      <c r="G223" s="559" t="str">
        <f t="shared" si="18"/>
        <v/>
      </c>
      <c r="H223" s="559" t="str">
        <f t="shared" si="19"/>
        <v/>
      </c>
      <c r="I223" s="559" t="str">
        <f t="shared" si="20"/>
        <v/>
      </c>
    </row>
    <row r="224" spans="2:9">
      <c r="B224" s="555" t="str">
        <f t="shared" si="15"/>
        <v/>
      </c>
      <c r="C224" s="556" t="str">
        <f t="shared" si="16"/>
        <v/>
      </c>
      <c r="D224" s="557" t="str">
        <f t="shared" si="17"/>
        <v/>
      </c>
      <c r="E224" s="560"/>
      <c r="F224" s="559"/>
      <c r="G224" s="559" t="str">
        <f t="shared" si="18"/>
        <v/>
      </c>
      <c r="H224" s="559" t="str">
        <f t="shared" si="19"/>
        <v/>
      </c>
      <c r="I224" s="559" t="str">
        <f t="shared" si="20"/>
        <v/>
      </c>
    </row>
    <row r="225" spans="2:9">
      <c r="B225" s="555" t="str">
        <f t="shared" si="15"/>
        <v/>
      </c>
      <c r="C225" s="556" t="str">
        <f t="shared" si="16"/>
        <v/>
      </c>
      <c r="D225" s="557" t="str">
        <f t="shared" si="17"/>
        <v/>
      </c>
      <c r="E225" s="560"/>
      <c r="F225" s="559"/>
      <c r="G225" s="559" t="str">
        <f t="shared" si="18"/>
        <v/>
      </c>
      <c r="H225" s="559" t="str">
        <f t="shared" si="19"/>
        <v/>
      </c>
      <c r="I225" s="559" t="str">
        <f t="shared" si="20"/>
        <v/>
      </c>
    </row>
    <row r="226" spans="2:9">
      <c r="B226" s="555" t="str">
        <f t="shared" si="15"/>
        <v/>
      </c>
      <c r="C226" s="556" t="str">
        <f t="shared" si="16"/>
        <v/>
      </c>
      <c r="D226" s="557" t="str">
        <f t="shared" si="17"/>
        <v/>
      </c>
      <c r="E226" s="560"/>
      <c r="F226" s="559"/>
      <c r="G226" s="559" t="str">
        <f t="shared" si="18"/>
        <v/>
      </c>
      <c r="H226" s="559" t="str">
        <f t="shared" si="19"/>
        <v/>
      </c>
      <c r="I226" s="559" t="str">
        <f t="shared" si="20"/>
        <v/>
      </c>
    </row>
    <row r="227" spans="2:9">
      <c r="B227" s="555" t="str">
        <f t="shared" si="15"/>
        <v/>
      </c>
      <c r="C227" s="556" t="str">
        <f t="shared" si="16"/>
        <v/>
      </c>
      <c r="D227" s="557" t="str">
        <f t="shared" si="17"/>
        <v/>
      </c>
      <c r="E227" s="560"/>
      <c r="F227" s="559"/>
      <c r="G227" s="559" t="str">
        <f t="shared" si="18"/>
        <v/>
      </c>
      <c r="H227" s="559" t="str">
        <f t="shared" si="19"/>
        <v/>
      </c>
      <c r="I227" s="559" t="str">
        <f t="shared" si="20"/>
        <v/>
      </c>
    </row>
    <row r="228" spans="2:9">
      <c r="B228" s="555" t="str">
        <f t="shared" si="15"/>
        <v/>
      </c>
      <c r="C228" s="556" t="str">
        <f t="shared" si="16"/>
        <v/>
      </c>
      <c r="D228" s="557" t="str">
        <f t="shared" si="17"/>
        <v/>
      </c>
      <c r="E228" s="560"/>
      <c r="F228" s="559"/>
      <c r="G228" s="559" t="str">
        <f t="shared" si="18"/>
        <v/>
      </c>
      <c r="H228" s="559" t="str">
        <f t="shared" si="19"/>
        <v/>
      </c>
      <c r="I228" s="559" t="str">
        <f t="shared" si="20"/>
        <v/>
      </c>
    </row>
    <row r="229" spans="2:9">
      <c r="B229" s="555" t="str">
        <f t="shared" si="15"/>
        <v/>
      </c>
      <c r="C229" s="556" t="str">
        <f t="shared" si="16"/>
        <v/>
      </c>
      <c r="D229" s="557" t="str">
        <f t="shared" si="17"/>
        <v/>
      </c>
      <c r="E229" s="560"/>
      <c r="F229" s="559"/>
      <c r="G229" s="559" t="str">
        <f t="shared" si="18"/>
        <v/>
      </c>
      <c r="H229" s="559" t="str">
        <f t="shared" si="19"/>
        <v/>
      </c>
      <c r="I229" s="559" t="str">
        <f t="shared" si="20"/>
        <v/>
      </c>
    </row>
    <row r="230" spans="2:9">
      <c r="B230" s="555" t="str">
        <f t="shared" si="15"/>
        <v/>
      </c>
      <c r="C230" s="556" t="str">
        <f t="shared" si="16"/>
        <v/>
      </c>
      <c r="D230" s="557" t="str">
        <f t="shared" si="17"/>
        <v/>
      </c>
      <c r="E230" s="560"/>
      <c r="F230" s="559"/>
      <c r="G230" s="559" t="str">
        <f t="shared" si="18"/>
        <v/>
      </c>
      <c r="H230" s="559" t="str">
        <f t="shared" si="19"/>
        <v/>
      </c>
      <c r="I230" s="559" t="str">
        <f t="shared" si="20"/>
        <v/>
      </c>
    </row>
    <row r="231" spans="2:9">
      <c r="B231" s="555" t="str">
        <f t="shared" si="15"/>
        <v/>
      </c>
      <c r="C231" s="556" t="str">
        <f t="shared" si="16"/>
        <v/>
      </c>
      <c r="D231" s="557" t="str">
        <f t="shared" si="17"/>
        <v/>
      </c>
      <c r="E231" s="560"/>
      <c r="F231" s="559"/>
      <c r="G231" s="559" t="str">
        <f t="shared" si="18"/>
        <v/>
      </c>
      <c r="H231" s="559" t="str">
        <f t="shared" si="19"/>
        <v/>
      </c>
      <c r="I231" s="559" t="str">
        <f t="shared" si="20"/>
        <v/>
      </c>
    </row>
    <row r="232" spans="2:9">
      <c r="B232" s="555" t="str">
        <f t="shared" si="15"/>
        <v/>
      </c>
      <c r="C232" s="556" t="str">
        <f t="shared" si="16"/>
        <v/>
      </c>
      <c r="D232" s="557" t="str">
        <f t="shared" si="17"/>
        <v/>
      </c>
      <c r="E232" s="560"/>
      <c r="F232" s="559"/>
      <c r="G232" s="559" t="str">
        <f t="shared" si="18"/>
        <v/>
      </c>
      <c r="H232" s="559" t="str">
        <f t="shared" si="19"/>
        <v/>
      </c>
      <c r="I232" s="559" t="str">
        <f t="shared" si="20"/>
        <v/>
      </c>
    </row>
    <row r="233" spans="2:9">
      <c r="B233" s="555" t="str">
        <f t="shared" si="15"/>
        <v/>
      </c>
      <c r="C233" s="556" t="str">
        <f t="shared" si="16"/>
        <v/>
      </c>
      <c r="D233" s="557" t="str">
        <f t="shared" si="17"/>
        <v/>
      </c>
      <c r="E233" s="560"/>
      <c r="F233" s="559"/>
      <c r="G233" s="559" t="str">
        <f t="shared" si="18"/>
        <v/>
      </c>
      <c r="H233" s="559" t="str">
        <f t="shared" si="19"/>
        <v/>
      </c>
      <c r="I233" s="559" t="str">
        <f t="shared" si="20"/>
        <v/>
      </c>
    </row>
    <row r="234" spans="2:9">
      <c r="B234" s="555" t="str">
        <f t="shared" si="15"/>
        <v/>
      </c>
      <c r="C234" s="556" t="str">
        <f t="shared" si="16"/>
        <v/>
      </c>
      <c r="D234" s="557" t="str">
        <f t="shared" si="17"/>
        <v/>
      </c>
      <c r="E234" s="560"/>
      <c r="F234" s="559"/>
      <c r="G234" s="559" t="str">
        <f t="shared" si="18"/>
        <v/>
      </c>
      <c r="H234" s="559" t="str">
        <f t="shared" si="19"/>
        <v/>
      </c>
      <c r="I234" s="559" t="str">
        <f t="shared" si="20"/>
        <v/>
      </c>
    </row>
    <row r="235" spans="2:9">
      <c r="B235" s="555" t="str">
        <f t="shared" si="15"/>
        <v/>
      </c>
      <c r="C235" s="556" t="str">
        <f t="shared" si="16"/>
        <v/>
      </c>
      <c r="D235" s="557" t="str">
        <f t="shared" si="17"/>
        <v/>
      </c>
      <c r="E235" s="560"/>
      <c r="F235" s="559"/>
      <c r="G235" s="559" t="str">
        <f t="shared" si="18"/>
        <v/>
      </c>
      <c r="H235" s="559" t="str">
        <f t="shared" si="19"/>
        <v/>
      </c>
      <c r="I235" s="559" t="str">
        <f t="shared" si="20"/>
        <v/>
      </c>
    </row>
    <row r="236" spans="2:9">
      <c r="B236" s="555" t="str">
        <f t="shared" si="15"/>
        <v/>
      </c>
      <c r="C236" s="556" t="str">
        <f t="shared" si="16"/>
        <v/>
      </c>
      <c r="D236" s="557" t="str">
        <f t="shared" si="17"/>
        <v/>
      </c>
      <c r="E236" s="560"/>
      <c r="F236" s="559"/>
      <c r="G236" s="559" t="str">
        <f t="shared" si="18"/>
        <v/>
      </c>
      <c r="H236" s="559" t="str">
        <f t="shared" si="19"/>
        <v/>
      </c>
      <c r="I236" s="559" t="str">
        <f t="shared" si="20"/>
        <v/>
      </c>
    </row>
    <row r="237" spans="2:9">
      <c r="B237" s="555" t="str">
        <f t="shared" si="15"/>
        <v/>
      </c>
      <c r="C237" s="556" t="str">
        <f t="shared" si="16"/>
        <v/>
      </c>
      <c r="D237" s="557" t="str">
        <f t="shared" si="17"/>
        <v/>
      </c>
      <c r="E237" s="560"/>
      <c r="F237" s="559"/>
      <c r="G237" s="559" t="str">
        <f t="shared" si="18"/>
        <v/>
      </c>
      <c r="H237" s="559" t="str">
        <f t="shared" si="19"/>
        <v/>
      </c>
      <c r="I237" s="559" t="str">
        <f t="shared" si="20"/>
        <v/>
      </c>
    </row>
    <row r="238" spans="2:9">
      <c r="B238" s="555" t="str">
        <f t="shared" si="15"/>
        <v/>
      </c>
      <c r="C238" s="556" t="str">
        <f t="shared" si="16"/>
        <v/>
      </c>
      <c r="D238" s="557" t="str">
        <f t="shared" si="17"/>
        <v/>
      </c>
      <c r="E238" s="560"/>
      <c r="F238" s="559"/>
      <c r="G238" s="559" t="str">
        <f t="shared" si="18"/>
        <v/>
      </c>
      <c r="H238" s="559" t="str">
        <f t="shared" si="19"/>
        <v/>
      </c>
      <c r="I238" s="559" t="str">
        <f t="shared" si="20"/>
        <v/>
      </c>
    </row>
    <row r="239" spans="2:9">
      <c r="B239" s="555" t="str">
        <f t="shared" si="15"/>
        <v/>
      </c>
      <c r="C239" s="556" t="str">
        <f t="shared" si="16"/>
        <v/>
      </c>
      <c r="D239" s="557" t="str">
        <f t="shared" si="17"/>
        <v/>
      </c>
      <c r="E239" s="560"/>
      <c r="F239" s="559"/>
      <c r="G239" s="559" t="str">
        <f t="shared" si="18"/>
        <v/>
      </c>
      <c r="H239" s="559" t="str">
        <f t="shared" si="19"/>
        <v/>
      </c>
      <c r="I239" s="559" t="str">
        <f t="shared" si="20"/>
        <v/>
      </c>
    </row>
    <row r="240" spans="2:9">
      <c r="B240" s="555" t="str">
        <f t="shared" si="15"/>
        <v/>
      </c>
      <c r="C240" s="556" t="str">
        <f t="shared" si="16"/>
        <v/>
      </c>
      <c r="D240" s="557" t="str">
        <f t="shared" si="17"/>
        <v/>
      </c>
      <c r="E240" s="560"/>
      <c r="F240" s="559"/>
      <c r="G240" s="559" t="str">
        <f t="shared" si="18"/>
        <v/>
      </c>
      <c r="H240" s="559" t="str">
        <f t="shared" si="19"/>
        <v/>
      </c>
      <c r="I240" s="559" t="str">
        <f t="shared" si="20"/>
        <v/>
      </c>
    </row>
    <row r="241" spans="2:9">
      <c r="B241" s="555" t="str">
        <f t="shared" si="15"/>
        <v/>
      </c>
      <c r="C241" s="556" t="str">
        <f t="shared" si="16"/>
        <v/>
      </c>
      <c r="D241" s="557" t="str">
        <f t="shared" si="17"/>
        <v/>
      </c>
      <c r="E241" s="560"/>
      <c r="F241" s="559"/>
      <c r="G241" s="559" t="str">
        <f t="shared" si="18"/>
        <v/>
      </c>
      <c r="H241" s="559" t="str">
        <f t="shared" si="19"/>
        <v/>
      </c>
      <c r="I241" s="559" t="str">
        <f t="shared" si="20"/>
        <v/>
      </c>
    </row>
    <row r="242" spans="2:9">
      <c r="B242" s="555" t="str">
        <f t="shared" si="15"/>
        <v/>
      </c>
      <c r="C242" s="556" t="str">
        <f t="shared" si="16"/>
        <v/>
      </c>
      <c r="D242" s="557" t="str">
        <f t="shared" si="17"/>
        <v/>
      </c>
      <c r="E242" s="560"/>
      <c r="F242" s="559"/>
      <c r="G242" s="559" t="str">
        <f t="shared" si="18"/>
        <v/>
      </c>
      <c r="H242" s="559" t="str">
        <f t="shared" si="19"/>
        <v/>
      </c>
      <c r="I242" s="559" t="str">
        <f t="shared" si="20"/>
        <v/>
      </c>
    </row>
    <row r="243" spans="2:9">
      <c r="B243" s="555" t="str">
        <f t="shared" si="15"/>
        <v/>
      </c>
      <c r="C243" s="556" t="str">
        <f t="shared" si="16"/>
        <v/>
      </c>
      <c r="D243" s="557" t="str">
        <f t="shared" si="17"/>
        <v/>
      </c>
      <c r="E243" s="560"/>
      <c r="F243" s="559"/>
      <c r="G243" s="559" t="str">
        <f t="shared" si="18"/>
        <v/>
      </c>
      <c r="H243" s="559" t="str">
        <f t="shared" si="19"/>
        <v/>
      </c>
      <c r="I243" s="559" t="str">
        <f t="shared" si="20"/>
        <v/>
      </c>
    </row>
    <row r="244" spans="2:9">
      <c r="B244" s="555" t="str">
        <f t="shared" si="15"/>
        <v/>
      </c>
      <c r="C244" s="556" t="str">
        <f t="shared" si="16"/>
        <v/>
      </c>
      <c r="D244" s="557" t="str">
        <f t="shared" si="17"/>
        <v/>
      </c>
      <c r="E244" s="560"/>
      <c r="F244" s="559"/>
      <c r="G244" s="559" t="str">
        <f t="shared" si="18"/>
        <v/>
      </c>
      <c r="H244" s="559" t="str">
        <f t="shared" si="19"/>
        <v/>
      </c>
      <c r="I244" s="559" t="str">
        <f t="shared" si="20"/>
        <v/>
      </c>
    </row>
    <row r="245" spans="2:9">
      <c r="B245" s="555" t="str">
        <f t="shared" si="15"/>
        <v/>
      </c>
      <c r="C245" s="556" t="str">
        <f t="shared" si="16"/>
        <v/>
      </c>
      <c r="D245" s="557" t="str">
        <f t="shared" si="17"/>
        <v/>
      </c>
      <c r="E245" s="560"/>
      <c r="F245" s="559"/>
      <c r="G245" s="559" t="str">
        <f t="shared" si="18"/>
        <v/>
      </c>
      <c r="H245" s="559" t="str">
        <f t="shared" si="19"/>
        <v/>
      </c>
      <c r="I245" s="559" t="str">
        <f t="shared" si="20"/>
        <v/>
      </c>
    </row>
    <row r="246" spans="2:9">
      <c r="B246" s="555" t="str">
        <f t="shared" si="15"/>
        <v/>
      </c>
      <c r="C246" s="556" t="str">
        <f t="shared" si="16"/>
        <v/>
      </c>
      <c r="D246" s="557" t="str">
        <f t="shared" si="17"/>
        <v/>
      </c>
      <c r="E246" s="560"/>
      <c r="F246" s="559"/>
      <c r="G246" s="559" t="str">
        <f t="shared" si="18"/>
        <v/>
      </c>
      <c r="H246" s="559" t="str">
        <f t="shared" si="19"/>
        <v/>
      </c>
      <c r="I246" s="559" t="str">
        <f t="shared" si="20"/>
        <v/>
      </c>
    </row>
    <row r="247" spans="2:9">
      <c r="B247" s="555" t="str">
        <f t="shared" si="15"/>
        <v/>
      </c>
      <c r="C247" s="556" t="str">
        <f t="shared" si="16"/>
        <v/>
      </c>
      <c r="D247" s="557" t="str">
        <f t="shared" si="17"/>
        <v/>
      </c>
      <c r="E247" s="560"/>
      <c r="F247" s="559"/>
      <c r="G247" s="559" t="str">
        <f t="shared" si="18"/>
        <v/>
      </c>
      <c r="H247" s="559" t="str">
        <f t="shared" si="19"/>
        <v/>
      </c>
      <c r="I247" s="559" t="str">
        <f t="shared" si="20"/>
        <v/>
      </c>
    </row>
    <row r="248" spans="2:9">
      <c r="B248" s="555" t="str">
        <f t="shared" si="15"/>
        <v/>
      </c>
      <c r="C248" s="556" t="str">
        <f t="shared" si="16"/>
        <v/>
      </c>
      <c r="D248" s="557" t="str">
        <f t="shared" si="17"/>
        <v/>
      </c>
      <c r="E248" s="560"/>
      <c r="F248" s="559"/>
      <c r="G248" s="559" t="str">
        <f t="shared" si="18"/>
        <v/>
      </c>
      <c r="H248" s="559" t="str">
        <f t="shared" si="19"/>
        <v/>
      </c>
      <c r="I248" s="559" t="str">
        <f t="shared" si="20"/>
        <v/>
      </c>
    </row>
    <row r="249" spans="2:9">
      <c r="B249" s="555" t="str">
        <f t="shared" si="15"/>
        <v/>
      </c>
      <c r="C249" s="556" t="str">
        <f t="shared" si="16"/>
        <v/>
      </c>
      <c r="D249" s="557" t="str">
        <f t="shared" si="17"/>
        <v/>
      </c>
      <c r="E249" s="560"/>
      <c r="F249" s="559"/>
      <c r="G249" s="559" t="str">
        <f t="shared" si="18"/>
        <v/>
      </c>
      <c r="H249" s="559" t="str">
        <f t="shared" si="19"/>
        <v/>
      </c>
      <c r="I249" s="559" t="str">
        <f t="shared" si="20"/>
        <v/>
      </c>
    </row>
    <row r="250" spans="2:9">
      <c r="B250" s="555" t="str">
        <f t="shared" si="15"/>
        <v/>
      </c>
      <c r="C250" s="556" t="str">
        <f t="shared" si="16"/>
        <v/>
      </c>
      <c r="D250" s="557" t="str">
        <f t="shared" si="17"/>
        <v/>
      </c>
      <c r="E250" s="560"/>
      <c r="F250" s="559"/>
      <c r="G250" s="559" t="str">
        <f t="shared" si="18"/>
        <v/>
      </c>
      <c r="H250" s="559" t="str">
        <f t="shared" si="19"/>
        <v/>
      </c>
      <c r="I250" s="559" t="str">
        <f t="shared" si="20"/>
        <v/>
      </c>
    </row>
    <row r="251" spans="2:9">
      <c r="B251" s="555" t="str">
        <f t="shared" si="15"/>
        <v/>
      </c>
      <c r="C251" s="556" t="str">
        <f t="shared" si="16"/>
        <v/>
      </c>
      <c r="D251" s="557" t="str">
        <f t="shared" si="17"/>
        <v/>
      </c>
      <c r="E251" s="560"/>
      <c r="F251" s="559"/>
      <c r="G251" s="559" t="str">
        <f t="shared" si="18"/>
        <v/>
      </c>
      <c r="H251" s="559" t="str">
        <f t="shared" si="19"/>
        <v/>
      </c>
      <c r="I251" s="559" t="str">
        <f t="shared" si="20"/>
        <v/>
      </c>
    </row>
    <row r="252" spans="2:9">
      <c r="B252" s="555" t="str">
        <f t="shared" si="15"/>
        <v/>
      </c>
      <c r="C252" s="556" t="str">
        <f t="shared" si="16"/>
        <v/>
      </c>
      <c r="D252" s="557" t="str">
        <f t="shared" si="17"/>
        <v/>
      </c>
      <c r="E252" s="560"/>
      <c r="F252" s="559"/>
      <c r="G252" s="559" t="str">
        <f t="shared" si="18"/>
        <v/>
      </c>
      <c r="H252" s="559" t="str">
        <f t="shared" si="19"/>
        <v/>
      </c>
      <c r="I252" s="559" t="str">
        <f t="shared" si="20"/>
        <v/>
      </c>
    </row>
    <row r="253" spans="2:9">
      <c r="B253" s="555" t="str">
        <f t="shared" ref="B253:B316" si="21">IF(I252="","",IF(roundOpt,IF(OR(B252&gt;=nper,ROUND(I252,2)&lt;=0),"",B252+1),IF(OR(B252&gt;=nper,I252&lt;=0),"",B252+1)))</f>
        <v/>
      </c>
      <c r="C253" s="556" t="str">
        <f t="shared" ref="C253:C316" si="22">IF(B253="","",IF(OR(periods_per_year=26,periods_per_year=52),IF(periods_per_year=26,IF(B253=1,fpdate,C252+14),IF(periods_per_year=52,IF(B253=1,fpdate,C252+7),"n/a")),IF(periods_per_year=24,DATE(YEAR(fpdate),MONTH(fpdate)+(B253-1)/2+IF(AND(DAY(fpdate)&gt;=15,MOD(B253,2)=0),1,0),IF(MOD(B253,2)=0,IF(DAY(fpdate)&gt;=15,DAY(fpdate)-14,DAY(fpdate)+14),DAY(fpdate))),IF(DAY(DATE(YEAR(fpdate),MONTH(fpdate)+(B253-1)*months_per_period,DAY(fpdate)))&lt;&gt;DAY(fpdate),DATE(YEAR(fpdate),MONTH(fpdate)+(B253-1)*months_per_period+1,0),DATE(YEAR(fpdate),MONTH(fpdate)+(B253-1)*months_per_period,DAY(fpdate))))))</f>
        <v/>
      </c>
      <c r="D253" s="557" t="str">
        <f t="shared" ref="D253:D316" si="23">IF(B253="","",IF(roundOpt,IF(OR(B253=nper,payment&gt;ROUND((1+rate)*I252,2)),ROUND((1+rate)*I252,2),payment),IF(OR(B253=nper,payment&gt;(1+rate)*I252),(1+rate)*I252,payment)))</f>
        <v/>
      </c>
      <c r="E253" s="560"/>
      <c r="F253" s="559"/>
      <c r="G253" s="559" t="str">
        <f t="shared" ref="G253:G316" si="24">IF(B253="","",IF(AND(B253=1,pmtType=1),0,IF(roundOpt,ROUND(rate*I252,2),rate*I252)))</f>
        <v/>
      </c>
      <c r="H253" s="559" t="str">
        <f t="shared" ref="H253:H316" si="25">IF(B253="","",D253-G253+E253)</f>
        <v/>
      </c>
      <c r="I253" s="559" t="str">
        <f t="shared" ref="I253:I316" si="26">IF(B253="","",I252-H253)</f>
        <v/>
      </c>
    </row>
    <row r="254" spans="2:9">
      <c r="B254" s="555" t="str">
        <f t="shared" si="21"/>
        <v/>
      </c>
      <c r="C254" s="556" t="str">
        <f t="shared" si="22"/>
        <v/>
      </c>
      <c r="D254" s="557" t="str">
        <f t="shared" si="23"/>
        <v/>
      </c>
      <c r="E254" s="560"/>
      <c r="F254" s="559"/>
      <c r="G254" s="559" t="str">
        <f t="shared" si="24"/>
        <v/>
      </c>
      <c r="H254" s="559" t="str">
        <f t="shared" si="25"/>
        <v/>
      </c>
      <c r="I254" s="559" t="str">
        <f t="shared" si="26"/>
        <v/>
      </c>
    </row>
    <row r="255" spans="2:9">
      <c r="B255" s="555" t="str">
        <f t="shared" si="21"/>
        <v/>
      </c>
      <c r="C255" s="556" t="str">
        <f t="shared" si="22"/>
        <v/>
      </c>
      <c r="D255" s="557" t="str">
        <f t="shared" si="23"/>
        <v/>
      </c>
      <c r="E255" s="560"/>
      <c r="F255" s="559"/>
      <c r="G255" s="559" t="str">
        <f t="shared" si="24"/>
        <v/>
      </c>
      <c r="H255" s="559" t="str">
        <f t="shared" si="25"/>
        <v/>
      </c>
      <c r="I255" s="559" t="str">
        <f t="shared" si="26"/>
        <v/>
      </c>
    </row>
    <row r="256" spans="2:9">
      <c r="B256" s="555" t="str">
        <f t="shared" si="21"/>
        <v/>
      </c>
      <c r="C256" s="556" t="str">
        <f t="shared" si="22"/>
        <v/>
      </c>
      <c r="D256" s="557" t="str">
        <f t="shared" si="23"/>
        <v/>
      </c>
      <c r="E256" s="560"/>
      <c r="F256" s="559"/>
      <c r="G256" s="559" t="str">
        <f t="shared" si="24"/>
        <v/>
      </c>
      <c r="H256" s="559" t="str">
        <f t="shared" si="25"/>
        <v/>
      </c>
      <c r="I256" s="559" t="str">
        <f t="shared" si="26"/>
        <v/>
      </c>
    </row>
    <row r="257" spans="2:9">
      <c r="B257" s="555" t="str">
        <f t="shared" si="21"/>
        <v/>
      </c>
      <c r="C257" s="556" t="str">
        <f t="shared" si="22"/>
        <v/>
      </c>
      <c r="D257" s="557" t="str">
        <f t="shared" si="23"/>
        <v/>
      </c>
      <c r="E257" s="560"/>
      <c r="F257" s="559"/>
      <c r="G257" s="559" t="str">
        <f t="shared" si="24"/>
        <v/>
      </c>
      <c r="H257" s="559" t="str">
        <f t="shared" si="25"/>
        <v/>
      </c>
      <c r="I257" s="559" t="str">
        <f t="shared" si="26"/>
        <v/>
      </c>
    </row>
    <row r="258" spans="2:9">
      <c r="B258" s="555" t="str">
        <f t="shared" si="21"/>
        <v/>
      </c>
      <c r="C258" s="556" t="str">
        <f t="shared" si="22"/>
        <v/>
      </c>
      <c r="D258" s="557" t="str">
        <f t="shared" si="23"/>
        <v/>
      </c>
      <c r="E258" s="560"/>
      <c r="F258" s="559"/>
      <c r="G258" s="559" t="str">
        <f t="shared" si="24"/>
        <v/>
      </c>
      <c r="H258" s="559" t="str">
        <f t="shared" si="25"/>
        <v/>
      </c>
      <c r="I258" s="559" t="str">
        <f t="shared" si="26"/>
        <v/>
      </c>
    </row>
    <row r="259" spans="2:9">
      <c r="B259" s="555" t="str">
        <f t="shared" si="21"/>
        <v/>
      </c>
      <c r="C259" s="556" t="str">
        <f t="shared" si="22"/>
        <v/>
      </c>
      <c r="D259" s="557" t="str">
        <f t="shared" si="23"/>
        <v/>
      </c>
      <c r="E259" s="560"/>
      <c r="F259" s="559"/>
      <c r="G259" s="559" t="str">
        <f t="shared" si="24"/>
        <v/>
      </c>
      <c r="H259" s="559" t="str">
        <f t="shared" si="25"/>
        <v/>
      </c>
      <c r="I259" s="559" t="str">
        <f t="shared" si="26"/>
        <v/>
      </c>
    </row>
    <row r="260" spans="2:9">
      <c r="B260" s="555" t="str">
        <f t="shared" si="21"/>
        <v/>
      </c>
      <c r="C260" s="556" t="str">
        <f t="shared" si="22"/>
        <v/>
      </c>
      <c r="D260" s="557" t="str">
        <f t="shared" si="23"/>
        <v/>
      </c>
      <c r="E260" s="560"/>
      <c r="F260" s="559"/>
      <c r="G260" s="559" t="str">
        <f t="shared" si="24"/>
        <v/>
      </c>
      <c r="H260" s="559" t="str">
        <f t="shared" si="25"/>
        <v/>
      </c>
      <c r="I260" s="559" t="str">
        <f t="shared" si="26"/>
        <v/>
      </c>
    </row>
    <row r="261" spans="2:9">
      <c r="B261" s="555" t="str">
        <f t="shared" si="21"/>
        <v/>
      </c>
      <c r="C261" s="556" t="str">
        <f t="shared" si="22"/>
        <v/>
      </c>
      <c r="D261" s="557" t="str">
        <f t="shared" si="23"/>
        <v/>
      </c>
      <c r="E261" s="560"/>
      <c r="F261" s="559"/>
      <c r="G261" s="559" t="str">
        <f t="shared" si="24"/>
        <v/>
      </c>
      <c r="H261" s="559" t="str">
        <f t="shared" si="25"/>
        <v/>
      </c>
      <c r="I261" s="559" t="str">
        <f t="shared" si="26"/>
        <v/>
      </c>
    </row>
    <row r="262" spans="2:9">
      <c r="B262" s="555" t="str">
        <f t="shared" si="21"/>
        <v/>
      </c>
      <c r="C262" s="556" t="str">
        <f t="shared" si="22"/>
        <v/>
      </c>
      <c r="D262" s="557" t="str">
        <f t="shared" si="23"/>
        <v/>
      </c>
      <c r="E262" s="560"/>
      <c r="F262" s="559"/>
      <c r="G262" s="559" t="str">
        <f t="shared" si="24"/>
        <v/>
      </c>
      <c r="H262" s="559" t="str">
        <f t="shared" si="25"/>
        <v/>
      </c>
      <c r="I262" s="559" t="str">
        <f t="shared" si="26"/>
        <v/>
      </c>
    </row>
    <row r="263" spans="2:9">
      <c r="B263" s="555" t="str">
        <f t="shared" si="21"/>
        <v/>
      </c>
      <c r="C263" s="556" t="str">
        <f t="shared" si="22"/>
        <v/>
      </c>
      <c r="D263" s="557" t="str">
        <f t="shared" si="23"/>
        <v/>
      </c>
      <c r="E263" s="560"/>
      <c r="F263" s="559"/>
      <c r="G263" s="559" t="str">
        <f t="shared" si="24"/>
        <v/>
      </c>
      <c r="H263" s="559" t="str">
        <f t="shared" si="25"/>
        <v/>
      </c>
      <c r="I263" s="559" t="str">
        <f t="shared" si="26"/>
        <v/>
      </c>
    </row>
    <row r="264" spans="2:9">
      <c r="B264" s="555" t="str">
        <f t="shared" si="21"/>
        <v/>
      </c>
      <c r="C264" s="556" t="str">
        <f t="shared" si="22"/>
        <v/>
      </c>
      <c r="D264" s="557" t="str">
        <f t="shared" si="23"/>
        <v/>
      </c>
      <c r="E264" s="560"/>
      <c r="F264" s="559"/>
      <c r="G264" s="559" t="str">
        <f t="shared" si="24"/>
        <v/>
      </c>
      <c r="H264" s="559" t="str">
        <f t="shared" si="25"/>
        <v/>
      </c>
      <c r="I264" s="559" t="str">
        <f t="shared" si="26"/>
        <v/>
      </c>
    </row>
    <row r="265" spans="2:9">
      <c r="B265" s="555" t="str">
        <f t="shared" si="21"/>
        <v/>
      </c>
      <c r="C265" s="556" t="str">
        <f t="shared" si="22"/>
        <v/>
      </c>
      <c r="D265" s="557" t="str">
        <f t="shared" si="23"/>
        <v/>
      </c>
      <c r="E265" s="560"/>
      <c r="F265" s="559"/>
      <c r="G265" s="559" t="str">
        <f t="shared" si="24"/>
        <v/>
      </c>
      <c r="H265" s="559" t="str">
        <f t="shared" si="25"/>
        <v/>
      </c>
      <c r="I265" s="559" t="str">
        <f t="shared" si="26"/>
        <v/>
      </c>
    </row>
    <row r="266" spans="2:9">
      <c r="B266" s="555" t="str">
        <f t="shared" si="21"/>
        <v/>
      </c>
      <c r="C266" s="556" t="str">
        <f t="shared" si="22"/>
        <v/>
      </c>
      <c r="D266" s="557" t="str">
        <f t="shared" si="23"/>
        <v/>
      </c>
      <c r="E266" s="560"/>
      <c r="F266" s="559"/>
      <c r="G266" s="559" t="str">
        <f t="shared" si="24"/>
        <v/>
      </c>
      <c r="H266" s="559" t="str">
        <f t="shared" si="25"/>
        <v/>
      </c>
      <c r="I266" s="559" t="str">
        <f t="shared" si="26"/>
        <v/>
      </c>
    </row>
    <row r="267" spans="2:9">
      <c r="B267" s="555" t="str">
        <f t="shared" si="21"/>
        <v/>
      </c>
      <c r="C267" s="556" t="str">
        <f t="shared" si="22"/>
        <v/>
      </c>
      <c r="D267" s="557" t="str">
        <f t="shared" si="23"/>
        <v/>
      </c>
      <c r="E267" s="560"/>
      <c r="F267" s="559"/>
      <c r="G267" s="559" t="str">
        <f t="shared" si="24"/>
        <v/>
      </c>
      <c r="H267" s="559" t="str">
        <f t="shared" si="25"/>
        <v/>
      </c>
      <c r="I267" s="559" t="str">
        <f t="shared" si="26"/>
        <v/>
      </c>
    </row>
    <row r="268" spans="2:9">
      <c r="B268" s="555" t="str">
        <f t="shared" si="21"/>
        <v/>
      </c>
      <c r="C268" s="556" t="str">
        <f t="shared" si="22"/>
        <v/>
      </c>
      <c r="D268" s="557" t="str">
        <f t="shared" si="23"/>
        <v/>
      </c>
      <c r="E268" s="560"/>
      <c r="F268" s="559"/>
      <c r="G268" s="559" t="str">
        <f t="shared" si="24"/>
        <v/>
      </c>
      <c r="H268" s="559" t="str">
        <f t="shared" si="25"/>
        <v/>
      </c>
      <c r="I268" s="559" t="str">
        <f t="shared" si="26"/>
        <v/>
      </c>
    </row>
    <row r="269" spans="2:9">
      <c r="B269" s="555" t="str">
        <f t="shared" si="21"/>
        <v/>
      </c>
      <c r="C269" s="556" t="str">
        <f t="shared" si="22"/>
        <v/>
      </c>
      <c r="D269" s="557" t="str">
        <f t="shared" si="23"/>
        <v/>
      </c>
      <c r="E269" s="560"/>
      <c r="F269" s="559"/>
      <c r="G269" s="559" t="str">
        <f t="shared" si="24"/>
        <v/>
      </c>
      <c r="H269" s="559" t="str">
        <f t="shared" si="25"/>
        <v/>
      </c>
      <c r="I269" s="559" t="str">
        <f t="shared" si="26"/>
        <v/>
      </c>
    </row>
    <row r="270" spans="2:9">
      <c r="B270" s="555" t="str">
        <f t="shared" si="21"/>
        <v/>
      </c>
      <c r="C270" s="556" t="str">
        <f t="shared" si="22"/>
        <v/>
      </c>
      <c r="D270" s="557" t="str">
        <f t="shared" si="23"/>
        <v/>
      </c>
      <c r="E270" s="560"/>
      <c r="F270" s="559"/>
      <c r="G270" s="559" t="str">
        <f t="shared" si="24"/>
        <v/>
      </c>
      <c r="H270" s="559" t="str">
        <f t="shared" si="25"/>
        <v/>
      </c>
      <c r="I270" s="559" t="str">
        <f t="shared" si="26"/>
        <v/>
      </c>
    </row>
    <row r="271" spans="2:9">
      <c r="B271" s="555" t="str">
        <f t="shared" si="21"/>
        <v/>
      </c>
      <c r="C271" s="556" t="str">
        <f t="shared" si="22"/>
        <v/>
      </c>
      <c r="D271" s="557" t="str">
        <f t="shared" si="23"/>
        <v/>
      </c>
      <c r="E271" s="560"/>
      <c r="F271" s="559"/>
      <c r="G271" s="559" t="str">
        <f t="shared" si="24"/>
        <v/>
      </c>
      <c r="H271" s="559" t="str">
        <f t="shared" si="25"/>
        <v/>
      </c>
      <c r="I271" s="559" t="str">
        <f t="shared" si="26"/>
        <v/>
      </c>
    </row>
    <row r="272" spans="2:9">
      <c r="B272" s="555" t="str">
        <f t="shared" si="21"/>
        <v/>
      </c>
      <c r="C272" s="556" t="str">
        <f t="shared" si="22"/>
        <v/>
      </c>
      <c r="D272" s="557" t="str">
        <f t="shared" si="23"/>
        <v/>
      </c>
      <c r="E272" s="560"/>
      <c r="F272" s="559"/>
      <c r="G272" s="559" t="str">
        <f t="shared" si="24"/>
        <v/>
      </c>
      <c r="H272" s="559" t="str">
        <f t="shared" si="25"/>
        <v/>
      </c>
      <c r="I272" s="559" t="str">
        <f t="shared" si="26"/>
        <v/>
      </c>
    </row>
    <row r="273" spans="2:9">
      <c r="B273" s="555" t="str">
        <f t="shared" si="21"/>
        <v/>
      </c>
      <c r="C273" s="556" t="str">
        <f t="shared" si="22"/>
        <v/>
      </c>
      <c r="D273" s="557" t="str">
        <f t="shared" si="23"/>
        <v/>
      </c>
      <c r="E273" s="560"/>
      <c r="F273" s="559"/>
      <c r="G273" s="559" t="str">
        <f t="shared" si="24"/>
        <v/>
      </c>
      <c r="H273" s="559" t="str">
        <f t="shared" si="25"/>
        <v/>
      </c>
      <c r="I273" s="559" t="str">
        <f t="shared" si="26"/>
        <v/>
      </c>
    </row>
    <row r="274" spans="2:9">
      <c r="B274" s="555" t="str">
        <f t="shared" si="21"/>
        <v/>
      </c>
      <c r="C274" s="556" t="str">
        <f t="shared" si="22"/>
        <v/>
      </c>
      <c r="D274" s="557" t="str">
        <f t="shared" si="23"/>
        <v/>
      </c>
      <c r="E274" s="560"/>
      <c r="F274" s="559"/>
      <c r="G274" s="559" t="str">
        <f t="shared" si="24"/>
        <v/>
      </c>
      <c r="H274" s="559" t="str">
        <f t="shared" si="25"/>
        <v/>
      </c>
      <c r="I274" s="559" t="str">
        <f t="shared" si="26"/>
        <v/>
      </c>
    </row>
    <row r="275" spans="2:9">
      <c r="B275" s="555" t="str">
        <f t="shared" si="21"/>
        <v/>
      </c>
      <c r="C275" s="556" t="str">
        <f t="shared" si="22"/>
        <v/>
      </c>
      <c r="D275" s="557" t="str">
        <f t="shared" si="23"/>
        <v/>
      </c>
      <c r="E275" s="560"/>
      <c r="F275" s="559"/>
      <c r="G275" s="559" t="str">
        <f t="shared" si="24"/>
        <v/>
      </c>
      <c r="H275" s="559" t="str">
        <f t="shared" si="25"/>
        <v/>
      </c>
      <c r="I275" s="559" t="str">
        <f t="shared" si="26"/>
        <v/>
      </c>
    </row>
    <row r="276" spans="2:9">
      <c r="B276" s="555" t="str">
        <f t="shared" si="21"/>
        <v/>
      </c>
      <c r="C276" s="556" t="str">
        <f t="shared" si="22"/>
        <v/>
      </c>
      <c r="D276" s="557" t="str">
        <f t="shared" si="23"/>
        <v/>
      </c>
      <c r="E276" s="560"/>
      <c r="F276" s="559"/>
      <c r="G276" s="559" t="str">
        <f t="shared" si="24"/>
        <v/>
      </c>
      <c r="H276" s="559" t="str">
        <f t="shared" si="25"/>
        <v/>
      </c>
      <c r="I276" s="559" t="str">
        <f t="shared" si="26"/>
        <v/>
      </c>
    </row>
    <row r="277" spans="2:9">
      <c r="B277" s="555" t="str">
        <f t="shared" si="21"/>
        <v/>
      </c>
      <c r="C277" s="556" t="str">
        <f t="shared" si="22"/>
        <v/>
      </c>
      <c r="D277" s="557" t="str">
        <f t="shared" si="23"/>
        <v/>
      </c>
      <c r="E277" s="560"/>
      <c r="F277" s="559"/>
      <c r="G277" s="559" t="str">
        <f t="shared" si="24"/>
        <v/>
      </c>
      <c r="H277" s="559" t="str">
        <f t="shared" si="25"/>
        <v/>
      </c>
      <c r="I277" s="559" t="str">
        <f t="shared" si="26"/>
        <v/>
      </c>
    </row>
    <row r="278" spans="2:9">
      <c r="B278" s="555" t="str">
        <f t="shared" si="21"/>
        <v/>
      </c>
      <c r="C278" s="556" t="str">
        <f t="shared" si="22"/>
        <v/>
      </c>
      <c r="D278" s="557" t="str">
        <f t="shared" si="23"/>
        <v/>
      </c>
      <c r="E278" s="560"/>
      <c r="F278" s="559"/>
      <c r="G278" s="559" t="str">
        <f t="shared" si="24"/>
        <v/>
      </c>
      <c r="H278" s="559" t="str">
        <f t="shared" si="25"/>
        <v/>
      </c>
      <c r="I278" s="559" t="str">
        <f t="shared" si="26"/>
        <v/>
      </c>
    </row>
    <row r="279" spans="2:9">
      <c r="B279" s="555" t="str">
        <f t="shared" si="21"/>
        <v/>
      </c>
      <c r="C279" s="556" t="str">
        <f t="shared" si="22"/>
        <v/>
      </c>
      <c r="D279" s="557" t="str">
        <f t="shared" si="23"/>
        <v/>
      </c>
      <c r="E279" s="560"/>
      <c r="F279" s="559"/>
      <c r="G279" s="559" t="str">
        <f t="shared" si="24"/>
        <v/>
      </c>
      <c r="H279" s="559" t="str">
        <f t="shared" si="25"/>
        <v/>
      </c>
      <c r="I279" s="559" t="str">
        <f t="shared" si="26"/>
        <v/>
      </c>
    </row>
    <row r="280" spans="2:9">
      <c r="B280" s="555" t="str">
        <f t="shared" si="21"/>
        <v/>
      </c>
      <c r="C280" s="556" t="str">
        <f t="shared" si="22"/>
        <v/>
      </c>
      <c r="D280" s="557" t="str">
        <f t="shared" si="23"/>
        <v/>
      </c>
      <c r="E280" s="560"/>
      <c r="F280" s="559"/>
      <c r="G280" s="559" t="str">
        <f t="shared" si="24"/>
        <v/>
      </c>
      <c r="H280" s="559" t="str">
        <f t="shared" si="25"/>
        <v/>
      </c>
      <c r="I280" s="559" t="str">
        <f t="shared" si="26"/>
        <v/>
      </c>
    </row>
    <row r="281" spans="2:9">
      <c r="B281" s="555" t="str">
        <f t="shared" si="21"/>
        <v/>
      </c>
      <c r="C281" s="556" t="str">
        <f t="shared" si="22"/>
        <v/>
      </c>
      <c r="D281" s="557" t="str">
        <f t="shared" si="23"/>
        <v/>
      </c>
      <c r="E281" s="560"/>
      <c r="F281" s="559"/>
      <c r="G281" s="559" t="str">
        <f t="shared" si="24"/>
        <v/>
      </c>
      <c r="H281" s="559" t="str">
        <f t="shared" si="25"/>
        <v/>
      </c>
      <c r="I281" s="559" t="str">
        <f t="shared" si="26"/>
        <v/>
      </c>
    </row>
    <row r="282" spans="2:9">
      <c r="B282" s="555" t="str">
        <f t="shared" si="21"/>
        <v/>
      </c>
      <c r="C282" s="556" t="str">
        <f t="shared" si="22"/>
        <v/>
      </c>
      <c r="D282" s="557" t="str">
        <f t="shared" si="23"/>
        <v/>
      </c>
      <c r="E282" s="560"/>
      <c r="F282" s="559"/>
      <c r="G282" s="559" t="str">
        <f t="shared" si="24"/>
        <v/>
      </c>
      <c r="H282" s="559" t="str">
        <f t="shared" si="25"/>
        <v/>
      </c>
      <c r="I282" s="559" t="str">
        <f t="shared" si="26"/>
        <v/>
      </c>
    </row>
    <row r="283" spans="2:9">
      <c r="B283" s="555" t="str">
        <f t="shared" si="21"/>
        <v/>
      </c>
      <c r="C283" s="556" t="str">
        <f t="shared" si="22"/>
        <v/>
      </c>
      <c r="D283" s="557" t="str">
        <f t="shared" si="23"/>
        <v/>
      </c>
      <c r="E283" s="560"/>
      <c r="F283" s="559"/>
      <c r="G283" s="559" t="str">
        <f t="shared" si="24"/>
        <v/>
      </c>
      <c r="H283" s="559" t="str">
        <f t="shared" si="25"/>
        <v/>
      </c>
      <c r="I283" s="559" t="str">
        <f t="shared" si="26"/>
        <v/>
      </c>
    </row>
    <row r="284" spans="2:9">
      <c r="B284" s="555" t="str">
        <f t="shared" si="21"/>
        <v/>
      </c>
      <c r="C284" s="556" t="str">
        <f t="shared" si="22"/>
        <v/>
      </c>
      <c r="D284" s="557" t="str">
        <f t="shared" si="23"/>
        <v/>
      </c>
      <c r="E284" s="560"/>
      <c r="F284" s="559"/>
      <c r="G284" s="559" t="str">
        <f t="shared" si="24"/>
        <v/>
      </c>
      <c r="H284" s="559" t="str">
        <f t="shared" si="25"/>
        <v/>
      </c>
      <c r="I284" s="559" t="str">
        <f t="shared" si="26"/>
        <v/>
      </c>
    </row>
    <row r="285" spans="2:9">
      <c r="B285" s="555" t="str">
        <f t="shared" si="21"/>
        <v/>
      </c>
      <c r="C285" s="556" t="str">
        <f t="shared" si="22"/>
        <v/>
      </c>
      <c r="D285" s="557" t="str">
        <f t="shared" si="23"/>
        <v/>
      </c>
      <c r="E285" s="560"/>
      <c r="F285" s="559"/>
      <c r="G285" s="559" t="str">
        <f t="shared" si="24"/>
        <v/>
      </c>
      <c r="H285" s="559" t="str">
        <f t="shared" si="25"/>
        <v/>
      </c>
      <c r="I285" s="559" t="str">
        <f t="shared" si="26"/>
        <v/>
      </c>
    </row>
    <row r="286" spans="2:9">
      <c r="B286" s="555" t="str">
        <f t="shared" si="21"/>
        <v/>
      </c>
      <c r="C286" s="556" t="str">
        <f t="shared" si="22"/>
        <v/>
      </c>
      <c r="D286" s="557" t="str">
        <f t="shared" si="23"/>
        <v/>
      </c>
      <c r="E286" s="560"/>
      <c r="F286" s="559"/>
      <c r="G286" s="559" t="str">
        <f t="shared" si="24"/>
        <v/>
      </c>
      <c r="H286" s="559" t="str">
        <f t="shared" si="25"/>
        <v/>
      </c>
      <c r="I286" s="559" t="str">
        <f t="shared" si="26"/>
        <v/>
      </c>
    </row>
    <row r="287" spans="2:9">
      <c r="B287" s="555" t="str">
        <f t="shared" si="21"/>
        <v/>
      </c>
      <c r="C287" s="556" t="str">
        <f t="shared" si="22"/>
        <v/>
      </c>
      <c r="D287" s="557" t="str">
        <f t="shared" si="23"/>
        <v/>
      </c>
      <c r="E287" s="560"/>
      <c r="F287" s="559"/>
      <c r="G287" s="559" t="str">
        <f t="shared" si="24"/>
        <v/>
      </c>
      <c r="H287" s="559" t="str">
        <f t="shared" si="25"/>
        <v/>
      </c>
      <c r="I287" s="559" t="str">
        <f t="shared" si="26"/>
        <v/>
      </c>
    </row>
    <row r="288" spans="2:9">
      <c r="B288" s="555" t="str">
        <f t="shared" si="21"/>
        <v/>
      </c>
      <c r="C288" s="556" t="str">
        <f t="shared" si="22"/>
        <v/>
      </c>
      <c r="D288" s="557" t="str">
        <f t="shared" si="23"/>
        <v/>
      </c>
      <c r="E288" s="560"/>
      <c r="F288" s="559"/>
      <c r="G288" s="559" t="str">
        <f t="shared" si="24"/>
        <v/>
      </c>
      <c r="H288" s="559" t="str">
        <f t="shared" si="25"/>
        <v/>
      </c>
      <c r="I288" s="559" t="str">
        <f t="shared" si="26"/>
        <v/>
      </c>
    </row>
    <row r="289" spans="2:9">
      <c r="B289" s="555" t="str">
        <f t="shared" si="21"/>
        <v/>
      </c>
      <c r="C289" s="556" t="str">
        <f t="shared" si="22"/>
        <v/>
      </c>
      <c r="D289" s="557" t="str">
        <f t="shared" si="23"/>
        <v/>
      </c>
      <c r="E289" s="560"/>
      <c r="F289" s="559"/>
      <c r="G289" s="559" t="str">
        <f t="shared" si="24"/>
        <v/>
      </c>
      <c r="H289" s="559" t="str">
        <f t="shared" si="25"/>
        <v/>
      </c>
      <c r="I289" s="559" t="str">
        <f t="shared" si="26"/>
        <v/>
      </c>
    </row>
    <row r="290" spans="2:9">
      <c r="B290" s="555" t="str">
        <f t="shared" si="21"/>
        <v/>
      </c>
      <c r="C290" s="556" t="str">
        <f t="shared" si="22"/>
        <v/>
      </c>
      <c r="D290" s="557" t="str">
        <f t="shared" si="23"/>
        <v/>
      </c>
      <c r="E290" s="560"/>
      <c r="F290" s="559"/>
      <c r="G290" s="559" t="str">
        <f t="shared" si="24"/>
        <v/>
      </c>
      <c r="H290" s="559" t="str">
        <f t="shared" si="25"/>
        <v/>
      </c>
      <c r="I290" s="559" t="str">
        <f t="shared" si="26"/>
        <v/>
      </c>
    </row>
    <row r="291" spans="2:9">
      <c r="B291" s="555" t="str">
        <f t="shared" si="21"/>
        <v/>
      </c>
      <c r="C291" s="556" t="str">
        <f t="shared" si="22"/>
        <v/>
      </c>
      <c r="D291" s="557" t="str">
        <f t="shared" si="23"/>
        <v/>
      </c>
      <c r="E291" s="560"/>
      <c r="F291" s="559"/>
      <c r="G291" s="559" t="str">
        <f t="shared" si="24"/>
        <v/>
      </c>
      <c r="H291" s="559" t="str">
        <f t="shared" si="25"/>
        <v/>
      </c>
      <c r="I291" s="559" t="str">
        <f t="shared" si="26"/>
        <v/>
      </c>
    </row>
    <row r="292" spans="2:9">
      <c r="B292" s="555" t="str">
        <f t="shared" si="21"/>
        <v/>
      </c>
      <c r="C292" s="556" t="str">
        <f t="shared" si="22"/>
        <v/>
      </c>
      <c r="D292" s="557" t="str">
        <f t="shared" si="23"/>
        <v/>
      </c>
      <c r="E292" s="560"/>
      <c r="F292" s="559"/>
      <c r="G292" s="559" t="str">
        <f t="shared" si="24"/>
        <v/>
      </c>
      <c r="H292" s="559" t="str">
        <f t="shared" si="25"/>
        <v/>
      </c>
      <c r="I292" s="559" t="str">
        <f t="shared" si="26"/>
        <v/>
      </c>
    </row>
    <row r="293" spans="2:9">
      <c r="B293" s="555" t="str">
        <f t="shared" si="21"/>
        <v/>
      </c>
      <c r="C293" s="556" t="str">
        <f t="shared" si="22"/>
        <v/>
      </c>
      <c r="D293" s="557" t="str">
        <f t="shared" si="23"/>
        <v/>
      </c>
      <c r="E293" s="560"/>
      <c r="F293" s="559"/>
      <c r="G293" s="559" t="str">
        <f t="shared" si="24"/>
        <v/>
      </c>
      <c r="H293" s="559" t="str">
        <f t="shared" si="25"/>
        <v/>
      </c>
      <c r="I293" s="559" t="str">
        <f t="shared" si="26"/>
        <v/>
      </c>
    </row>
    <row r="294" spans="2:9">
      <c r="B294" s="555" t="str">
        <f t="shared" si="21"/>
        <v/>
      </c>
      <c r="C294" s="556" t="str">
        <f t="shared" si="22"/>
        <v/>
      </c>
      <c r="D294" s="557" t="str">
        <f t="shared" si="23"/>
        <v/>
      </c>
      <c r="E294" s="560"/>
      <c r="F294" s="559"/>
      <c r="G294" s="559" t="str">
        <f t="shared" si="24"/>
        <v/>
      </c>
      <c r="H294" s="559" t="str">
        <f t="shared" si="25"/>
        <v/>
      </c>
      <c r="I294" s="559" t="str">
        <f t="shared" si="26"/>
        <v/>
      </c>
    </row>
    <row r="295" spans="2:9">
      <c r="B295" s="555" t="str">
        <f t="shared" si="21"/>
        <v/>
      </c>
      <c r="C295" s="556" t="str">
        <f t="shared" si="22"/>
        <v/>
      </c>
      <c r="D295" s="557" t="str">
        <f t="shared" si="23"/>
        <v/>
      </c>
      <c r="E295" s="560"/>
      <c r="F295" s="559"/>
      <c r="G295" s="559" t="str">
        <f t="shared" si="24"/>
        <v/>
      </c>
      <c r="H295" s="559" t="str">
        <f t="shared" si="25"/>
        <v/>
      </c>
      <c r="I295" s="559" t="str">
        <f t="shared" si="26"/>
        <v/>
      </c>
    </row>
    <row r="296" spans="2:9">
      <c r="B296" s="555" t="str">
        <f t="shared" si="21"/>
        <v/>
      </c>
      <c r="C296" s="556" t="str">
        <f t="shared" si="22"/>
        <v/>
      </c>
      <c r="D296" s="557" t="str">
        <f t="shared" si="23"/>
        <v/>
      </c>
      <c r="E296" s="560"/>
      <c r="F296" s="559"/>
      <c r="G296" s="559" t="str">
        <f t="shared" si="24"/>
        <v/>
      </c>
      <c r="H296" s="559" t="str">
        <f t="shared" si="25"/>
        <v/>
      </c>
      <c r="I296" s="559" t="str">
        <f t="shared" si="26"/>
        <v/>
      </c>
    </row>
    <row r="297" spans="2:9">
      <c r="B297" s="555" t="str">
        <f t="shared" si="21"/>
        <v/>
      </c>
      <c r="C297" s="556" t="str">
        <f t="shared" si="22"/>
        <v/>
      </c>
      <c r="D297" s="557" t="str">
        <f t="shared" si="23"/>
        <v/>
      </c>
      <c r="E297" s="560"/>
      <c r="F297" s="559"/>
      <c r="G297" s="559" t="str">
        <f t="shared" si="24"/>
        <v/>
      </c>
      <c r="H297" s="559" t="str">
        <f t="shared" si="25"/>
        <v/>
      </c>
      <c r="I297" s="559" t="str">
        <f t="shared" si="26"/>
        <v/>
      </c>
    </row>
    <row r="298" spans="2:9">
      <c r="B298" s="555" t="str">
        <f t="shared" si="21"/>
        <v/>
      </c>
      <c r="C298" s="556" t="str">
        <f t="shared" si="22"/>
        <v/>
      </c>
      <c r="D298" s="557" t="str">
        <f t="shared" si="23"/>
        <v/>
      </c>
      <c r="E298" s="560"/>
      <c r="F298" s="559"/>
      <c r="G298" s="559" t="str">
        <f t="shared" si="24"/>
        <v/>
      </c>
      <c r="H298" s="559" t="str">
        <f t="shared" si="25"/>
        <v/>
      </c>
      <c r="I298" s="559" t="str">
        <f t="shared" si="26"/>
        <v/>
      </c>
    </row>
    <row r="299" spans="2:9">
      <c r="B299" s="555" t="str">
        <f t="shared" si="21"/>
        <v/>
      </c>
      <c r="C299" s="556" t="str">
        <f t="shared" si="22"/>
        <v/>
      </c>
      <c r="D299" s="557" t="str">
        <f t="shared" si="23"/>
        <v/>
      </c>
      <c r="E299" s="560"/>
      <c r="F299" s="559"/>
      <c r="G299" s="559" t="str">
        <f t="shared" si="24"/>
        <v/>
      </c>
      <c r="H299" s="559" t="str">
        <f t="shared" si="25"/>
        <v/>
      </c>
      <c r="I299" s="559" t="str">
        <f t="shared" si="26"/>
        <v/>
      </c>
    </row>
    <row r="300" spans="2:9">
      <c r="B300" s="555" t="str">
        <f t="shared" si="21"/>
        <v/>
      </c>
      <c r="C300" s="556" t="str">
        <f t="shared" si="22"/>
        <v/>
      </c>
      <c r="D300" s="557" t="str">
        <f t="shared" si="23"/>
        <v/>
      </c>
      <c r="E300" s="560"/>
      <c r="F300" s="559"/>
      <c r="G300" s="559" t="str">
        <f t="shared" si="24"/>
        <v/>
      </c>
      <c r="H300" s="559" t="str">
        <f t="shared" si="25"/>
        <v/>
      </c>
      <c r="I300" s="559" t="str">
        <f t="shared" si="26"/>
        <v/>
      </c>
    </row>
    <row r="301" spans="2:9">
      <c r="B301" s="555" t="str">
        <f t="shared" si="21"/>
        <v/>
      </c>
      <c r="C301" s="556" t="str">
        <f t="shared" si="22"/>
        <v/>
      </c>
      <c r="D301" s="557" t="str">
        <f t="shared" si="23"/>
        <v/>
      </c>
      <c r="E301" s="560"/>
      <c r="F301" s="559"/>
      <c r="G301" s="559" t="str">
        <f t="shared" si="24"/>
        <v/>
      </c>
      <c r="H301" s="559" t="str">
        <f t="shared" si="25"/>
        <v/>
      </c>
      <c r="I301" s="559" t="str">
        <f t="shared" si="26"/>
        <v/>
      </c>
    </row>
    <row r="302" spans="2:9">
      <c r="B302" s="555" t="str">
        <f t="shared" si="21"/>
        <v/>
      </c>
      <c r="C302" s="556" t="str">
        <f t="shared" si="22"/>
        <v/>
      </c>
      <c r="D302" s="557" t="str">
        <f t="shared" si="23"/>
        <v/>
      </c>
      <c r="E302" s="560"/>
      <c r="F302" s="559"/>
      <c r="G302" s="559" t="str">
        <f t="shared" si="24"/>
        <v/>
      </c>
      <c r="H302" s="559" t="str">
        <f t="shared" si="25"/>
        <v/>
      </c>
      <c r="I302" s="559" t="str">
        <f t="shared" si="26"/>
        <v/>
      </c>
    </row>
    <row r="303" spans="2:9">
      <c r="B303" s="555" t="str">
        <f t="shared" si="21"/>
        <v/>
      </c>
      <c r="C303" s="556" t="str">
        <f t="shared" si="22"/>
        <v/>
      </c>
      <c r="D303" s="557" t="str">
        <f t="shared" si="23"/>
        <v/>
      </c>
      <c r="E303" s="560"/>
      <c r="F303" s="559"/>
      <c r="G303" s="559" t="str">
        <f t="shared" si="24"/>
        <v/>
      </c>
      <c r="H303" s="559" t="str">
        <f t="shared" si="25"/>
        <v/>
      </c>
      <c r="I303" s="559" t="str">
        <f t="shared" si="26"/>
        <v/>
      </c>
    </row>
    <row r="304" spans="2:9">
      <c r="B304" s="555" t="str">
        <f t="shared" si="21"/>
        <v/>
      </c>
      <c r="C304" s="556" t="str">
        <f t="shared" si="22"/>
        <v/>
      </c>
      <c r="D304" s="557" t="str">
        <f t="shared" si="23"/>
        <v/>
      </c>
      <c r="E304" s="560"/>
      <c r="F304" s="559"/>
      <c r="G304" s="559" t="str">
        <f t="shared" si="24"/>
        <v/>
      </c>
      <c r="H304" s="559" t="str">
        <f t="shared" si="25"/>
        <v/>
      </c>
      <c r="I304" s="559" t="str">
        <f t="shared" si="26"/>
        <v/>
      </c>
    </row>
    <row r="305" spans="2:9">
      <c r="B305" s="555" t="str">
        <f t="shared" si="21"/>
        <v/>
      </c>
      <c r="C305" s="556" t="str">
        <f t="shared" si="22"/>
        <v/>
      </c>
      <c r="D305" s="557" t="str">
        <f t="shared" si="23"/>
        <v/>
      </c>
      <c r="E305" s="560"/>
      <c r="F305" s="559"/>
      <c r="G305" s="559" t="str">
        <f t="shared" si="24"/>
        <v/>
      </c>
      <c r="H305" s="559" t="str">
        <f t="shared" si="25"/>
        <v/>
      </c>
      <c r="I305" s="559" t="str">
        <f t="shared" si="26"/>
        <v/>
      </c>
    </row>
    <row r="306" spans="2:9">
      <c r="B306" s="555" t="str">
        <f t="shared" si="21"/>
        <v/>
      </c>
      <c r="C306" s="556" t="str">
        <f t="shared" si="22"/>
        <v/>
      </c>
      <c r="D306" s="557" t="str">
        <f t="shared" si="23"/>
        <v/>
      </c>
      <c r="E306" s="560"/>
      <c r="F306" s="559"/>
      <c r="G306" s="559" t="str">
        <f t="shared" si="24"/>
        <v/>
      </c>
      <c r="H306" s="559" t="str">
        <f t="shared" si="25"/>
        <v/>
      </c>
      <c r="I306" s="559" t="str">
        <f t="shared" si="26"/>
        <v/>
      </c>
    </row>
    <row r="307" spans="2:9">
      <c r="B307" s="555" t="str">
        <f t="shared" si="21"/>
        <v/>
      </c>
      <c r="C307" s="556" t="str">
        <f t="shared" si="22"/>
        <v/>
      </c>
      <c r="D307" s="557" t="str">
        <f t="shared" si="23"/>
        <v/>
      </c>
      <c r="E307" s="560"/>
      <c r="F307" s="559"/>
      <c r="G307" s="559" t="str">
        <f t="shared" si="24"/>
        <v/>
      </c>
      <c r="H307" s="559" t="str">
        <f t="shared" si="25"/>
        <v/>
      </c>
      <c r="I307" s="559" t="str">
        <f t="shared" si="26"/>
        <v/>
      </c>
    </row>
    <row r="308" spans="2:9">
      <c r="B308" s="555" t="str">
        <f t="shared" si="21"/>
        <v/>
      </c>
      <c r="C308" s="556" t="str">
        <f t="shared" si="22"/>
        <v/>
      </c>
      <c r="D308" s="557" t="str">
        <f t="shared" si="23"/>
        <v/>
      </c>
      <c r="E308" s="560"/>
      <c r="F308" s="559"/>
      <c r="G308" s="559" t="str">
        <f t="shared" si="24"/>
        <v/>
      </c>
      <c r="H308" s="559" t="str">
        <f t="shared" si="25"/>
        <v/>
      </c>
      <c r="I308" s="559" t="str">
        <f t="shared" si="26"/>
        <v/>
      </c>
    </row>
    <row r="309" spans="2:9">
      <c r="B309" s="555" t="str">
        <f t="shared" si="21"/>
        <v/>
      </c>
      <c r="C309" s="556" t="str">
        <f t="shared" si="22"/>
        <v/>
      </c>
      <c r="D309" s="557" t="str">
        <f t="shared" si="23"/>
        <v/>
      </c>
      <c r="E309" s="560"/>
      <c r="F309" s="559"/>
      <c r="G309" s="559" t="str">
        <f t="shared" si="24"/>
        <v/>
      </c>
      <c r="H309" s="559" t="str">
        <f t="shared" si="25"/>
        <v/>
      </c>
      <c r="I309" s="559" t="str">
        <f t="shared" si="26"/>
        <v/>
      </c>
    </row>
    <row r="310" spans="2:9">
      <c r="B310" s="555" t="str">
        <f t="shared" si="21"/>
        <v/>
      </c>
      <c r="C310" s="556" t="str">
        <f t="shared" si="22"/>
        <v/>
      </c>
      <c r="D310" s="557" t="str">
        <f t="shared" si="23"/>
        <v/>
      </c>
      <c r="E310" s="560"/>
      <c r="F310" s="559"/>
      <c r="G310" s="559" t="str">
        <f t="shared" si="24"/>
        <v/>
      </c>
      <c r="H310" s="559" t="str">
        <f t="shared" si="25"/>
        <v/>
      </c>
      <c r="I310" s="559" t="str">
        <f t="shared" si="26"/>
        <v/>
      </c>
    </row>
    <row r="311" spans="2:9">
      <c r="B311" s="555" t="str">
        <f t="shared" si="21"/>
        <v/>
      </c>
      <c r="C311" s="556" t="str">
        <f t="shared" si="22"/>
        <v/>
      </c>
      <c r="D311" s="557" t="str">
        <f t="shared" si="23"/>
        <v/>
      </c>
      <c r="E311" s="560"/>
      <c r="F311" s="559"/>
      <c r="G311" s="559" t="str">
        <f t="shared" si="24"/>
        <v/>
      </c>
      <c r="H311" s="559" t="str">
        <f t="shared" si="25"/>
        <v/>
      </c>
      <c r="I311" s="559" t="str">
        <f t="shared" si="26"/>
        <v/>
      </c>
    </row>
    <row r="312" spans="2:9">
      <c r="B312" s="555" t="str">
        <f t="shared" si="21"/>
        <v/>
      </c>
      <c r="C312" s="556" t="str">
        <f t="shared" si="22"/>
        <v/>
      </c>
      <c r="D312" s="557" t="str">
        <f t="shared" si="23"/>
        <v/>
      </c>
      <c r="E312" s="560"/>
      <c r="F312" s="559"/>
      <c r="G312" s="559" t="str">
        <f t="shared" si="24"/>
        <v/>
      </c>
      <c r="H312" s="559" t="str">
        <f t="shared" si="25"/>
        <v/>
      </c>
      <c r="I312" s="559" t="str">
        <f t="shared" si="26"/>
        <v/>
      </c>
    </row>
    <row r="313" spans="2:9">
      <c r="B313" s="555" t="str">
        <f t="shared" si="21"/>
        <v/>
      </c>
      <c r="C313" s="556" t="str">
        <f t="shared" si="22"/>
        <v/>
      </c>
      <c r="D313" s="557" t="str">
        <f t="shared" si="23"/>
        <v/>
      </c>
      <c r="E313" s="560"/>
      <c r="F313" s="559"/>
      <c r="G313" s="559" t="str">
        <f t="shared" si="24"/>
        <v/>
      </c>
      <c r="H313" s="559" t="str">
        <f t="shared" si="25"/>
        <v/>
      </c>
      <c r="I313" s="559" t="str">
        <f t="shared" si="26"/>
        <v/>
      </c>
    </row>
    <row r="314" spans="2:9">
      <c r="B314" s="555" t="str">
        <f t="shared" si="21"/>
        <v/>
      </c>
      <c r="C314" s="556" t="str">
        <f t="shared" si="22"/>
        <v/>
      </c>
      <c r="D314" s="557" t="str">
        <f t="shared" si="23"/>
        <v/>
      </c>
      <c r="E314" s="560"/>
      <c r="F314" s="559"/>
      <c r="G314" s="559" t="str">
        <f t="shared" si="24"/>
        <v/>
      </c>
      <c r="H314" s="559" t="str">
        <f t="shared" si="25"/>
        <v/>
      </c>
      <c r="I314" s="559" t="str">
        <f t="shared" si="26"/>
        <v/>
      </c>
    </row>
    <row r="315" spans="2:9">
      <c r="B315" s="555" t="str">
        <f t="shared" si="21"/>
        <v/>
      </c>
      <c r="C315" s="556" t="str">
        <f t="shared" si="22"/>
        <v/>
      </c>
      <c r="D315" s="557" t="str">
        <f t="shared" si="23"/>
        <v/>
      </c>
      <c r="E315" s="560"/>
      <c r="F315" s="559"/>
      <c r="G315" s="559" t="str">
        <f t="shared" si="24"/>
        <v/>
      </c>
      <c r="H315" s="559" t="str">
        <f t="shared" si="25"/>
        <v/>
      </c>
      <c r="I315" s="559" t="str">
        <f t="shared" si="26"/>
        <v/>
      </c>
    </row>
    <row r="316" spans="2:9">
      <c r="B316" s="555" t="str">
        <f t="shared" si="21"/>
        <v/>
      </c>
      <c r="C316" s="556" t="str">
        <f t="shared" si="22"/>
        <v/>
      </c>
      <c r="D316" s="557" t="str">
        <f t="shared" si="23"/>
        <v/>
      </c>
      <c r="E316" s="560"/>
      <c r="F316" s="559"/>
      <c r="G316" s="559" t="str">
        <f t="shared" si="24"/>
        <v/>
      </c>
      <c r="H316" s="559" t="str">
        <f t="shared" si="25"/>
        <v/>
      </c>
      <c r="I316" s="559" t="str">
        <f t="shared" si="26"/>
        <v/>
      </c>
    </row>
    <row r="317" spans="2:9">
      <c r="B317" s="555" t="str">
        <f t="shared" ref="B317:B380" si="27">IF(I316="","",IF(roundOpt,IF(OR(B316&gt;=nper,ROUND(I316,2)&lt;=0),"",B316+1),IF(OR(B316&gt;=nper,I316&lt;=0),"",B316+1)))</f>
        <v/>
      </c>
      <c r="C317" s="556" t="str">
        <f t="shared" ref="C317:C380" si="28">IF(B317="","",IF(OR(periods_per_year=26,periods_per_year=52),IF(periods_per_year=26,IF(B317=1,fpdate,C316+14),IF(periods_per_year=52,IF(B317=1,fpdate,C316+7),"n/a")),IF(periods_per_year=24,DATE(YEAR(fpdate),MONTH(fpdate)+(B317-1)/2+IF(AND(DAY(fpdate)&gt;=15,MOD(B317,2)=0),1,0),IF(MOD(B317,2)=0,IF(DAY(fpdate)&gt;=15,DAY(fpdate)-14,DAY(fpdate)+14),DAY(fpdate))),IF(DAY(DATE(YEAR(fpdate),MONTH(fpdate)+(B317-1)*months_per_period,DAY(fpdate)))&lt;&gt;DAY(fpdate),DATE(YEAR(fpdate),MONTH(fpdate)+(B317-1)*months_per_period+1,0),DATE(YEAR(fpdate),MONTH(fpdate)+(B317-1)*months_per_period,DAY(fpdate))))))</f>
        <v/>
      </c>
      <c r="D317" s="557" t="str">
        <f t="shared" ref="D317:D380" si="29">IF(B317="","",IF(roundOpt,IF(OR(B317=nper,payment&gt;ROUND((1+rate)*I316,2)),ROUND((1+rate)*I316,2),payment),IF(OR(B317=nper,payment&gt;(1+rate)*I316),(1+rate)*I316,payment)))</f>
        <v/>
      </c>
      <c r="E317" s="560"/>
      <c r="F317" s="559"/>
      <c r="G317" s="559" t="str">
        <f t="shared" ref="G317:G380" si="30">IF(B317="","",IF(AND(B317=1,pmtType=1),0,IF(roundOpt,ROUND(rate*I316,2),rate*I316)))</f>
        <v/>
      </c>
      <c r="H317" s="559" t="str">
        <f t="shared" ref="H317:H380" si="31">IF(B317="","",D317-G317+E317)</f>
        <v/>
      </c>
      <c r="I317" s="559" t="str">
        <f t="shared" ref="I317:I380" si="32">IF(B317="","",I316-H317)</f>
        <v/>
      </c>
    </row>
    <row r="318" spans="2:9">
      <c r="B318" s="555" t="str">
        <f t="shared" si="27"/>
        <v/>
      </c>
      <c r="C318" s="556" t="str">
        <f t="shared" si="28"/>
        <v/>
      </c>
      <c r="D318" s="557" t="str">
        <f t="shared" si="29"/>
        <v/>
      </c>
      <c r="E318" s="560"/>
      <c r="F318" s="559"/>
      <c r="G318" s="559" t="str">
        <f t="shared" si="30"/>
        <v/>
      </c>
      <c r="H318" s="559" t="str">
        <f t="shared" si="31"/>
        <v/>
      </c>
      <c r="I318" s="559" t="str">
        <f t="shared" si="32"/>
        <v/>
      </c>
    </row>
    <row r="319" spans="2:9">
      <c r="B319" s="555" t="str">
        <f t="shared" si="27"/>
        <v/>
      </c>
      <c r="C319" s="556" t="str">
        <f t="shared" si="28"/>
        <v/>
      </c>
      <c r="D319" s="557" t="str">
        <f t="shared" si="29"/>
        <v/>
      </c>
      <c r="E319" s="560"/>
      <c r="F319" s="559"/>
      <c r="G319" s="559" t="str">
        <f t="shared" si="30"/>
        <v/>
      </c>
      <c r="H319" s="559" t="str">
        <f t="shared" si="31"/>
        <v/>
      </c>
      <c r="I319" s="559" t="str">
        <f t="shared" si="32"/>
        <v/>
      </c>
    </row>
    <row r="320" spans="2:9">
      <c r="B320" s="555" t="str">
        <f t="shared" si="27"/>
        <v/>
      </c>
      <c r="C320" s="556" t="str">
        <f t="shared" si="28"/>
        <v/>
      </c>
      <c r="D320" s="557" t="str">
        <f t="shared" si="29"/>
        <v/>
      </c>
      <c r="E320" s="560"/>
      <c r="F320" s="559"/>
      <c r="G320" s="559" t="str">
        <f t="shared" si="30"/>
        <v/>
      </c>
      <c r="H320" s="559" t="str">
        <f t="shared" si="31"/>
        <v/>
      </c>
      <c r="I320" s="559" t="str">
        <f t="shared" si="32"/>
        <v/>
      </c>
    </row>
    <row r="321" spans="2:9">
      <c r="B321" s="555" t="str">
        <f t="shared" si="27"/>
        <v/>
      </c>
      <c r="C321" s="556" t="str">
        <f t="shared" si="28"/>
        <v/>
      </c>
      <c r="D321" s="557" t="str">
        <f t="shared" si="29"/>
        <v/>
      </c>
      <c r="E321" s="560"/>
      <c r="F321" s="559"/>
      <c r="G321" s="559" t="str">
        <f t="shared" si="30"/>
        <v/>
      </c>
      <c r="H321" s="559" t="str">
        <f t="shared" si="31"/>
        <v/>
      </c>
      <c r="I321" s="559" t="str">
        <f t="shared" si="32"/>
        <v/>
      </c>
    </row>
    <row r="322" spans="2:9">
      <c r="B322" s="555" t="str">
        <f t="shared" si="27"/>
        <v/>
      </c>
      <c r="C322" s="556" t="str">
        <f t="shared" si="28"/>
        <v/>
      </c>
      <c r="D322" s="557" t="str">
        <f t="shared" si="29"/>
        <v/>
      </c>
      <c r="E322" s="560"/>
      <c r="F322" s="559"/>
      <c r="G322" s="559" t="str">
        <f t="shared" si="30"/>
        <v/>
      </c>
      <c r="H322" s="559" t="str">
        <f t="shared" si="31"/>
        <v/>
      </c>
      <c r="I322" s="559" t="str">
        <f t="shared" si="32"/>
        <v/>
      </c>
    </row>
    <row r="323" spans="2:9">
      <c r="B323" s="555" t="str">
        <f t="shared" si="27"/>
        <v/>
      </c>
      <c r="C323" s="556" t="str">
        <f t="shared" si="28"/>
        <v/>
      </c>
      <c r="D323" s="557" t="str">
        <f t="shared" si="29"/>
        <v/>
      </c>
      <c r="E323" s="560"/>
      <c r="F323" s="559"/>
      <c r="G323" s="559" t="str">
        <f t="shared" si="30"/>
        <v/>
      </c>
      <c r="H323" s="559" t="str">
        <f t="shared" si="31"/>
        <v/>
      </c>
      <c r="I323" s="559" t="str">
        <f t="shared" si="32"/>
        <v/>
      </c>
    </row>
    <row r="324" spans="2:9">
      <c r="B324" s="555" t="str">
        <f t="shared" si="27"/>
        <v/>
      </c>
      <c r="C324" s="556" t="str">
        <f t="shared" si="28"/>
        <v/>
      </c>
      <c r="D324" s="557" t="str">
        <f t="shared" si="29"/>
        <v/>
      </c>
      <c r="E324" s="560"/>
      <c r="F324" s="559"/>
      <c r="G324" s="559" t="str">
        <f t="shared" si="30"/>
        <v/>
      </c>
      <c r="H324" s="559" t="str">
        <f t="shared" si="31"/>
        <v/>
      </c>
      <c r="I324" s="559" t="str">
        <f t="shared" si="32"/>
        <v/>
      </c>
    </row>
    <row r="325" spans="2:9">
      <c r="B325" s="555" t="str">
        <f t="shared" si="27"/>
        <v/>
      </c>
      <c r="C325" s="556" t="str">
        <f t="shared" si="28"/>
        <v/>
      </c>
      <c r="D325" s="557" t="str">
        <f t="shared" si="29"/>
        <v/>
      </c>
      <c r="E325" s="560"/>
      <c r="F325" s="559"/>
      <c r="G325" s="559" t="str">
        <f t="shared" si="30"/>
        <v/>
      </c>
      <c r="H325" s="559" t="str">
        <f t="shared" si="31"/>
        <v/>
      </c>
      <c r="I325" s="559" t="str">
        <f t="shared" si="32"/>
        <v/>
      </c>
    </row>
    <row r="326" spans="2:9">
      <c r="B326" s="555" t="str">
        <f t="shared" si="27"/>
        <v/>
      </c>
      <c r="C326" s="556" t="str">
        <f t="shared" si="28"/>
        <v/>
      </c>
      <c r="D326" s="557" t="str">
        <f t="shared" si="29"/>
        <v/>
      </c>
      <c r="E326" s="560"/>
      <c r="F326" s="559"/>
      <c r="G326" s="559" t="str">
        <f t="shared" si="30"/>
        <v/>
      </c>
      <c r="H326" s="559" t="str">
        <f t="shared" si="31"/>
        <v/>
      </c>
      <c r="I326" s="559" t="str">
        <f t="shared" si="32"/>
        <v/>
      </c>
    </row>
    <row r="327" spans="2:9">
      <c r="B327" s="555" t="str">
        <f t="shared" si="27"/>
        <v/>
      </c>
      <c r="C327" s="556" t="str">
        <f t="shared" si="28"/>
        <v/>
      </c>
      <c r="D327" s="557" t="str">
        <f t="shared" si="29"/>
        <v/>
      </c>
      <c r="E327" s="560"/>
      <c r="F327" s="559"/>
      <c r="G327" s="559" t="str">
        <f t="shared" si="30"/>
        <v/>
      </c>
      <c r="H327" s="559" t="str">
        <f t="shared" si="31"/>
        <v/>
      </c>
      <c r="I327" s="559" t="str">
        <f t="shared" si="32"/>
        <v/>
      </c>
    </row>
    <row r="328" spans="2:9">
      <c r="B328" s="555" t="str">
        <f t="shared" si="27"/>
        <v/>
      </c>
      <c r="C328" s="556" t="str">
        <f t="shared" si="28"/>
        <v/>
      </c>
      <c r="D328" s="557" t="str">
        <f t="shared" si="29"/>
        <v/>
      </c>
      <c r="E328" s="560"/>
      <c r="F328" s="559"/>
      <c r="G328" s="559" t="str">
        <f t="shared" si="30"/>
        <v/>
      </c>
      <c r="H328" s="559" t="str">
        <f t="shared" si="31"/>
        <v/>
      </c>
      <c r="I328" s="559" t="str">
        <f t="shared" si="32"/>
        <v/>
      </c>
    </row>
    <row r="329" spans="2:9">
      <c r="B329" s="555" t="str">
        <f t="shared" si="27"/>
        <v/>
      </c>
      <c r="C329" s="556" t="str">
        <f t="shared" si="28"/>
        <v/>
      </c>
      <c r="D329" s="557" t="str">
        <f t="shared" si="29"/>
        <v/>
      </c>
      <c r="E329" s="560"/>
      <c r="F329" s="559"/>
      <c r="G329" s="559" t="str">
        <f t="shared" si="30"/>
        <v/>
      </c>
      <c r="H329" s="559" t="str">
        <f t="shared" si="31"/>
        <v/>
      </c>
      <c r="I329" s="559" t="str">
        <f t="shared" si="32"/>
        <v/>
      </c>
    </row>
    <row r="330" spans="2:9">
      <c r="B330" s="555" t="str">
        <f t="shared" si="27"/>
        <v/>
      </c>
      <c r="C330" s="556" t="str">
        <f t="shared" si="28"/>
        <v/>
      </c>
      <c r="D330" s="557" t="str">
        <f t="shared" si="29"/>
        <v/>
      </c>
      <c r="E330" s="560"/>
      <c r="F330" s="559"/>
      <c r="G330" s="559" t="str">
        <f t="shared" si="30"/>
        <v/>
      </c>
      <c r="H330" s="559" t="str">
        <f t="shared" si="31"/>
        <v/>
      </c>
      <c r="I330" s="559" t="str">
        <f t="shared" si="32"/>
        <v/>
      </c>
    </row>
    <row r="331" spans="2:9">
      <c r="B331" s="555" t="str">
        <f t="shared" si="27"/>
        <v/>
      </c>
      <c r="C331" s="556" t="str">
        <f t="shared" si="28"/>
        <v/>
      </c>
      <c r="D331" s="557" t="str">
        <f t="shared" si="29"/>
        <v/>
      </c>
      <c r="E331" s="560"/>
      <c r="F331" s="559"/>
      <c r="G331" s="559" t="str">
        <f t="shared" si="30"/>
        <v/>
      </c>
      <c r="H331" s="559" t="str">
        <f t="shared" si="31"/>
        <v/>
      </c>
      <c r="I331" s="559" t="str">
        <f t="shared" si="32"/>
        <v/>
      </c>
    </row>
    <row r="332" spans="2:9">
      <c r="B332" s="555" t="str">
        <f t="shared" si="27"/>
        <v/>
      </c>
      <c r="C332" s="556" t="str">
        <f t="shared" si="28"/>
        <v/>
      </c>
      <c r="D332" s="557" t="str">
        <f t="shared" si="29"/>
        <v/>
      </c>
      <c r="E332" s="560"/>
      <c r="F332" s="559"/>
      <c r="G332" s="559" t="str">
        <f t="shared" si="30"/>
        <v/>
      </c>
      <c r="H332" s="559" t="str">
        <f t="shared" si="31"/>
        <v/>
      </c>
      <c r="I332" s="559" t="str">
        <f t="shared" si="32"/>
        <v/>
      </c>
    </row>
    <row r="333" spans="2:9">
      <c r="B333" s="555" t="str">
        <f t="shared" si="27"/>
        <v/>
      </c>
      <c r="C333" s="556" t="str">
        <f t="shared" si="28"/>
        <v/>
      </c>
      <c r="D333" s="557" t="str">
        <f t="shared" si="29"/>
        <v/>
      </c>
      <c r="E333" s="560"/>
      <c r="F333" s="559"/>
      <c r="G333" s="559" t="str">
        <f t="shared" si="30"/>
        <v/>
      </c>
      <c r="H333" s="559" t="str">
        <f t="shared" si="31"/>
        <v/>
      </c>
      <c r="I333" s="559" t="str">
        <f t="shared" si="32"/>
        <v/>
      </c>
    </row>
    <row r="334" spans="2:9">
      <c r="B334" s="555" t="str">
        <f t="shared" si="27"/>
        <v/>
      </c>
      <c r="C334" s="556" t="str">
        <f t="shared" si="28"/>
        <v/>
      </c>
      <c r="D334" s="557" t="str">
        <f t="shared" si="29"/>
        <v/>
      </c>
      <c r="E334" s="560"/>
      <c r="F334" s="559"/>
      <c r="G334" s="559" t="str">
        <f t="shared" si="30"/>
        <v/>
      </c>
      <c r="H334" s="559" t="str">
        <f t="shared" si="31"/>
        <v/>
      </c>
      <c r="I334" s="559" t="str">
        <f t="shared" si="32"/>
        <v/>
      </c>
    </row>
    <row r="335" spans="2:9">
      <c r="B335" s="555" t="str">
        <f t="shared" si="27"/>
        <v/>
      </c>
      <c r="C335" s="556" t="str">
        <f t="shared" si="28"/>
        <v/>
      </c>
      <c r="D335" s="557" t="str">
        <f t="shared" si="29"/>
        <v/>
      </c>
      <c r="E335" s="560"/>
      <c r="F335" s="559"/>
      <c r="G335" s="559" t="str">
        <f t="shared" si="30"/>
        <v/>
      </c>
      <c r="H335" s="559" t="str">
        <f t="shared" si="31"/>
        <v/>
      </c>
      <c r="I335" s="559" t="str">
        <f t="shared" si="32"/>
        <v/>
      </c>
    </row>
    <row r="336" spans="2:9">
      <c r="B336" s="555" t="str">
        <f t="shared" si="27"/>
        <v/>
      </c>
      <c r="C336" s="556" t="str">
        <f t="shared" si="28"/>
        <v/>
      </c>
      <c r="D336" s="557" t="str">
        <f t="shared" si="29"/>
        <v/>
      </c>
      <c r="E336" s="560"/>
      <c r="F336" s="559"/>
      <c r="G336" s="559" t="str">
        <f t="shared" si="30"/>
        <v/>
      </c>
      <c r="H336" s="559" t="str">
        <f t="shared" si="31"/>
        <v/>
      </c>
      <c r="I336" s="559" t="str">
        <f t="shared" si="32"/>
        <v/>
      </c>
    </row>
    <row r="337" spans="2:9">
      <c r="B337" s="555" t="str">
        <f t="shared" si="27"/>
        <v/>
      </c>
      <c r="C337" s="556" t="str">
        <f t="shared" si="28"/>
        <v/>
      </c>
      <c r="D337" s="557" t="str">
        <f t="shared" si="29"/>
        <v/>
      </c>
      <c r="E337" s="560"/>
      <c r="F337" s="559"/>
      <c r="G337" s="559" t="str">
        <f t="shared" si="30"/>
        <v/>
      </c>
      <c r="H337" s="559" t="str">
        <f t="shared" si="31"/>
        <v/>
      </c>
      <c r="I337" s="559" t="str">
        <f t="shared" si="32"/>
        <v/>
      </c>
    </row>
    <row r="338" spans="2:9">
      <c r="B338" s="555" t="str">
        <f t="shared" si="27"/>
        <v/>
      </c>
      <c r="C338" s="556" t="str">
        <f t="shared" si="28"/>
        <v/>
      </c>
      <c r="D338" s="557" t="str">
        <f t="shared" si="29"/>
        <v/>
      </c>
      <c r="E338" s="560"/>
      <c r="F338" s="559"/>
      <c r="G338" s="559" t="str">
        <f t="shared" si="30"/>
        <v/>
      </c>
      <c r="H338" s="559" t="str">
        <f t="shared" si="31"/>
        <v/>
      </c>
      <c r="I338" s="559" t="str">
        <f t="shared" si="32"/>
        <v/>
      </c>
    </row>
    <row r="339" spans="2:9">
      <c r="B339" s="555" t="str">
        <f t="shared" si="27"/>
        <v/>
      </c>
      <c r="C339" s="556" t="str">
        <f t="shared" si="28"/>
        <v/>
      </c>
      <c r="D339" s="557" t="str">
        <f t="shared" si="29"/>
        <v/>
      </c>
      <c r="E339" s="560"/>
      <c r="F339" s="559"/>
      <c r="G339" s="559" t="str">
        <f t="shared" si="30"/>
        <v/>
      </c>
      <c r="H339" s="559" t="str">
        <f t="shared" si="31"/>
        <v/>
      </c>
      <c r="I339" s="559" t="str">
        <f t="shared" si="32"/>
        <v/>
      </c>
    </row>
    <row r="340" spans="2:9">
      <c r="B340" s="555" t="str">
        <f t="shared" si="27"/>
        <v/>
      </c>
      <c r="C340" s="556" t="str">
        <f t="shared" si="28"/>
        <v/>
      </c>
      <c r="D340" s="557" t="str">
        <f t="shared" si="29"/>
        <v/>
      </c>
      <c r="E340" s="560"/>
      <c r="F340" s="559"/>
      <c r="G340" s="559" t="str">
        <f t="shared" si="30"/>
        <v/>
      </c>
      <c r="H340" s="559" t="str">
        <f t="shared" si="31"/>
        <v/>
      </c>
      <c r="I340" s="559" t="str">
        <f t="shared" si="32"/>
        <v/>
      </c>
    </row>
    <row r="341" spans="2:9">
      <c r="B341" s="555" t="str">
        <f t="shared" si="27"/>
        <v/>
      </c>
      <c r="C341" s="556" t="str">
        <f t="shared" si="28"/>
        <v/>
      </c>
      <c r="D341" s="557" t="str">
        <f t="shared" si="29"/>
        <v/>
      </c>
      <c r="E341" s="560"/>
      <c r="F341" s="559"/>
      <c r="G341" s="559" t="str">
        <f t="shared" si="30"/>
        <v/>
      </c>
      <c r="H341" s="559" t="str">
        <f t="shared" si="31"/>
        <v/>
      </c>
      <c r="I341" s="559" t="str">
        <f t="shared" si="32"/>
        <v/>
      </c>
    </row>
    <row r="342" spans="2:9">
      <c r="B342" s="555" t="str">
        <f t="shared" si="27"/>
        <v/>
      </c>
      <c r="C342" s="556" t="str">
        <f t="shared" si="28"/>
        <v/>
      </c>
      <c r="D342" s="557" t="str">
        <f t="shared" si="29"/>
        <v/>
      </c>
      <c r="E342" s="560"/>
      <c r="F342" s="559"/>
      <c r="G342" s="559" t="str">
        <f t="shared" si="30"/>
        <v/>
      </c>
      <c r="H342" s="559" t="str">
        <f t="shared" si="31"/>
        <v/>
      </c>
      <c r="I342" s="559" t="str">
        <f t="shared" si="32"/>
        <v/>
      </c>
    </row>
    <row r="343" spans="2:9">
      <c r="B343" s="555" t="str">
        <f t="shared" si="27"/>
        <v/>
      </c>
      <c r="C343" s="556" t="str">
        <f t="shared" si="28"/>
        <v/>
      </c>
      <c r="D343" s="557" t="str">
        <f t="shared" si="29"/>
        <v/>
      </c>
      <c r="E343" s="560"/>
      <c r="F343" s="559"/>
      <c r="G343" s="559" t="str">
        <f t="shared" si="30"/>
        <v/>
      </c>
      <c r="H343" s="559" t="str">
        <f t="shared" si="31"/>
        <v/>
      </c>
      <c r="I343" s="559" t="str">
        <f t="shared" si="32"/>
        <v/>
      </c>
    </row>
    <row r="344" spans="2:9">
      <c r="B344" s="555" t="str">
        <f t="shared" si="27"/>
        <v/>
      </c>
      <c r="C344" s="556" t="str">
        <f t="shared" si="28"/>
        <v/>
      </c>
      <c r="D344" s="557" t="str">
        <f t="shared" si="29"/>
        <v/>
      </c>
      <c r="E344" s="560"/>
      <c r="F344" s="559"/>
      <c r="G344" s="559" t="str">
        <f t="shared" si="30"/>
        <v/>
      </c>
      <c r="H344" s="559" t="str">
        <f t="shared" si="31"/>
        <v/>
      </c>
      <c r="I344" s="559" t="str">
        <f t="shared" si="32"/>
        <v/>
      </c>
    </row>
    <row r="345" spans="2:9">
      <c r="B345" s="555" t="str">
        <f t="shared" si="27"/>
        <v/>
      </c>
      <c r="C345" s="556" t="str">
        <f t="shared" si="28"/>
        <v/>
      </c>
      <c r="D345" s="557" t="str">
        <f t="shared" si="29"/>
        <v/>
      </c>
      <c r="E345" s="560"/>
      <c r="F345" s="559"/>
      <c r="G345" s="559" t="str">
        <f t="shared" si="30"/>
        <v/>
      </c>
      <c r="H345" s="559" t="str">
        <f t="shared" si="31"/>
        <v/>
      </c>
      <c r="I345" s="559" t="str">
        <f t="shared" si="32"/>
        <v/>
      </c>
    </row>
    <row r="346" spans="2:9">
      <c r="B346" s="555" t="str">
        <f t="shared" si="27"/>
        <v/>
      </c>
      <c r="C346" s="556" t="str">
        <f t="shared" si="28"/>
        <v/>
      </c>
      <c r="D346" s="557" t="str">
        <f t="shared" si="29"/>
        <v/>
      </c>
      <c r="E346" s="560"/>
      <c r="F346" s="559"/>
      <c r="G346" s="559" t="str">
        <f t="shared" si="30"/>
        <v/>
      </c>
      <c r="H346" s="559" t="str">
        <f t="shared" si="31"/>
        <v/>
      </c>
      <c r="I346" s="559" t="str">
        <f t="shared" si="32"/>
        <v/>
      </c>
    </row>
    <row r="347" spans="2:9">
      <c r="B347" s="555" t="str">
        <f t="shared" si="27"/>
        <v/>
      </c>
      <c r="C347" s="556" t="str">
        <f t="shared" si="28"/>
        <v/>
      </c>
      <c r="D347" s="557" t="str">
        <f t="shared" si="29"/>
        <v/>
      </c>
      <c r="E347" s="560"/>
      <c r="F347" s="559"/>
      <c r="G347" s="559" t="str">
        <f t="shared" si="30"/>
        <v/>
      </c>
      <c r="H347" s="559" t="str">
        <f t="shared" si="31"/>
        <v/>
      </c>
      <c r="I347" s="559" t="str">
        <f t="shared" si="32"/>
        <v/>
      </c>
    </row>
    <row r="348" spans="2:9">
      <c r="B348" s="555" t="str">
        <f t="shared" si="27"/>
        <v/>
      </c>
      <c r="C348" s="556" t="str">
        <f t="shared" si="28"/>
        <v/>
      </c>
      <c r="D348" s="557" t="str">
        <f t="shared" si="29"/>
        <v/>
      </c>
      <c r="E348" s="560"/>
      <c r="F348" s="559"/>
      <c r="G348" s="559" t="str">
        <f t="shared" si="30"/>
        <v/>
      </c>
      <c r="H348" s="559" t="str">
        <f t="shared" si="31"/>
        <v/>
      </c>
      <c r="I348" s="559" t="str">
        <f t="shared" si="32"/>
        <v/>
      </c>
    </row>
    <row r="349" spans="2:9">
      <c r="B349" s="555" t="str">
        <f t="shared" si="27"/>
        <v/>
      </c>
      <c r="C349" s="556" t="str">
        <f t="shared" si="28"/>
        <v/>
      </c>
      <c r="D349" s="557" t="str">
        <f t="shared" si="29"/>
        <v/>
      </c>
      <c r="E349" s="560"/>
      <c r="F349" s="559"/>
      <c r="G349" s="559" t="str">
        <f t="shared" si="30"/>
        <v/>
      </c>
      <c r="H349" s="559" t="str">
        <f t="shared" si="31"/>
        <v/>
      </c>
      <c r="I349" s="559" t="str">
        <f t="shared" si="32"/>
        <v/>
      </c>
    </row>
    <row r="350" spans="2:9">
      <c r="B350" s="555" t="str">
        <f t="shared" si="27"/>
        <v/>
      </c>
      <c r="C350" s="556" t="str">
        <f t="shared" si="28"/>
        <v/>
      </c>
      <c r="D350" s="557" t="str">
        <f t="shared" si="29"/>
        <v/>
      </c>
      <c r="E350" s="560"/>
      <c r="F350" s="559"/>
      <c r="G350" s="559" t="str">
        <f t="shared" si="30"/>
        <v/>
      </c>
      <c r="H350" s="559" t="str">
        <f t="shared" si="31"/>
        <v/>
      </c>
      <c r="I350" s="559" t="str">
        <f t="shared" si="32"/>
        <v/>
      </c>
    </row>
    <row r="351" spans="2:9">
      <c r="B351" s="555" t="str">
        <f t="shared" si="27"/>
        <v/>
      </c>
      <c r="C351" s="556" t="str">
        <f t="shared" si="28"/>
        <v/>
      </c>
      <c r="D351" s="557" t="str">
        <f t="shared" si="29"/>
        <v/>
      </c>
      <c r="E351" s="560"/>
      <c r="F351" s="559"/>
      <c r="G351" s="559" t="str">
        <f t="shared" si="30"/>
        <v/>
      </c>
      <c r="H351" s="559" t="str">
        <f t="shared" si="31"/>
        <v/>
      </c>
      <c r="I351" s="559" t="str">
        <f t="shared" si="32"/>
        <v/>
      </c>
    </row>
    <row r="352" spans="2:9">
      <c r="B352" s="555" t="str">
        <f t="shared" si="27"/>
        <v/>
      </c>
      <c r="C352" s="556" t="str">
        <f t="shared" si="28"/>
        <v/>
      </c>
      <c r="D352" s="557" t="str">
        <f t="shared" si="29"/>
        <v/>
      </c>
      <c r="E352" s="560"/>
      <c r="F352" s="559"/>
      <c r="G352" s="559" t="str">
        <f t="shared" si="30"/>
        <v/>
      </c>
      <c r="H352" s="559" t="str">
        <f t="shared" si="31"/>
        <v/>
      </c>
      <c r="I352" s="559" t="str">
        <f t="shared" si="32"/>
        <v/>
      </c>
    </row>
    <row r="353" spans="2:9">
      <c r="B353" s="555" t="str">
        <f t="shared" si="27"/>
        <v/>
      </c>
      <c r="C353" s="556" t="str">
        <f t="shared" si="28"/>
        <v/>
      </c>
      <c r="D353" s="557" t="str">
        <f t="shared" si="29"/>
        <v/>
      </c>
      <c r="E353" s="560"/>
      <c r="F353" s="559"/>
      <c r="G353" s="559" t="str">
        <f t="shared" si="30"/>
        <v/>
      </c>
      <c r="H353" s="559" t="str">
        <f t="shared" si="31"/>
        <v/>
      </c>
      <c r="I353" s="559" t="str">
        <f t="shared" si="32"/>
        <v/>
      </c>
    </row>
    <row r="354" spans="2:9">
      <c r="B354" s="555" t="str">
        <f t="shared" si="27"/>
        <v/>
      </c>
      <c r="C354" s="556" t="str">
        <f t="shared" si="28"/>
        <v/>
      </c>
      <c r="D354" s="557" t="str">
        <f t="shared" si="29"/>
        <v/>
      </c>
      <c r="E354" s="560"/>
      <c r="F354" s="559"/>
      <c r="G354" s="559" t="str">
        <f t="shared" si="30"/>
        <v/>
      </c>
      <c r="H354" s="559" t="str">
        <f t="shared" si="31"/>
        <v/>
      </c>
      <c r="I354" s="559" t="str">
        <f t="shared" si="32"/>
        <v/>
      </c>
    </row>
    <row r="355" spans="2:9">
      <c r="B355" s="555" t="str">
        <f t="shared" si="27"/>
        <v/>
      </c>
      <c r="C355" s="556" t="str">
        <f t="shared" si="28"/>
        <v/>
      </c>
      <c r="D355" s="557" t="str">
        <f t="shared" si="29"/>
        <v/>
      </c>
      <c r="E355" s="560"/>
      <c r="F355" s="559"/>
      <c r="G355" s="559" t="str">
        <f t="shared" si="30"/>
        <v/>
      </c>
      <c r="H355" s="559" t="str">
        <f t="shared" si="31"/>
        <v/>
      </c>
      <c r="I355" s="559" t="str">
        <f t="shared" si="32"/>
        <v/>
      </c>
    </row>
    <row r="356" spans="2:9">
      <c r="B356" s="555" t="str">
        <f t="shared" si="27"/>
        <v/>
      </c>
      <c r="C356" s="556" t="str">
        <f t="shared" si="28"/>
        <v/>
      </c>
      <c r="D356" s="557" t="str">
        <f t="shared" si="29"/>
        <v/>
      </c>
      <c r="E356" s="560"/>
      <c r="F356" s="559"/>
      <c r="G356" s="559" t="str">
        <f t="shared" si="30"/>
        <v/>
      </c>
      <c r="H356" s="559" t="str">
        <f t="shared" si="31"/>
        <v/>
      </c>
      <c r="I356" s="559" t="str">
        <f t="shared" si="32"/>
        <v/>
      </c>
    </row>
    <row r="357" spans="2:9">
      <c r="B357" s="555" t="str">
        <f t="shared" si="27"/>
        <v/>
      </c>
      <c r="C357" s="556" t="str">
        <f t="shared" si="28"/>
        <v/>
      </c>
      <c r="D357" s="557" t="str">
        <f t="shared" si="29"/>
        <v/>
      </c>
      <c r="E357" s="560"/>
      <c r="F357" s="559"/>
      <c r="G357" s="559" t="str">
        <f t="shared" si="30"/>
        <v/>
      </c>
      <c r="H357" s="559" t="str">
        <f t="shared" si="31"/>
        <v/>
      </c>
      <c r="I357" s="559" t="str">
        <f t="shared" si="32"/>
        <v/>
      </c>
    </row>
    <row r="358" spans="2:9">
      <c r="B358" s="555" t="str">
        <f t="shared" si="27"/>
        <v/>
      </c>
      <c r="C358" s="556" t="str">
        <f t="shared" si="28"/>
        <v/>
      </c>
      <c r="D358" s="557" t="str">
        <f t="shared" si="29"/>
        <v/>
      </c>
      <c r="E358" s="560"/>
      <c r="F358" s="559"/>
      <c r="G358" s="559" t="str">
        <f t="shared" si="30"/>
        <v/>
      </c>
      <c r="H358" s="559" t="str">
        <f t="shared" si="31"/>
        <v/>
      </c>
      <c r="I358" s="559" t="str">
        <f t="shared" si="32"/>
        <v/>
      </c>
    </row>
    <row r="359" spans="2:9">
      <c r="B359" s="555" t="str">
        <f t="shared" si="27"/>
        <v/>
      </c>
      <c r="C359" s="556" t="str">
        <f t="shared" si="28"/>
        <v/>
      </c>
      <c r="D359" s="557" t="str">
        <f t="shared" si="29"/>
        <v/>
      </c>
      <c r="E359" s="560"/>
      <c r="F359" s="559"/>
      <c r="G359" s="559" t="str">
        <f t="shared" si="30"/>
        <v/>
      </c>
      <c r="H359" s="559" t="str">
        <f t="shared" si="31"/>
        <v/>
      </c>
      <c r="I359" s="559" t="str">
        <f t="shared" si="32"/>
        <v/>
      </c>
    </row>
    <row r="360" spans="2:9">
      <c r="B360" s="555" t="str">
        <f t="shared" si="27"/>
        <v/>
      </c>
      <c r="C360" s="556" t="str">
        <f t="shared" si="28"/>
        <v/>
      </c>
      <c r="D360" s="557" t="str">
        <f t="shared" si="29"/>
        <v/>
      </c>
      <c r="E360" s="560"/>
      <c r="F360" s="559"/>
      <c r="G360" s="559" t="str">
        <f t="shared" si="30"/>
        <v/>
      </c>
      <c r="H360" s="559" t="str">
        <f t="shared" si="31"/>
        <v/>
      </c>
      <c r="I360" s="559" t="str">
        <f t="shared" si="32"/>
        <v/>
      </c>
    </row>
    <row r="361" spans="2:9">
      <c r="B361" s="555" t="str">
        <f t="shared" si="27"/>
        <v/>
      </c>
      <c r="C361" s="556" t="str">
        <f t="shared" si="28"/>
        <v/>
      </c>
      <c r="D361" s="557" t="str">
        <f t="shared" si="29"/>
        <v/>
      </c>
      <c r="E361" s="560"/>
      <c r="F361" s="559"/>
      <c r="G361" s="559" t="str">
        <f t="shared" si="30"/>
        <v/>
      </c>
      <c r="H361" s="559" t="str">
        <f t="shared" si="31"/>
        <v/>
      </c>
      <c r="I361" s="559" t="str">
        <f t="shared" si="32"/>
        <v/>
      </c>
    </row>
    <row r="362" spans="2:9">
      <c r="B362" s="555" t="str">
        <f t="shared" si="27"/>
        <v/>
      </c>
      <c r="C362" s="556" t="str">
        <f t="shared" si="28"/>
        <v/>
      </c>
      <c r="D362" s="557" t="str">
        <f t="shared" si="29"/>
        <v/>
      </c>
      <c r="E362" s="560"/>
      <c r="F362" s="559"/>
      <c r="G362" s="559" t="str">
        <f t="shared" si="30"/>
        <v/>
      </c>
      <c r="H362" s="559" t="str">
        <f t="shared" si="31"/>
        <v/>
      </c>
      <c r="I362" s="559" t="str">
        <f t="shared" si="32"/>
        <v/>
      </c>
    </row>
    <row r="363" spans="2:9">
      <c r="B363" s="555" t="str">
        <f t="shared" si="27"/>
        <v/>
      </c>
      <c r="C363" s="556" t="str">
        <f t="shared" si="28"/>
        <v/>
      </c>
      <c r="D363" s="557" t="str">
        <f t="shared" si="29"/>
        <v/>
      </c>
      <c r="E363" s="560"/>
      <c r="F363" s="559"/>
      <c r="G363" s="559" t="str">
        <f t="shared" si="30"/>
        <v/>
      </c>
      <c r="H363" s="559" t="str">
        <f t="shared" si="31"/>
        <v/>
      </c>
      <c r="I363" s="559" t="str">
        <f t="shared" si="32"/>
        <v/>
      </c>
    </row>
    <row r="364" spans="2:9">
      <c r="B364" s="555" t="str">
        <f t="shared" si="27"/>
        <v/>
      </c>
      <c r="C364" s="556" t="str">
        <f t="shared" si="28"/>
        <v/>
      </c>
      <c r="D364" s="557" t="str">
        <f t="shared" si="29"/>
        <v/>
      </c>
      <c r="E364" s="560"/>
      <c r="F364" s="559"/>
      <c r="G364" s="559" t="str">
        <f t="shared" si="30"/>
        <v/>
      </c>
      <c r="H364" s="559" t="str">
        <f t="shared" si="31"/>
        <v/>
      </c>
      <c r="I364" s="559" t="str">
        <f t="shared" si="32"/>
        <v/>
      </c>
    </row>
    <row r="365" spans="2:9">
      <c r="B365" s="555" t="str">
        <f t="shared" si="27"/>
        <v/>
      </c>
      <c r="C365" s="556" t="str">
        <f t="shared" si="28"/>
        <v/>
      </c>
      <c r="D365" s="557" t="str">
        <f t="shared" si="29"/>
        <v/>
      </c>
      <c r="E365" s="560"/>
      <c r="F365" s="559"/>
      <c r="G365" s="559" t="str">
        <f t="shared" si="30"/>
        <v/>
      </c>
      <c r="H365" s="559" t="str">
        <f t="shared" si="31"/>
        <v/>
      </c>
      <c r="I365" s="559" t="str">
        <f t="shared" si="32"/>
        <v/>
      </c>
    </row>
    <row r="366" spans="2:9">
      <c r="B366" s="555" t="str">
        <f t="shared" si="27"/>
        <v/>
      </c>
      <c r="C366" s="556" t="str">
        <f t="shared" si="28"/>
        <v/>
      </c>
      <c r="D366" s="557" t="str">
        <f t="shared" si="29"/>
        <v/>
      </c>
      <c r="E366" s="560"/>
      <c r="F366" s="559"/>
      <c r="G366" s="559" t="str">
        <f t="shared" si="30"/>
        <v/>
      </c>
      <c r="H366" s="559" t="str">
        <f t="shared" si="31"/>
        <v/>
      </c>
      <c r="I366" s="559" t="str">
        <f t="shared" si="32"/>
        <v/>
      </c>
    </row>
    <row r="367" spans="2:9">
      <c r="B367" s="555" t="str">
        <f t="shared" si="27"/>
        <v/>
      </c>
      <c r="C367" s="556" t="str">
        <f t="shared" si="28"/>
        <v/>
      </c>
      <c r="D367" s="557" t="str">
        <f t="shared" si="29"/>
        <v/>
      </c>
      <c r="E367" s="560"/>
      <c r="F367" s="559"/>
      <c r="G367" s="559" t="str">
        <f t="shared" si="30"/>
        <v/>
      </c>
      <c r="H367" s="559" t="str">
        <f t="shared" si="31"/>
        <v/>
      </c>
      <c r="I367" s="559" t="str">
        <f t="shared" si="32"/>
        <v/>
      </c>
    </row>
    <row r="368" spans="2:9">
      <c r="B368" s="555" t="str">
        <f t="shared" si="27"/>
        <v/>
      </c>
      <c r="C368" s="556" t="str">
        <f t="shared" si="28"/>
        <v/>
      </c>
      <c r="D368" s="557" t="str">
        <f t="shared" si="29"/>
        <v/>
      </c>
      <c r="E368" s="560"/>
      <c r="F368" s="559"/>
      <c r="G368" s="559" t="str">
        <f t="shared" si="30"/>
        <v/>
      </c>
      <c r="H368" s="559" t="str">
        <f t="shared" si="31"/>
        <v/>
      </c>
      <c r="I368" s="559" t="str">
        <f t="shared" si="32"/>
        <v/>
      </c>
    </row>
    <row r="369" spans="2:9">
      <c r="B369" s="555" t="str">
        <f t="shared" si="27"/>
        <v/>
      </c>
      <c r="C369" s="556" t="str">
        <f t="shared" si="28"/>
        <v/>
      </c>
      <c r="D369" s="557" t="str">
        <f t="shared" si="29"/>
        <v/>
      </c>
      <c r="E369" s="560"/>
      <c r="F369" s="559"/>
      <c r="G369" s="559" t="str">
        <f t="shared" si="30"/>
        <v/>
      </c>
      <c r="H369" s="559" t="str">
        <f t="shared" si="31"/>
        <v/>
      </c>
      <c r="I369" s="559" t="str">
        <f t="shared" si="32"/>
        <v/>
      </c>
    </row>
    <row r="370" spans="2:9">
      <c r="B370" s="555" t="str">
        <f t="shared" si="27"/>
        <v/>
      </c>
      <c r="C370" s="556" t="str">
        <f t="shared" si="28"/>
        <v/>
      </c>
      <c r="D370" s="557" t="str">
        <f t="shared" si="29"/>
        <v/>
      </c>
      <c r="E370" s="560"/>
      <c r="F370" s="559"/>
      <c r="G370" s="559" t="str">
        <f t="shared" si="30"/>
        <v/>
      </c>
      <c r="H370" s="559" t="str">
        <f t="shared" si="31"/>
        <v/>
      </c>
      <c r="I370" s="559" t="str">
        <f t="shared" si="32"/>
        <v/>
      </c>
    </row>
    <row r="371" spans="2:9">
      <c r="B371" s="555" t="str">
        <f t="shared" si="27"/>
        <v/>
      </c>
      <c r="C371" s="556" t="str">
        <f t="shared" si="28"/>
        <v/>
      </c>
      <c r="D371" s="557" t="str">
        <f t="shared" si="29"/>
        <v/>
      </c>
      <c r="E371" s="560"/>
      <c r="F371" s="559"/>
      <c r="G371" s="559" t="str">
        <f t="shared" si="30"/>
        <v/>
      </c>
      <c r="H371" s="559" t="str">
        <f t="shared" si="31"/>
        <v/>
      </c>
      <c r="I371" s="559" t="str">
        <f t="shared" si="32"/>
        <v/>
      </c>
    </row>
    <row r="372" spans="2:9">
      <c r="B372" s="555" t="str">
        <f t="shared" si="27"/>
        <v/>
      </c>
      <c r="C372" s="556" t="str">
        <f t="shared" si="28"/>
        <v/>
      </c>
      <c r="D372" s="557" t="str">
        <f t="shared" si="29"/>
        <v/>
      </c>
      <c r="E372" s="560"/>
      <c r="F372" s="559"/>
      <c r="G372" s="559" t="str">
        <f t="shared" si="30"/>
        <v/>
      </c>
      <c r="H372" s="559" t="str">
        <f t="shared" si="31"/>
        <v/>
      </c>
      <c r="I372" s="559" t="str">
        <f t="shared" si="32"/>
        <v/>
      </c>
    </row>
    <row r="373" spans="2:9">
      <c r="B373" s="555" t="str">
        <f t="shared" si="27"/>
        <v/>
      </c>
      <c r="C373" s="556" t="str">
        <f t="shared" si="28"/>
        <v/>
      </c>
      <c r="D373" s="557" t="str">
        <f t="shared" si="29"/>
        <v/>
      </c>
      <c r="E373" s="560"/>
      <c r="F373" s="559"/>
      <c r="G373" s="559" t="str">
        <f t="shared" si="30"/>
        <v/>
      </c>
      <c r="H373" s="559" t="str">
        <f t="shared" si="31"/>
        <v/>
      </c>
      <c r="I373" s="559" t="str">
        <f t="shared" si="32"/>
        <v/>
      </c>
    </row>
    <row r="374" spans="2:9">
      <c r="B374" s="555" t="str">
        <f t="shared" si="27"/>
        <v/>
      </c>
      <c r="C374" s="556" t="str">
        <f t="shared" si="28"/>
        <v/>
      </c>
      <c r="D374" s="557" t="str">
        <f t="shared" si="29"/>
        <v/>
      </c>
      <c r="E374" s="560"/>
      <c r="F374" s="559"/>
      <c r="G374" s="559" t="str">
        <f t="shared" si="30"/>
        <v/>
      </c>
      <c r="H374" s="559" t="str">
        <f t="shared" si="31"/>
        <v/>
      </c>
      <c r="I374" s="559" t="str">
        <f t="shared" si="32"/>
        <v/>
      </c>
    </row>
    <row r="375" spans="2:9">
      <c r="B375" s="555" t="str">
        <f t="shared" si="27"/>
        <v/>
      </c>
      <c r="C375" s="556" t="str">
        <f t="shared" si="28"/>
        <v/>
      </c>
      <c r="D375" s="557" t="str">
        <f t="shared" si="29"/>
        <v/>
      </c>
      <c r="E375" s="560"/>
      <c r="F375" s="559"/>
      <c r="G375" s="559" t="str">
        <f t="shared" si="30"/>
        <v/>
      </c>
      <c r="H375" s="559" t="str">
        <f t="shared" si="31"/>
        <v/>
      </c>
      <c r="I375" s="559" t="str">
        <f t="shared" si="32"/>
        <v/>
      </c>
    </row>
    <row r="376" spans="2:9">
      <c r="B376" s="555" t="str">
        <f t="shared" si="27"/>
        <v/>
      </c>
      <c r="C376" s="556" t="str">
        <f t="shared" si="28"/>
        <v/>
      </c>
      <c r="D376" s="557" t="str">
        <f t="shared" si="29"/>
        <v/>
      </c>
      <c r="E376" s="560"/>
      <c r="F376" s="559"/>
      <c r="G376" s="559" t="str">
        <f t="shared" si="30"/>
        <v/>
      </c>
      <c r="H376" s="559" t="str">
        <f t="shared" si="31"/>
        <v/>
      </c>
      <c r="I376" s="559" t="str">
        <f t="shared" si="32"/>
        <v/>
      </c>
    </row>
    <row r="377" spans="2:9">
      <c r="B377" s="555" t="str">
        <f t="shared" si="27"/>
        <v/>
      </c>
      <c r="C377" s="556" t="str">
        <f t="shared" si="28"/>
        <v/>
      </c>
      <c r="D377" s="557" t="str">
        <f t="shared" si="29"/>
        <v/>
      </c>
      <c r="E377" s="560"/>
      <c r="F377" s="559"/>
      <c r="G377" s="559" t="str">
        <f t="shared" si="30"/>
        <v/>
      </c>
      <c r="H377" s="559" t="str">
        <f t="shared" si="31"/>
        <v/>
      </c>
      <c r="I377" s="559" t="str">
        <f t="shared" si="32"/>
        <v/>
      </c>
    </row>
    <row r="378" spans="2:9">
      <c r="B378" s="555" t="str">
        <f t="shared" si="27"/>
        <v/>
      </c>
      <c r="C378" s="556" t="str">
        <f t="shared" si="28"/>
        <v/>
      </c>
      <c r="D378" s="557" t="str">
        <f t="shared" si="29"/>
        <v/>
      </c>
      <c r="E378" s="560"/>
      <c r="F378" s="559"/>
      <c r="G378" s="559" t="str">
        <f t="shared" si="30"/>
        <v/>
      </c>
      <c r="H378" s="559" t="str">
        <f t="shared" si="31"/>
        <v/>
      </c>
      <c r="I378" s="559" t="str">
        <f t="shared" si="32"/>
        <v/>
      </c>
    </row>
    <row r="379" spans="2:9">
      <c r="B379" s="555" t="str">
        <f t="shared" si="27"/>
        <v/>
      </c>
      <c r="C379" s="556" t="str">
        <f t="shared" si="28"/>
        <v/>
      </c>
      <c r="D379" s="557" t="str">
        <f t="shared" si="29"/>
        <v/>
      </c>
      <c r="E379" s="560"/>
      <c r="F379" s="559"/>
      <c r="G379" s="559" t="str">
        <f t="shared" si="30"/>
        <v/>
      </c>
      <c r="H379" s="559" t="str">
        <f t="shared" si="31"/>
        <v/>
      </c>
      <c r="I379" s="559" t="str">
        <f t="shared" si="32"/>
        <v/>
      </c>
    </row>
    <row r="380" spans="2:9">
      <c r="B380" s="555" t="str">
        <f t="shared" si="27"/>
        <v/>
      </c>
      <c r="C380" s="556" t="str">
        <f t="shared" si="28"/>
        <v/>
      </c>
      <c r="D380" s="557" t="str">
        <f t="shared" si="29"/>
        <v/>
      </c>
      <c r="E380" s="560"/>
      <c r="F380" s="559"/>
      <c r="G380" s="559" t="str">
        <f t="shared" si="30"/>
        <v/>
      </c>
      <c r="H380" s="559" t="str">
        <f t="shared" si="31"/>
        <v/>
      </c>
      <c r="I380" s="559" t="str">
        <f t="shared" si="32"/>
        <v/>
      </c>
    </row>
    <row r="381" spans="2:9">
      <c r="B381" s="555" t="str">
        <f t="shared" ref="B381:B444" si="33">IF(I380="","",IF(roundOpt,IF(OR(B380&gt;=nper,ROUND(I380,2)&lt;=0),"",B380+1),IF(OR(B380&gt;=nper,I380&lt;=0),"",B380+1)))</f>
        <v/>
      </c>
      <c r="C381" s="556" t="str">
        <f t="shared" ref="C381:C444" si="34">IF(B381="","",IF(OR(periods_per_year=26,periods_per_year=52),IF(periods_per_year=26,IF(B381=1,fpdate,C380+14),IF(periods_per_year=52,IF(B381=1,fpdate,C380+7),"n/a")),IF(periods_per_year=24,DATE(YEAR(fpdate),MONTH(fpdate)+(B381-1)/2+IF(AND(DAY(fpdate)&gt;=15,MOD(B381,2)=0),1,0),IF(MOD(B381,2)=0,IF(DAY(fpdate)&gt;=15,DAY(fpdate)-14,DAY(fpdate)+14),DAY(fpdate))),IF(DAY(DATE(YEAR(fpdate),MONTH(fpdate)+(B381-1)*months_per_period,DAY(fpdate)))&lt;&gt;DAY(fpdate),DATE(YEAR(fpdate),MONTH(fpdate)+(B381-1)*months_per_period+1,0),DATE(YEAR(fpdate),MONTH(fpdate)+(B381-1)*months_per_period,DAY(fpdate))))))</f>
        <v/>
      </c>
      <c r="D381" s="557" t="str">
        <f t="shared" ref="D381:D444" si="35">IF(B381="","",IF(roundOpt,IF(OR(B381=nper,payment&gt;ROUND((1+rate)*I380,2)),ROUND((1+rate)*I380,2),payment),IF(OR(B381=nper,payment&gt;(1+rate)*I380),(1+rate)*I380,payment)))</f>
        <v/>
      </c>
      <c r="E381" s="560"/>
      <c r="F381" s="559"/>
      <c r="G381" s="559" t="str">
        <f t="shared" ref="G381:G444" si="36">IF(B381="","",IF(AND(B381=1,pmtType=1),0,IF(roundOpt,ROUND(rate*I380,2),rate*I380)))</f>
        <v/>
      </c>
      <c r="H381" s="559" t="str">
        <f t="shared" ref="H381:H444" si="37">IF(B381="","",D381-G381+E381)</f>
        <v/>
      </c>
      <c r="I381" s="559" t="str">
        <f t="shared" ref="I381:I444" si="38">IF(B381="","",I380-H381)</f>
        <v/>
      </c>
    </row>
    <row r="382" spans="2:9">
      <c r="B382" s="555" t="str">
        <f t="shared" si="33"/>
        <v/>
      </c>
      <c r="C382" s="556" t="str">
        <f t="shared" si="34"/>
        <v/>
      </c>
      <c r="D382" s="557" t="str">
        <f t="shared" si="35"/>
        <v/>
      </c>
      <c r="E382" s="560"/>
      <c r="F382" s="559"/>
      <c r="G382" s="559" t="str">
        <f t="shared" si="36"/>
        <v/>
      </c>
      <c r="H382" s="559" t="str">
        <f t="shared" si="37"/>
        <v/>
      </c>
      <c r="I382" s="559" t="str">
        <f t="shared" si="38"/>
        <v/>
      </c>
    </row>
    <row r="383" spans="2:9">
      <c r="B383" s="555" t="str">
        <f t="shared" si="33"/>
        <v/>
      </c>
      <c r="C383" s="556" t="str">
        <f t="shared" si="34"/>
        <v/>
      </c>
      <c r="D383" s="557" t="str">
        <f t="shared" si="35"/>
        <v/>
      </c>
      <c r="E383" s="560"/>
      <c r="F383" s="559"/>
      <c r="G383" s="559" t="str">
        <f t="shared" si="36"/>
        <v/>
      </c>
      <c r="H383" s="559" t="str">
        <f t="shared" si="37"/>
        <v/>
      </c>
      <c r="I383" s="559" t="str">
        <f t="shared" si="38"/>
        <v/>
      </c>
    </row>
    <row r="384" spans="2:9">
      <c r="B384" s="555" t="str">
        <f t="shared" si="33"/>
        <v/>
      </c>
      <c r="C384" s="556" t="str">
        <f t="shared" si="34"/>
        <v/>
      </c>
      <c r="D384" s="557" t="str">
        <f t="shared" si="35"/>
        <v/>
      </c>
      <c r="E384" s="560"/>
      <c r="F384" s="559"/>
      <c r="G384" s="559" t="str">
        <f t="shared" si="36"/>
        <v/>
      </c>
      <c r="H384" s="559" t="str">
        <f t="shared" si="37"/>
        <v/>
      </c>
      <c r="I384" s="559" t="str">
        <f t="shared" si="38"/>
        <v/>
      </c>
    </row>
    <row r="385" spans="2:9">
      <c r="B385" s="555" t="str">
        <f t="shared" si="33"/>
        <v/>
      </c>
      <c r="C385" s="556" t="str">
        <f t="shared" si="34"/>
        <v/>
      </c>
      <c r="D385" s="557" t="str">
        <f t="shared" si="35"/>
        <v/>
      </c>
      <c r="E385" s="560"/>
      <c r="F385" s="559"/>
      <c r="G385" s="559" t="str">
        <f t="shared" si="36"/>
        <v/>
      </c>
      <c r="H385" s="559" t="str">
        <f t="shared" si="37"/>
        <v/>
      </c>
      <c r="I385" s="559" t="str">
        <f t="shared" si="38"/>
        <v/>
      </c>
    </row>
    <row r="386" spans="2:9">
      <c r="B386" s="555" t="str">
        <f t="shared" si="33"/>
        <v/>
      </c>
      <c r="C386" s="556" t="str">
        <f t="shared" si="34"/>
        <v/>
      </c>
      <c r="D386" s="557" t="str">
        <f t="shared" si="35"/>
        <v/>
      </c>
      <c r="E386" s="560"/>
      <c r="F386" s="559"/>
      <c r="G386" s="559" t="str">
        <f t="shared" si="36"/>
        <v/>
      </c>
      <c r="H386" s="559" t="str">
        <f t="shared" si="37"/>
        <v/>
      </c>
      <c r="I386" s="559" t="str">
        <f t="shared" si="38"/>
        <v/>
      </c>
    </row>
    <row r="387" spans="2:9">
      <c r="B387" s="555" t="str">
        <f t="shared" si="33"/>
        <v/>
      </c>
      <c r="C387" s="556" t="str">
        <f t="shared" si="34"/>
        <v/>
      </c>
      <c r="D387" s="557" t="str">
        <f t="shared" si="35"/>
        <v/>
      </c>
      <c r="E387" s="560"/>
      <c r="F387" s="559"/>
      <c r="G387" s="559" t="str">
        <f t="shared" si="36"/>
        <v/>
      </c>
      <c r="H387" s="559" t="str">
        <f t="shared" si="37"/>
        <v/>
      </c>
      <c r="I387" s="559" t="str">
        <f t="shared" si="38"/>
        <v/>
      </c>
    </row>
    <row r="388" spans="2:9">
      <c r="B388" s="555" t="str">
        <f t="shared" si="33"/>
        <v/>
      </c>
      <c r="C388" s="556" t="str">
        <f t="shared" si="34"/>
        <v/>
      </c>
      <c r="D388" s="557" t="str">
        <f t="shared" si="35"/>
        <v/>
      </c>
      <c r="E388" s="560"/>
      <c r="F388" s="559"/>
      <c r="G388" s="559" t="str">
        <f t="shared" si="36"/>
        <v/>
      </c>
      <c r="H388" s="559" t="str">
        <f t="shared" si="37"/>
        <v/>
      </c>
      <c r="I388" s="559" t="str">
        <f t="shared" si="38"/>
        <v/>
      </c>
    </row>
    <row r="389" spans="2:9">
      <c r="B389" s="555" t="str">
        <f t="shared" si="33"/>
        <v/>
      </c>
      <c r="C389" s="556" t="str">
        <f t="shared" si="34"/>
        <v/>
      </c>
      <c r="D389" s="557" t="str">
        <f t="shared" si="35"/>
        <v/>
      </c>
      <c r="E389" s="560"/>
      <c r="F389" s="559"/>
      <c r="G389" s="559" t="str">
        <f t="shared" si="36"/>
        <v/>
      </c>
      <c r="H389" s="559" t="str">
        <f t="shared" si="37"/>
        <v/>
      </c>
      <c r="I389" s="559" t="str">
        <f t="shared" si="38"/>
        <v/>
      </c>
    </row>
    <row r="390" spans="2:9">
      <c r="B390" s="555" t="str">
        <f t="shared" si="33"/>
        <v/>
      </c>
      <c r="C390" s="556" t="str">
        <f t="shared" si="34"/>
        <v/>
      </c>
      <c r="D390" s="557" t="str">
        <f t="shared" si="35"/>
        <v/>
      </c>
      <c r="E390" s="560"/>
      <c r="F390" s="559"/>
      <c r="G390" s="559" t="str">
        <f t="shared" si="36"/>
        <v/>
      </c>
      <c r="H390" s="559" t="str">
        <f t="shared" si="37"/>
        <v/>
      </c>
      <c r="I390" s="559" t="str">
        <f t="shared" si="38"/>
        <v/>
      </c>
    </row>
    <row r="391" spans="2:9">
      <c r="B391" s="555" t="str">
        <f t="shared" si="33"/>
        <v/>
      </c>
      <c r="C391" s="556" t="str">
        <f t="shared" si="34"/>
        <v/>
      </c>
      <c r="D391" s="557" t="str">
        <f t="shared" si="35"/>
        <v/>
      </c>
      <c r="E391" s="560"/>
      <c r="F391" s="559"/>
      <c r="G391" s="559" t="str">
        <f t="shared" si="36"/>
        <v/>
      </c>
      <c r="H391" s="559" t="str">
        <f t="shared" si="37"/>
        <v/>
      </c>
      <c r="I391" s="559" t="str">
        <f t="shared" si="38"/>
        <v/>
      </c>
    </row>
    <row r="392" spans="2:9">
      <c r="B392" s="555" t="str">
        <f t="shared" si="33"/>
        <v/>
      </c>
      <c r="C392" s="556" t="str">
        <f t="shared" si="34"/>
        <v/>
      </c>
      <c r="D392" s="557" t="str">
        <f t="shared" si="35"/>
        <v/>
      </c>
      <c r="E392" s="560"/>
      <c r="F392" s="559"/>
      <c r="G392" s="559" t="str">
        <f t="shared" si="36"/>
        <v/>
      </c>
      <c r="H392" s="559" t="str">
        <f t="shared" si="37"/>
        <v/>
      </c>
      <c r="I392" s="559" t="str">
        <f t="shared" si="38"/>
        <v/>
      </c>
    </row>
    <row r="393" spans="2:9">
      <c r="B393" s="555" t="str">
        <f t="shared" si="33"/>
        <v/>
      </c>
      <c r="C393" s="556" t="str">
        <f t="shared" si="34"/>
        <v/>
      </c>
      <c r="D393" s="557" t="str">
        <f t="shared" si="35"/>
        <v/>
      </c>
      <c r="E393" s="560"/>
      <c r="F393" s="559"/>
      <c r="G393" s="559" t="str">
        <f t="shared" si="36"/>
        <v/>
      </c>
      <c r="H393" s="559" t="str">
        <f t="shared" si="37"/>
        <v/>
      </c>
      <c r="I393" s="559" t="str">
        <f t="shared" si="38"/>
        <v/>
      </c>
    </row>
    <row r="394" spans="2:9">
      <c r="B394" s="555" t="str">
        <f t="shared" si="33"/>
        <v/>
      </c>
      <c r="C394" s="556" t="str">
        <f t="shared" si="34"/>
        <v/>
      </c>
      <c r="D394" s="557" t="str">
        <f t="shared" si="35"/>
        <v/>
      </c>
      <c r="E394" s="560"/>
      <c r="F394" s="559"/>
      <c r="G394" s="559" t="str">
        <f t="shared" si="36"/>
        <v/>
      </c>
      <c r="H394" s="559" t="str">
        <f t="shared" si="37"/>
        <v/>
      </c>
      <c r="I394" s="559" t="str">
        <f t="shared" si="38"/>
        <v/>
      </c>
    </row>
    <row r="395" spans="2:9">
      <c r="B395" s="555" t="str">
        <f t="shared" si="33"/>
        <v/>
      </c>
      <c r="C395" s="556" t="str">
        <f t="shared" si="34"/>
        <v/>
      </c>
      <c r="D395" s="557" t="str">
        <f t="shared" si="35"/>
        <v/>
      </c>
      <c r="E395" s="560"/>
      <c r="F395" s="559"/>
      <c r="G395" s="559" t="str">
        <f t="shared" si="36"/>
        <v/>
      </c>
      <c r="H395" s="559" t="str">
        <f t="shared" si="37"/>
        <v/>
      </c>
      <c r="I395" s="559" t="str">
        <f t="shared" si="38"/>
        <v/>
      </c>
    </row>
    <row r="396" spans="2:9">
      <c r="B396" s="555" t="str">
        <f t="shared" si="33"/>
        <v/>
      </c>
      <c r="C396" s="556" t="str">
        <f t="shared" si="34"/>
        <v/>
      </c>
      <c r="D396" s="557" t="str">
        <f t="shared" si="35"/>
        <v/>
      </c>
      <c r="E396" s="560"/>
      <c r="F396" s="559"/>
      <c r="G396" s="559" t="str">
        <f t="shared" si="36"/>
        <v/>
      </c>
      <c r="H396" s="559" t="str">
        <f t="shared" si="37"/>
        <v/>
      </c>
      <c r="I396" s="559" t="str">
        <f t="shared" si="38"/>
        <v/>
      </c>
    </row>
    <row r="397" spans="2:9">
      <c r="B397" s="555" t="str">
        <f t="shared" si="33"/>
        <v/>
      </c>
      <c r="C397" s="556" t="str">
        <f t="shared" si="34"/>
        <v/>
      </c>
      <c r="D397" s="557" t="str">
        <f t="shared" si="35"/>
        <v/>
      </c>
      <c r="E397" s="560"/>
      <c r="F397" s="559"/>
      <c r="G397" s="559" t="str">
        <f t="shared" si="36"/>
        <v/>
      </c>
      <c r="H397" s="559" t="str">
        <f t="shared" si="37"/>
        <v/>
      </c>
      <c r="I397" s="559" t="str">
        <f t="shared" si="38"/>
        <v/>
      </c>
    </row>
    <row r="398" spans="2:9">
      <c r="B398" s="555" t="str">
        <f t="shared" si="33"/>
        <v/>
      </c>
      <c r="C398" s="556" t="str">
        <f t="shared" si="34"/>
        <v/>
      </c>
      <c r="D398" s="557" t="str">
        <f t="shared" si="35"/>
        <v/>
      </c>
      <c r="E398" s="560"/>
      <c r="F398" s="559"/>
      <c r="G398" s="559" t="str">
        <f t="shared" si="36"/>
        <v/>
      </c>
      <c r="H398" s="559" t="str">
        <f t="shared" si="37"/>
        <v/>
      </c>
      <c r="I398" s="559" t="str">
        <f t="shared" si="38"/>
        <v/>
      </c>
    </row>
    <row r="399" spans="2:9">
      <c r="B399" s="555" t="str">
        <f t="shared" si="33"/>
        <v/>
      </c>
      <c r="C399" s="556" t="str">
        <f t="shared" si="34"/>
        <v/>
      </c>
      <c r="D399" s="557" t="str">
        <f t="shared" si="35"/>
        <v/>
      </c>
      <c r="E399" s="560"/>
      <c r="F399" s="559"/>
      <c r="G399" s="559" t="str">
        <f t="shared" si="36"/>
        <v/>
      </c>
      <c r="H399" s="559" t="str">
        <f t="shared" si="37"/>
        <v/>
      </c>
      <c r="I399" s="559" t="str">
        <f t="shared" si="38"/>
        <v/>
      </c>
    </row>
    <row r="400" spans="2:9">
      <c r="B400" s="555" t="str">
        <f t="shared" si="33"/>
        <v/>
      </c>
      <c r="C400" s="556" t="str">
        <f t="shared" si="34"/>
        <v/>
      </c>
      <c r="D400" s="557" t="str">
        <f t="shared" si="35"/>
        <v/>
      </c>
      <c r="E400" s="560"/>
      <c r="F400" s="559"/>
      <c r="G400" s="559" t="str">
        <f t="shared" si="36"/>
        <v/>
      </c>
      <c r="H400" s="559" t="str">
        <f t="shared" si="37"/>
        <v/>
      </c>
      <c r="I400" s="559" t="str">
        <f t="shared" si="38"/>
        <v/>
      </c>
    </row>
    <row r="401" spans="2:9">
      <c r="B401" s="555" t="str">
        <f t="shared" si="33"/>
        <v/>
      </c>
      <c r="C401" s="556" t="str">
        <f t="shared" si="34"/>
        <v/>
      </c>
      <c r="D401" s="557" t="str">
        <f t="shared" si="35"/>
        <v/>
      </c>
      <c r="E401" s="560"/>
      <c r="F401" s="559"/>
      <c r="G401" s="559" t="str">
        <f t="shared" si="36"/>
        <v/>
      </c>
      <c r="H401" s="559" t="str">
        <f t="shared" si="37"/>
        <v/>
      </c>
      <c r="I401" s="559" t="str">
        <f t="shared" si="38"/>
        <v/>
      </c>
    </row>
    <row r="402" spans="2:9">
      <c r="B402" s="555" t="str">
        <f t="shared" si="33"/>
        <v/>
      </c>
      <c r="C402" s="556" t="str">
        <f t="shared" si="34"/>
        <v/>
      </c>
      <c r="D402" s="557" t="str">
        <f t="shared" si="35"/>
        <v/>
      </c>
      <c r="E402" s="560"/>
      <c r="F402" s="559"/>
      <c r="G402" s="559" t="str">
        <f t="shared" si="36"/>
        <v/>
      </c>
      <c r="H402" s="559" t="str">
        <f t="shared" si="37"/>
        <v/>
      </c>
      <c r="I402" s="559" t="str">
        <f t="shared" si="38"/>
        <v/>
      </c>
    </row>
    <row r="403" spans="2:9">
      <c r="B403" s="555" t="str">
        <f t="shared" si="33"/>
        <v/>
      </c>
      <c r="C403" s="556" t="str">
        <f t="shared" si="34"/>
        <v/>
      </c>
      <c r="D403" s="557" t="str">
        <f t="shared" si="35"/>
        <v/>
      </c>
      <c r="E403" s="560"/>
      <c r="F403" s="559"/>
      <c r="G403" s="559" t="str">
        <f t="shared" si="36"/>
        <v/>
      </c>
      <c r="H403" s="559" t="str">
        <f t="shared" si="37"/>
        <v/>
      </c>
      <c r="I403" s="559" t="str">
        <f t="shared" si="38"/>
        <v/>
      </c>
    </row>
    <row r="404" spans="2:9">
      <c r="B404" s="555" t="str">
        <f t="shared" si="33"/>
        <v/>
      </c>
      <c r="C404" s="556" t="str">
        <f t="shared" si="34"/>
        <v/>
      </c>
      <c r="D404" s="557" t="str">
        <f t="shared" si="35"/>
        <v/>
      </c>
      <c r="E404" s="560"/>
      <c r="F404" s="559"/>
      <c r="G404" s="559" t="str">
        <f t="shared" si="36"/>
        <v/>
      </c>
      <c r="H404" s="559" t="str">
        <f t="shared" si="37"/>
        <v/>
      </c>
      <c r="I404" s="559" t="str">
        <f t="shared" si="38"/>
        <v/>
      </c>
    </row>
    <row r="405" spans="2:9">
      <c r="B405" s="555" t="str">
        <f t="shared" si="33"/>
        <v/>
      </c>
      <c r="C405" s="556" t="str">
        <f t="shared" si="34"/>
        <v/>
      </c>
      <c r="D405" s="557" t="str">
        <f t="shared" si="35"/>
        <v/>
      </c>
      <c r="E405" s="560"/>
      <c r="F405" s="559"/>
      <c r="G405" s="559" t="str">
        <f t="shared" si="36"/>
        <v/>
      </c>
      <c r="H405" s="559" t="str">
        <f t="shared" si="37"/>
        <v/>
      </c>
      <c r="I405" s="559" t="str">
        <f t="shared" si="38"/>
        <v/>
      </c>
    </row>
    <row r="406" spans="2:9">
      <c r="B406" s="555" t="str">
        <f t="shared" si="33"/>
        <v/>
      </c>
      <c r="C406" s="556" t="str">
        <f t="shared" si="34"/>
        <v/>
      </c>
      <c r="D406" s="557" t="str">
        <f t="shared" si="35"/>
        <v/>
      </c>
      <c r="E406" s="560"/>
      <c r="F406" s="559"/>
      <c r="G406" s="559" t="str">
        <f t="shared" si="36"/>
        <v/>
      </c>
      <c r="H406" s="559" t="str">
        <f t="shared" si="37"/>
        <v/>
      </c>
      <c r="I406" s="559" t="str">
        <f t="shared" si="38"/>
        <v/>
      </c>
    </row>
    <row r="407" spans="2:9">
      <c r="B407" s="555" t="str">
        <f t="shared" si="33"/>
        <v/>
      </c>
      <c r="C407" s="556" t="str">
        <f t="shared" si="34"/>
        <v/>
      </c>
      <c r="D407" s="557" t="str">
        <f t="shared" si="35"/>
        <v/>
      </c>
      <c r="E407" s="560"/>
      <c r="F407" s="559"/>
      <c r="G407" s="559" t="str">
        <f t="shared" si="36"/>
        <v/>
      </c>
      <c r="H407" s="559" t="str">
        <f t="shared" si="37"/>
        <v/>
      </c>
      <c r="I407" s="559" t="str">
        <f t="shared" si="38"/>
        <v/>
      </c>
    </row>
    <row r="408" spans="2:9">
      <c r="B408" s="555" t="str">
        <f t="shared" si="33"/>
        <v/>
      </c>
      <c r="C408" s="556" t="str">
        <f t="shared" si="34"/>
        <v/>
      </c>
      <c r="D408" s="557" t="str">
        <f t="shared" si="35"/>
        <v/>
      </c>
      <c r="E408" s="560"/>
      <c r="F408" s="559"/>
      <c r="G408" s="559" t="str">
        <f t="shared" si="36"/>
        <v/>
      </c>
      <c r="H408" s="559" t="str">
        <f t="shared" si="37"/>
        <v/>
      </c>
      <c r="I408" s="559" t="str">
        <f t="shared" si="38"/>
        <v/>
      </c>
    </row>
    <row r="409" spans="2:9">
      <c r="B409" s="555" t="str">
        <f t="shared" si="33"/>
        <v/>
      </c>
      <c r="C409" s="556" t="str">
        <f t="shared" si="34"/>
        <v/>
      </c>
      <c r="D409" s="557" t="str">
        <f t="shared" si="35"/>
        <v/>
      </c>
      <c r="E409" s="560"/>
      <c r="F409" s="559"/>
      <c r="G409" s="559" t="str">
        <f t="shared" si="36"/>
        <v/>
      </c>
      <c r="H409" s="559" t="str">
        <f t="shared" si="37"/>
        <v/>
      </c>
      <c r="I409" s="559" t="str">
        <f t="shared" si="38"/>
        <v/>
      </c>
    </row>
    <row r="410" spans="2:9">
      <c r="B410" s="555" t="str">
        <f t="shared" si="33"/>
        <v/>
      </c>
      <c r="C410" s="556" t="str">
        <f t="shared" si="34"/>
        <v/>
      </c>
      <c r="D410" s="557" t="str">
        <f t="shared" si="35"/>
        <v/>
      </c>
      <c r="E410" s="560"/>
      <c r="F410" s="559"/>
      <c r="G410" s="559" t="str">
        <f t="shared" si="36"/>
        <v/>
      </c>
      <c r="H410" s="559" t="str">
        <f t="shared" si="37"/>
        <v/>
      </c>
      <c r="I410" s="559" t="str">
        <f t="shared" si="38"/>
        <v/>
      </c>
    </row>
    <row r="411" spans="2:9">
      <c r="B411" s="555" t="str">
        <f t="shared" si="33"/>
        <v/>
      </c>
      <c r="C411" s="556" t="str">
        <f t="shared" si="34"/>
        <v/>
      </c>
      <c r="D411" s="557" t="str">
        <f t="shared" si="35"/>
        <v/>
      </c>
      <c r="E411" s="560"/>
      <c r="F411" s="559"/>
      <c r="G411" s="559" t="str">
        <f t="shared" si="36"/>
        <v/>
      </c>
      <c r="H411" s="559" t="str">
        <f t="shared" si="37"/>
        <v/>
      </c>
      <c r="I411" s="559" t="str">
        <f t="shared" si="38"/>
        <v/>
      </c>
    </row>
    <row r="412" spans="2:9">
      <c r="B412" s="555" t="str">
        <f t="shared" si="33"/>
        <v/>
      </c>
      <c r="C412" s="556" t="str">
        <f t="shared" si="34"/>
        <v/>
      </c>
      <c r="D412" s="557" t="str">
        <f t="shared" si="35"/>
        <v/>
      </c>
      <c r="E412" s="560"/>
      <c r="F412" s="559"/>
      <c r="G412" s="559" t="str">
        <f t="shared" si="36"/>
        <v/>
      </c>
      <c r="H412" s="559" t="str">
        <f t="shared" si="37"/>
        <v/>
      </c>
      <c r="I412" s="559" t="str">
        <f t="shared" si="38"/>
        <v/>
      </c>
    </row>
    <row r="413" spans="2:9">
      <c r="B413" s="555" t="str">
        <f t="shared" si="33"/>
        <v/>
      </c>
      <c r="C413" s="556" t="str">
        <f t="shared" si="34"/>
        <v/>
      </c>
      <c r="D413" s="557" t="str">
        <f t="shared" si="35"/>
        <v/>
      </c>
      <c r="E413" s="560"/>
      <c r="F413" s="559"/>
      <c r="G413" s="559" t="str">
        <f t="shared" si="36"/>
        <v/>
      </c>
      <c r="H413" s="559" t="str">
        <f t="shared" si="37"/>
        <v/>
      </c>
      <c r="I413" s="559" t="str">
        <f t="shared" si="38"/>
        <v/>
      </c>
    </row>
    <row r="414" spans="2:9">
      <c r="B414" s="555" t="str">
        <f t="shared" si="33"/>
        <v/>
      </c>
      <c r="C414" s="556" t="str">
        <f t="shared" si="34"/>
        <v/>
      </c>
      <c r="D414" s="557" t="str">
        <f t="shared" si="35"/>
        <v/>
      </c>
      <c r="E414" s="560"/>
      <c r="F414" s="559"/>
      <c r="G414" s="559" t="str">
        <f t="shared" si="36"/>
        <v/>
      </c>
      <c r="H414" s="559" t="str">
        <f t="shared" si="37"/>
        <v/>
      </c>
      <c r="I414" s="559" t="str">
        <f t="shared" si="38"/>
        <v/>
      </c>
    </row>
    <row r="415" spans="2:9">
      <c r="B415" s="555" t="str">
        <f t="shared" si="33"/>
        <v/>
      </c>
      <c r="C415" s="556" t="str">
        <f t="shared" si="34"/>
        <v/>
      </c>
      <c r="D415" s="557" t="str">
        <f t="shared" si="35"/>
        <v/>
      </c>
      <c r="E415" s="560"/>
      <c r="F415" s="559"/>
      <c r="G415" s="559" t="str">
        <f t="shared" si="36"/>
        <v/>
      </c>
      <c r="H415" s="559" t="str">
        <f t="shared" si="37"/>
        <v/>
      </c>
      <c r="I415" s="559" t="str">
        <f t="shared" si="38"/>
        <v/>
      </c>
    </row>
    <row r="416" spans="2:9">
      <c r="B416" s="555" t="str">
        <f t="shared" si="33"/>
        <v/>
      </c>
      <c r="C416" s="556" t="str">
        <f t="shared" si="34"/>
        <v/>
      </c>
      <c r="D416" s="557" t="str">
        <f t="shared" si="35"/>
        <v/>
      </c>
      <c r="E416" s="560"/>
      <c r="F416" s="559"/>
      <c r="G416" s="559" t="str">
        <f t="shared" si="36"/>
        <v/>
      </c>
      <c r="H416" s="559" t="str">
        <f t="shared" si="37"/>
        <v/>
      </c>
      <c r="I416" s="559" t="str">
        <f t="shared" si="38"/>
        <v/>
      </c>
    </row>
    <row r="417" spans="2:9">
      <c r="B417" s="555" t="str">
        <f t="shared" si="33"/>
        <v/>
      </c>
      <c r="C417" s="556" t="str">
        <f t="shared" si="34"/>
        <v/>
      </c>
      <c r="D417" s="557" t="str">
        <f t="shared" si="35"/>
        <v/>
      </c>
      <c r="E417" s="560"/>
      <c r="F417" s="559"/>
      <c r="G417" s="559" t="str">
        <f t="shared" si="36"/>
        <v/>
      </c>
      <c r="H417" s="559" t="str">
        <f t="shared" si="37"/>
        <v/>
      </c>
      <c r="I417" s="559" t="str">
        <f t="shared" si="38"/>
        <v/>
      </c>
    </row>
    <row r="418" spans="2:9">
      <c r="B418" s="555" t="str">
        <f t="shared" si="33"/>
        <v/>
      </c>
      <c r="C418" s="556" t="str">
        <f t="shared" si="34"/>
        <v/>
      </c>
      <c r="D418" s="557" t="str">
        <f t="shared" si="35"/>
        <v/>
      </c>
      <c r="E418" s="560"/>
      <c r="F418" s="559"/>
      <c r="G418" s="559" t="str">
        <f t="shared" si="36"/>
        <v/>
      </c>
      <c r="H418" s="559" t="str">
        <f t="shared" si="37"/>
        <v/>
      </c>
      <c r="I418" s="559" t="str">
        <f t="shared" si="38"/>
        <v/>
      </c>
    </row>
    <row r="419" spans="2:9">
      <c r="B419" s="555" t="str">
        <f t="shared" si="33"/>
        <v/>
      </c>
      <c r="C419" s="556" t="str">
        <f t="shared" si="34"/>
        <v/>
      </c>
      <c r="D419" s="557" t="str">
        <f t="shared" si="35"/>
        <v/>
      </c>
      <c r="E419" s="560"/>
      <c r="F419" s="559"/>
      <c r="G419" s="559" t="str">
        <f t="shared" si="36"/>
        <v/>
      </c>
      <c r="H419" s="559" t="str">
        <f t="shared" si="37"/>
        <v/>
      </c>
      <c r="I419" s="559" t="str">
        <f t="shared" si="38"/>
        <v/>
      </c>
    </row>
    <row r="420" spans="2:9">
      <c r="B420" s="555" t="str">
        <f t="shared" si="33"/>
        <v/>
      </c>
      <c r="C420" s="556" t="str">
        <f t="shared" si="34"/>
        <v/>
      </c>
      <c r="D420" s="557" t="str">
        <f t="shared" si="35"/>
        <v/>
      </c>
      <c r="E420" s="560"/>
      <c r="F420" s="559"/>
      <c r="G420" s="559" t="str">
        <f t="shared" si="36"/>
        <v/>
      </c>
      <c r="H420" s="559" t="str">
        <f t="shared" si="37"/>
        <v/>
      </c>
      <c r="I420" s="559" t="str">
        <f t="shared" si="38"/>
        <v/>
      </c>
    </row>
    <row r="421" spans="2:9">
      <c r="B421" s="555" t="str">
        <f t="shared" si="33"/>
        <v/>
      </c>
      <c r="C421" s="556" t="str">
        <f t="shared" si="34"/>
        <v/>
      </c>
      <c r="D421" s="557" t="str">
        <f t="shared" si="35"/>
        <v/>
      </c>
      <c r="E421" s="560"/>
      <c r="F421" s="559"/>
      <c r="G421" s="559" t="str">
        <f t="shared" si="36"/>
        <v/>
      </c>
      <c r="H421" s="559" t="str">
        <f t="shared" si="37"/>
        <v/>
      </c>
      <c r="I421" s="559" t="str">
        <f t="shared" si="38"/>
        <v/>
      </c>
    </row>
    <row r="422" spans="2:9">
      <c r="B422" s="555" t="str">
        <f t="shared" si="33"/>
        <v/>
      </c>
      <c r="C422" s="556" t="str">
        <f t="shared" si="34"/>
        <v/>
      </c>
      <c r="D422" s="557" t="str">
        <f t="shared" si="35"/>
        <v/>
      </c>
      <c r="E422" s="560"/>
      <c r="F422" s="559"/>
      <c r="G422" s="559" t="str">
        <f t="shared" si="36"/>
        <v/>
      </c>
      <c r="H422" s="559" t="str">
        <f t="shared" si="37"/>
        <v/>
      </c>
      <c r="I422" s="559" t="str">
        <f t="shared" si="38"/>
        <v/>
      </c>
    </row>
    <row r="423" spans="2:9">
      <c r="B423" s="555" t="str">
        <f t="shared" si="33"/>
        <v/>
      </c>
      <c r="C423" s="556" t="str">
        <f t="shared" si="34"/>
        <v/>
      </c>
      <c r="D423" s="557" t="str">
        <f t="shared" si="35"/>
        <v/>
      </c>
      <c r="E423" s="560"/>
      <c r="F423" s="559"/>
      <c r="G423" s="559" t="str">
        <f t="shared" si="36"/>
        <v/>
      </c>
      <c r="H423" s="559" t="str">
        <f t="shared" si="37"/>
        <v/>
      </c>
      <c r="I423" s="559" t="str">
        <f t="shared" si="38"/>
        <v/>
      </c>
    </row>
    <row r="424" spans="2:9">
      <c r="B424" s="555" t="str">
        <f t="shared" si="33"/>
        <v/>
      </c>
      <c r="C424" s="556" t="str">
        <f t="shared" si="34"/>
        <v/>
      </c>
      <c r="D424" s="557" t="str">
        <f t="shared" si="35"/>
        <v/>
      </c>
      <c r="E424" s="560"/>
      <c r="F424" s="559"/>
      <c r="G424" s="559" t="str">
        <f t="shared" si="36"/>
        <v/>
      </c>
      <c r="H424" s="559" t="str">
        <f t="shared" si="37"/>
        <v/>
      </c>
      <c r="I424" s="559" t="str">
        <f t="shared" si="38"/>
        <v/>
      </c>
    </row>
    <row r="425" spans="2:9">
      <c r="B425" s="555" t="str">
        <f t="shared" si="33"/>
        <v/>
      </c>
      <c r="C425" s="556" t="str">
        <f t="shared" si="34"/>
        <v/>
      </c>
      <c r="D425" s="557" t="str">
        <f t="shared" si="35"/>
        <v/>
      </c>
      <c r="E425" s="560"/>
      <c r="F425" s="559"/>
      <c r="G425" s="559" t="str">
        <f t="shared" si="36"/>
        <v/>
      </c>
      <c r="H425" s="559" t="str">
        <f t="shared" si="37"/>
        <v/>
      </c>
      <c r="I425" s="559" t="str">
        <f t="shared" si="38"/>
        <v/>
      </c>
    </row>
    <row r="426" spans="2:9">
      <c r="B426" s="555" t="str">
        <f t="shared" si="33"/>
        <v/>
      </c>
      <c r="C426" s="556" t="str">
        <f t="shared" si="34"/>
        <v/>
      </c>
      <c r="D426" s="557" t="str">
        <f t="shared" si="35"/>
        <v/>
      </c>
      <c r="E426" s="560"/>
      <c r="F426" s="559"/>
      <c r="G426" s="559" t="str">
        <f t="shared" si="36"/>
        <v/>
      </c>
      <c r="H426" s="559" t="str">
        <f t="shared" si="37"/>
        <v/>
      </c>
      <c r="I426" s="559" t="str">
        <f t="shared" si="38"/>
        <v/>
      </c>
    </row>
    <row r="427" spans="2:9">
      <c r="B427" s="555" t="str">
        <f t="shared" si="33"/>
        <v/>
      </c>
      <c r="C427" s="556" t="str">
        <f t="shared" si="34"/>
        <v/>
      </c>
      <c r="D427" s="557" t="str">
        <f t="shared" si="35"/>
        <v/>
      </c>
      <c r="E427" s="560"/>
      <c r="F427" s="559"/>
      <c r="G427" s="559" t="str">
        <f t="shared" si="36"/>
        <v/>
      </c>
      <c r="H427" s="559" t="str">
        <f t="shared" si="37"/>
        <v/>
      </c>
      <c r="I427" s="559" t="str">
        <f t="shared" si="38"/>
        <v/>
      </c>
    </row>
    <row r="428" spans="2:9">
      <c r="B428" s="555" t="str">
        <f t="shared" si="33"/>
        <v/>
      </c>
      <c r="C428" s="556" t="str">
        <f t="shared" si="34"/>
        <v/>
      </c>
      <c r="D428" s="557" t="str">
        <f t="shared" si="35"/>
        <v/>
      </c>
      <c r="E428" s="560"/>
      <c r="F428" s="559"/>
      <c r="G428" s="559" t="str">
        <f t="shared" si="36"/>
        <v/>
      </c>
      <c r="H428" s="559" t="str">
        <f t="shared" si="37"/>
        <v/>
      </c>
      <c r="I428" s="559" t="str">
        <f t="shared" si="38"/>
        <v/>
      </c>
    </row>
    <row r="429" spans="2:9">
      <c r="B429" s="555" t="str">
        <f t="shared" si="33"/>
        <v/>
      </c>
      <c r="C429" s="556" t="str">
        <f t="shared" si="34"/>
        <v/>
      </c>
      <c r="D429" s="557" t="str">
        <f t="shared" si="35"/>
        <v/>
      </c>
      <c r="E429" s="560"/>
      <c r="F429" s="559"/>
      <c r="G429" s="559" t="str">
        <f t="shared" si="36"/>
        <v/>
      </c>
      <c r="H429" s="559" t="str">
        <f t="shared" si="37"/>
        <v/>
      </c>
      <c r="I429" s="559" t="str">
        <f t="shared" si="38"/>
        <v/>
      </c>
    </row>
    <row r="430" spans="2:9">
      <c r="B430" s="555" t="str">
        <f t="shared" si="33"/>
        <v/>
      </c>
      <c r="C430" s="556" t="str">
        <f t="shared" si="34"/>
        <v/>
      </c>
      <c r="D430" s="557" t="str">
        <f t="shared" si="35"/>
        <v/>
      </c>
      <c r="E430" s="560"/>
      <c r="F430" s="559"/>
      <c r="G430" s="559" t="str">
        <f t="shared" si="36"/>
        <v/>
      </c>
      <c r="H430" s="559" t="str">
        <f t="shared" si="37"/>
        <v/>
      </c>
      <c r="I430" s="559" t="str">
        <f t="shared" si="38"/>
        <v/>
      </c>
    </row>
    <row r="431" spans="2:9">
      <c r="B431" s="555" t="str">
        <f t="shared" si="33"/>
        <v/>
      </c>
      <c r="C431" s="556" t="str">
        <f t="shared" si="34"/>
        <v/>
      </c>
      <c r="D431" s="557" t="str">
        <f t="shared" si="35"/>
        <v/>
      </c>
      <c r="E431" s="560"/>
      <c r="F431" s="559"/>
      <c r="G431" s="559" t="str">
        <f t="shared" si="36"/>
        <v/>
      </c>
      <c r="H431" s="559" t="str">
        <f t="shared" si="37"/>
        <v/>
      </c>
      <c r="I431" s="559" t="str">
        <f t="shared" si="38"/>
        <v/>
      </c>
    </row>
    <row r="432" spans="2:9">
      <c r="B432" s="555" t="str">
        <f t="shared" si="33"/>
        <v/>
      </c>
      <c r="C432" s="556" t="str">
        <f t="shared" si="34"/>
        <v/>
      </c>
      <c r="D432" s="557" t="str">
        <f t="shared" si="35"/>
        <v/>
      </c>
      <c r="E432" s="560"/>
      <c r="F432" s="559"/>
      <c r="G432" s="559" t="str">
        <f t="shared" si="36"/>
        <v/>
      </c>
      <c r="H432" s="559" t="str">
        <f t="shared" si="37"/>
        <v/>
      </c>
      <c r="I432" s="559" t="str">
        <f t="shared" si="38"/>
        <v/>
      </c>
    </row>
    <row r="433" spans="2:9">
      <c r="B433" s="555" t="str">
        <f t="shared" si="33"/>
        <v/>
      </c>
      <c r="C433" s="556" t="str">
        <f t="shared" si="34"/>
        <v/>
      </c>
      <c r="D433" s="557" t="str">
        <f t="shared" si="35"/>
        <v/>
      </c>
      <c r="E433" s="560"/>
      <c r="F433" s="559"/>
      <c r="G433" s="559" t="str">
        <f t="shared" si="36"/>
        <v/>
      </c>
      <c r="H433" s="559" t="str">
        <f t="shared" si="37"/>
        <v/>
      </c>
      <c r="I433" s="559" t="str">
        <f t="shared" si="38"/>
        <v/>
      </c>
    </row>
    <row r="434" spans="2:9">
      <c r="B434" s="555" t="str">
        <f t="shared" si="33"/>
        <v/>
      </c>
      <c r="C434" s="556" t="str">
        <f t="shared" si="34"/>
        <v/>
      </c>
      <c r="D434" s="557" t="str">
        <f t="shared" si="35"/>
        <v/>
      </c>
      <c r="E434" s="560"/>
      <c r="F434" s="559"/>
      <c r="G434" s="559" t="str">
        <f t="shared" si="36"/>
        <v/>
      </c>
      <c r="H434" s="559" t="str">
        <f t="shared" si="37"/>
        <v/>
      </c>
      <c r="I434" s="559" t="str">
        <f t="shared" si="38"/>
        <v/>
      </c>
    </row>
    <row r="435" spans="2:9">
      <c r="B435" s="555" t="str">
        <f t="shared" si="33"/>
        <v/>
      </c>
      <c r="C435" s="556" t="str">
        <f t="shared" si="34"/>
        <v/>
      </c>
      <c r="D435" s="557" t="str">
        <f t="shared" si="35"/>
        <v/>
      </c>
      <c r="E435" s="560"/>
      <c r="F435" s="559"/>
      <c r="G435" s="559" t="str">
        <f t="shared" si="36"/>
        <v/>
      </c>
      <c r="H435" s="559" t="str">
        <f t="shared" si="37"/>
        <v/>
      </c>
      <c r="I435" s="559" t="str">
        <f t="shared" si="38"/>
        <v/>
      </c>
    </row>
    <row r="436" spans="2:9">
      <c r="B436" s="555" t="str">
        <f t="shared" si="33"/>
        <v/>
      </c>
      <c r="C436" s="556" t="str">
        <f t="shared" si="34"/>
        <v/>
      </c>
      <c r="D436" s="557" t="str">
        <f t="shared" si="35"/>
        <v/>
      </c>
      <c r="E436" s="560"/>
      <c r="F436" s="559"/>
      <c r="G436" s="559" t="str">
        <f t="shared" si="36"/>
        <v/>
      </c>
      <c r="H436" s="559" t="str">
        <f t="shared" si="37"/>
        <v/>
      </c>
      <c r="I436" s="559" t="str">
        <f t="shared" si="38"/>
        <v/>
      </c>
    </row>
    <row r="437" spans="2:9">
      <c r="B437" s="555" t="str">
        <f t="shared" si="33"/>
        <v/>
      </c>
      <c r="C437" s="556" t="str">
        <f t="shared" si="34"/>
        <v/>
      </c>
      <c r="D437" s="557" t="str">
        <f t="shared" si="35"/>
        <v/>
      </c>
      <c r="E437" s="560"/>
      <c r="F437" s="559"/>
      <c r="G437" s="559" t="str">
        <f t="shared" si="36"/>
        <v/>
      </c>
      <c r="H437" s="559" t="str">
        <f t="shared" si="37"/>
        <v/>
      </c>
      <c r="I437" s="559" t="str">
        <f t="shared" si="38"/>
        <v/>
      </c>
    </row>
    <row r="438" spans="2:9">
      <c r="B438" s="555" t="str">
        <f t="shared" si="33"/>
        <v/>
      </c>
      <c r="C438" s="556" t="str">
        <f t="shared" si="34"/>
        <v/>
      </c>
      <c r="D438" s="557" t="str">
        <f t="shared" si="35"/>
        <v/>
      </c>
      <c r="E438" s="560"/>
      <c r="F438" s="559"/>
      <c r="G438" s="559" t="str">
        <f t="shared" si="36"/>
        <v/>
      </c>
      <c r="H438" s="559" t="str">
        <f t="shared" si="37"/>
        <v/>
      </c>
      <c r="I438" s="559" t="str">
        <f t="shared" si="38"/>
        <v/>
      </c>
    </row>
    <row r="439" spans="2:9">
      <c r="B439" s="555" t="str">
        <f t="shared" si="33"/>
        <v/>
      </c>
      <c r="C439" s="556" t="str">
        <f t="shared" si="34"/>
        <v/>
      </c>
      <c r="D439" s="557" t="str">
        <f t="shared" si="35"/>
        <v/>
      </c>
      <c r="E439" s="560"/>
      <c r="F439" s="559"/>
      <c r="G439" s="559" t="str">
        <f t="shared" si="36"/>
        <v/>
      </c>
      <c r="H439" s="559" t="str">
        <f t="shared" si="37"/>
        <v/>
      </c>
      <c r="I439" s="559" t="str">
        <f t="shared" si="38"/>
        <v/>
      </c>
    </row>
    <row r="440" spans="2:9">
      <c r="B440" s="555" t="str">
        <f t="shared" si="33"/>
        <v/>
      </c>
      <c r="C440" s="556" t="str">
        <f t="shared" si="34"/>
        <v/>
      </c>
      <c r="D440" s="557" t="str">
        <f t="shared" si="35"/>
        <v/>
      </c>
      <c r="E440" s="560"/>
      <c r="F440" s="559"/>
      <c r="G440" s="559" t="str">
        <f t="shared" si="36"/>
        <v/>
      </c>
      <c r="H440" s="559" t="str">
        <f t="shared" si="37"/>
        <v/>
      </c>
      <c r="I440" s="559" t="str">
        <f t="shared" si="38"/>
        <v/>
      </c>
    </row>
    <row r="441" spans="2:9">
      <c r="B441" s="555" t="str">
        <f t="shared" si="33"/>
        <v/>
      </c>
      <c r="C441" s="556" t="str">
        <f t="shared" si="34"/>
        <v/>
      </c>
      <c r="D441" s="557" t="str">
        <f t="shared" si="35"/>
        <v/>
      </c>
      <c r="E441" s="560"/>
      <c r="F441" s="559"/>
      <c r="G441" s="559" t="str">
        <f t="shared" si="36"/>
        <v/>
      </c>
      <c r="H441" s="559" t="str">
        <f t="shared" si="37"/>
        <v/>
      </c>
      <c r="I441" s="559" t="str">
        <f t="shared" si="38"/>
        <v/>
      </c>
    </row>
    <row r="442" spans="2:9">
      <c r="B442" s="555" t="str">
        <f t="shared" si="33"/>
        <v/>
      </c>
      <c r="C442" s="556" t="str">
        <f t="shared" si="34"/>
        <v/>
      </c>
      <c r="D442" s="557" t="str">
        <f t="shared" si="35"/>
        <v/>
      </c>
      <c r="E442" s="560"/>
      <c r="F442" s="559"/>
      <c r="G442" s="559" t="str">
        <f t="shared" si="36"/>
        <v/>
      </c>
      <c r="H442" s="559" t="str">
        <f t="shared" si="37"/>
        <v/>
      </c>
      <c r="I442" s="559" t="str">
        <f t="shared" si="38"/>
        <v/>
      </c>
    </row>
    <row r="443" spans="2:9">
      <c r="B443" s="555" t="str">
        <f t="shared" si="33"/>
        <v/>
      </c>
      <c r="C443" s="556" t="str">
        <f t="shared" si="34"/>
        <v/>
      </c>
      <c r="D443" s="557" t="str">
        <f t="shared" si="35"/>
        <v/>
      </c>
      <c r="E443" s="560"/>
      <c r="F443" s="559"/>
      <c r="G443" s="559" t="str">
        <f t="shared" si="36"/>
        <v/>
      </c>
      <c r="H443" s="559" t="str">
        <f t="shared" si="37"/>
        <v/>
      </c>
      <c r="I443" s="559" t="str">
        <f t="shared" si="38"/>
        <v/>
      </c>
    </row>
    <row r="444" spans="2:9">
      <c r="B444" s="555" t="str">
        <f t="shared" si="33"/>
        <v/>
      </c>
      <c r="C444" s="556" t="str">
        <f t="shared" si="34"/>
        <v/>
      </c>
      <c r="D444" s="557" t="str">
        <f t="shared" si="35"/>
        <v/>
      </c>
      <c r="E444" s="560"/>
      <c r="F444" s="559"/>
      <c r="G444" s="559" t="str">
        <f t="shared" si="36"/>
        <v/>
      </c>
      <c r="H444" s="559" t="str">
        <f t="shared" si="37"/>
        <v/>
      </c>
      <c r="I444" s="559" t="str">
        <f t="shared" si="38"/>
        <v/>
      </c>
    </row>
    <row r="445" spans="2:9">
      <c r="B445" s="555" t="str">
        <f t="shared" ref="B445:B508" si="39">IF(I444="","",IF(roundOpt,IF(OR(B444&gt;=nper,ROUND(I444,2)&lt;=0),"",B444+1),IF(OR(B444&gt;=nper,I444&lt;=0),"",B444+1)))</f>
        <v/>
      </c>
      <c r="C445" s="556" t="str">
        <f t="shared" ref="C445:C508" si="40">IF(B445="","",IF(OR(periods_per_year=26,periods_per_year=52),IF(periods_per_year=26,IF(B445=1,fpdate,C444+14),IF(periods_per_year=52,IF(B445=1,fpdate,C444+7),"n/a")),IF(periods_per_year=24,DATE(YEAR(fpdate),MONTH(fpdate)+(B445-1)/2+IF(AND(DAY(fpdate)&gt;=15,MOD(B445,2)=0),1,0),IF(MOD(B445,2)=0,IF(DAY(fpdate)&gt;=15,DAY(fpdate)-14,DAY(fpdate)+14),DAY(fpdate))),IF(DAY(DATE(YEAR(fpdate),MONTH(fpdate)+(B445-1)*months_per_period,DAY(fpdate)))&lt;&gt;DAY(fpdate),DATE(YEAR(fpdate),MONTH(fpdate)+(B445-1)*months_per_period+1,0),DATE(YEAR(fpdate),MONTH(fpdate)+(B445-1)*months_per_period,DAY(fpdate))))))</f>
        <v/>
      </c>
      <c r="D445" s="557" t="str">
        <f t="shared" ref="D445:D508" si="41">IF(B445="","",IF(roundOpt,IF(OR(B445=nper,payment&gt;ROUND((1+rate)*I444,2)),ROUND((1+rate)*I444,2),payment),IF(OR(B445=nper,payment&gt;(1+rate)*I444),(1+rate)*I444,payment)))</f>
        <v/>
      </c>
      <c r="E445" s="560"/>
      <c r="F445" s="559"/>
      <c r="G445" s="559" t="str">
        <f t="shared" ref="G445:G508" si="42">IF(B445="","",IF(AND(B445=1,pmtType=1),0,IF(roundOpt,ROUND(rate*I444,2),rate*I444)))</f>
        <v/>
      </c>
      <c r="H445" s="559" t="str">
        <f t="shared" ref="H445:H508" si="43">IF(B445="","",D445-G445+E445)</f>
        <v/>
      </c>
      <c r="I445" s="559" t="str">
        <f t="shared" ref="I445:I508" si="44">IF(B445="","",I444-H445)</f>
        <v/>
      </c>
    </row>
    <row r="446" spans="2:9">
      <c r="B446" s="555" t="str">
        <f t="shared" si="39"/>
        <v/>
      </c>
      <c r="C446" s="556" t="str">
        <f t="shared" si="40"/>
        <v/>
      </c>
      <c r="D446" s="557" t="str">
        <f t="shared" si="41"/>
        <v/>
      </c>
      <c r="E446" s="560"/>
      <c r="F446" s="559"/>
      <c r="G446" s="559" t="str">
        <f t="shared" si="42"/>
        <v/>
      </c>
      <c r="H446" s="559" t="str">
        <f t="shared" si="43"/>
        <v/>
      </c>
      <c r="I446" s="559" t="str">
        <f t="shared" si="44"/>
        <v/>
      </c>
    </row>
    <row r="447" spans="2:9">
      <c r="B447" s="555" t="str">
        <f t="shared" si="39"/>
        <v/>
      </c>
      <c r="C447" s="556" t="str">
        <f t="shared" si="40"/>
        <v/>
      </c>
      <c r="D447" s="557" t="str">
        <f t="shared" si="41"/>
        <v/>
      </c>
      <c r="E447" s="560"/>
      <c r="F447" s="559"/>
      <c r="G447" s="559" t="str">
        <f t="shared" si="42"/>
        <v/>
      </c>
      <c r="H447" s="559" t="str">
        <f t="shared" si="43"/>
        <v/>
      </c>
      <c r="I447" s="559" t="str">
        <f t="shared" si="44"/>
        <v/>
      </c>
    </row>
    <row r="448" spans="2:9">
      <c r="B448" s="555" t="str">
        <f t="shared" si="39"/>
        <v/>
      </c>
      <c r="C448" s="556" t="str">
        <f t="shared" si="40"/>
        <v/>
      </c>
      <c r="D448" s="557" t="str">
        <f t="shared" si="41"/>
        <v/>
      </c>
      <c r="E448" s="560"/>
      <c r="F448" s="559"/>
      <c r="G448" s="559" t="str">
        <f t="shared" si="42"/>
        <v/>
      </c>
      <c r="H448" s="559" t="str">
        <f t="shared" si="43"/>
        <v/>
      </c>
      <c r="I448" s="559" t="str">
        <f t="shared" si="44"/>
        <v/>
      </c>
    </row>
    <row r="449" spans="2:9">
      <c r="B449" s="555" t="str">
        <f t="shared" si="39"/>
        <v/>
      </c>
      <c r="C449" s="556" t="str">
        <f t="shared" si="40"/>
        <v/>
      </c>
      <c r="D449" s="557" t="str">
        <f t="shared" si="41"/>
        <v/>
      </c>
      <c r="E449" s="560"/>
      <c r="F449" s="559"/>
      <c r="G449" s="559" t="str">
        <f t="shared" si="42"/>
        <v/>
      </c>
      <c r="H449" s="559" t="str">
        <f t="shared" si="43"/>
        <v/>
      </c>
      <c r="I449" s="559" t="str">
        <f t="shared" si="44"/>
        <v/>
      </c>
    </row>
    <row r="450" spans="2:9">
      <c r="B450" s="555" t="str">
        <f t="shared" si="39"/>
        <v/>
      </c>
      <c r="C450" s="556" t="str">
        <f t="shared" si="40"/>
        <v/>
      </c>
      <c r="D450" s="557" t="str">
        <f t="shared" si="41"/>
        <v/>
      </c>
      <c r="E450" s="560"/>
      <c r="F450" s="559"/>
      <c r="G450" s="559" t="str">
        <f t="shared" si="42"/>
        <v/>
      </c>
      <c r="H450" s="559" t="str">
        <f t="shared" si="43"/>
        <v/>
      </c>
      <c r="I450" s="559" t="str">
        <f t="shared" si="44"/>
        <v/>
      </c>
    </row>
    <row r="451" spans="2:9">
      <c r="B451" s="555" t="str">
        <f t="shared" si="39"/>
        <v/>
      </c>
      <c r="C451" s="556" t="str">
        <f t="shared" si="40"/>
        <v/>
      </c>
      <c r="D451" s="557" t="str">
        <f t="shared" si="41"/>
        <v/>
      </c>
      <c r="E451" s="560"/>
      <c r="F451" s="559"/>
      <c r="G451" s="559" t="str">
        <f t="shared" si="42"/>
        <v/>
      </c>
      <c r="H451" s="559" t="str">
        <f t="shared" si="43"/>
        <v/>
      </c>
      <c r="I451" s="559" t="str">
        <f t="shared" si="44"/>
        <v/>
      </c>
    </row>
    <row r="452" spans="2:9">
      <c r="B452" s="555" t="str">
        <f t="shared" si="39"/>
        <v/>
      </c>
      <c r="C452" s="556" t="str">
        <f t="shared" si="40"/>
        <v/>
      </c>
      <c r="D452" s="557" t="str">
        <f t="shared" si="41"/>
        <v/>
      </c>
      <c r="E452" s="560"/>
      <c r="F452" s="559"/>
      <c r="G452" s="559" t="str">
        <f t="shared" si="42"/>
        <v/>
      </c>
      <c r="H452" s="559" t="str">
        <f t="shared" si="43"/>
        <v/>
      </c>
      <c r="I452" s="559" t="str">
        <f t="shared" si="44"/>
        <v/>
      </c>
    </row>
    <row r="453" spans="2:9">
      <c r="B453" s="555" t="str">
        <f t="shared" si="39"/>
        <v/>
      </c>
      <c r="C453" s="556" t="str">
        <f t="shared" si="40"/>
        <v/>
      </c>
      <c r="D453" s="557" t="str">
        <f t="shared" si="41"/>
        <v/>
      </c>
      <c r="E453" s="560"/>
      <c r="F453" s="559"/>
      <c r="G453" s="559" t="str">
        <f t="shared" si="42"/>
        <v/>
      </c>
      <c r="H453" s="559" t="str">
        <f t="shared" si="43"/>
        <v/>
      </c>
      <c r="I453" s="559" t="str">
        <f t="shared" si="44"/>
        <v/>
      </c>
    </row>
    <row r="454" spans="2:9">
      <c r="B454" s="555" t="str">
        <f t="shared" si="39"/>
        <v/>
      </c>
      <c r="C454" s="556" t="str">
        <f t="shared" si="40"/>
        <v/>
      </c>
      <c r="D454" s="557" t="str">
        <f t="shared" si="41"/>
        <v/>
      </c>
      <c r="E454" s="560"/>
      <c r="F454" s="559"/>
      <c r="G454" s="559" t="str">
        <f t="shared" si="42"/>
        <v/>
      </c>
      <c r="H454" s="559" t="str">
        <f t="shared" si="43"/>
        <v/>
      </c>
      <c r="I454" s="559" t="str">
        <f t="shared" si="44"/>
        <v/>
      </c>
    </row>
    <row r="455" spans="2:9">
      <c r="B455" s="555" t="str">
        <f t="shared" si="39"/>
        <v/>
      </c>
      <c r="C455" s="556" t="str">
        <f t="shared" si="40"/>
        <v/>
      </c>
      <c r="D455" s="557" t="str">
        <f t="shared" si="41"/>
        <v/>
      </c>
      <c r="E455" s="560"/>
      <c r="F455" s="559"/>
      <c r="G455" s="559" t="str">
        <f t="shared" si="42"/>
        <v/>
      </c>
      <c r="H455" s="559" t="str">
        <f t="shared" si="43"/>
        <v/>
      </c>
      <c r="I455" s="559" t="str">
        <f t="shared" si="44"/>
        <v/>
      </c>
    </row>
    <row r="456" spans="2:9">
      <c r="B456" s="555" t="str">
        <f t="shared" si="39"/>
        <v/>
      </c>
      <c r="C456" s="556" t="str">
        <f t="shared" si="40"/>
        <v/>
      </c>
      <c r="D456" s="557" t="str">
        <f t="shared" si="41"/>
        <v/>
      </c>
      <c r="E456" s="560"/>
      <c r="F456" s="559"/>
      <c r="G456" s="559" t="str">
        <f t="shared" si="42"/>
        <v/>
      </c>
      <c r="H456" s="559" t="str">
        <f t="shared" si="43"/>
        <v/>
      </c>
      <c r="I456" s="559" t="str">
        <f t="shared" si="44"/>
        <v/>
      </c>
    </row>
    <row r="457" spans="2:9">
      <c r="B457" s="555" t="str">
        <f t="shared" si="39"/>
        <v/>
      </c>
      <c r="C457" s="556" t="str">
        <f t="shared" si="40"/>
        <v/>
      </c>
      <c r="D457" s="557" t="str">
        <f t="shared" si="41"/>
        <v/>
      </c>
      <c r="E457" s="560"/>
      <c r="F457" s="559"/>
      <c r="G457" s="559" t="str">
        <f t="shared" si="42"/>
        <v/>
      </c>
      <c r="H457" s="559" t="str">
        <f t="shared" si="43"/>
        <v/>
      </c>
      <c r="I457" s="559" t="str">
        <f t="shared" si="44"/>
        <v/>
      </c>
    </row>
    <row r="458" spans="2:9">
      <c r="B458" s="555" t="str">
        <f t="shared" si="39"/>
        <v/>
      </c>
      <c r="C458" s="556" t="str">
        <f t="shared" si="40"/>
        <v/>
      </c>
      <c r="D458" s="557" t="str">
        <f t="shared" si="41"/>
        <v/>
      </c>
      <c r="E458" s="560"/>
      <c r="F458" s="559"/>
      <c r="G458" s="559" t="str">
        <f t="shared" si="42"/>
        <v/>
      </c>
      <c r="H458" s="559" t="str">
        <f t="shared" si="43"/>
        <v/>
      </c>
      <c r="I458" s="559" t="str">
        <f t="shared" si="44"/>
        <v/>
      </c>
    </row>
    <row r="459" spans="2:9">
      <c r="B459" s="555" t="str">
        <f t="shared" si="39"/>
        <v/>
      </c>
      <c r="C459" s="556" t="str">
        <f t="shared" si="40"/>
        <v/>
      </c>
      <c r="D459" s="557" t="str">
        <f t="shared" si="41"/>
        <v/>
      </c>
      <c r="E459" s="560"/>
      <c r="F459" s="559"/>
      <c r="G459" s="559" t="str">
        <f t="shared" si="42"/>
        <v/>
      </c>
      <c r="H459" s="559" t="str">
        <f t="shared" si="43"/>
        <v/>
      </c>
      <c r="I459" s="559" t="str">
        <f t="shared" si="44"/>
        <v/>
      </c>
    </row>
    <row r="460" spans="2:9">
      <c r="B460" s="555" t="str">
        <f t="shared" si="39"/>
        <v/>
      </c>
      <c r="C460" s="556" t="str">
        <f t="shared" si="40"/>
        <v/>
      </c>
      <c r="D460" s="557" t="str">
        <f t="shared" si="41"/>
        <v/>
      </c>
      <c r="E460" s="560"/>
      <c r="F460" s="559"/>
      <c r="G460" s="559" t="str">
        <f t="shared" si="42"/>
        <v/>
      </c>
      <c r="H460" s="559" t="str">
        <f t="shared" si="43"/>
        <v/>
      </c>
      <c r="I460" s="559" t="str">
        <f t="shared" si="44"/>
        <v/>
      </c>
    </row>
    <row r="461" spans="2:9">
      <c r="B461" s="555" t="str">
        <f t="shared" si="39"/>
        <v/>
      </c>
      <c r="C461" s="556" t="str">
        <f t="shared" si="40"/>
        <v/>
      </c>
      <c r="D461" s="557" t="str">
        <f t="shared" si="41"/>
        <v/>
      </c>
      <c r="E461" s="560"/>
      <c r="F461" s="559"/>
      <c r="G461" s="559" t="str">
        <f t="shared" si="42"/>
        <v/>
      </c>
      <c r="H461" s="559" t="str">
        <f t="shared" si="43"/>
        <v/>
      </c>
      <c r="I461" s="559" t="str">
        <f t="shared" si="44"/>
        <v/>
      </c>
    </row>
    <row r="462" spans="2:9">
      <c r="B462" s="555" t="str">
        <f t="shared" si="39"/>
        <v/>
      </c>
      <c r="C462" s="556" t="str">
        <f t="shared" si="40"/>
        <v/>
      </c>
      <c r="D462" s="557" t="str">
        <f t="shared" si="41"/>
        <v/>
      </c>
      <c r="E462" s="560"/>
      <c r="F462" s="559"/>
      <c r="G462" s="559" t="str">
        <f t="shared" si="42"/>
        <v/>
      </c>
      <c r="H462" s="559" t="str">
        <f t="shared" si="43"/>
        <v/>
      </c>
      <c r="I462" s="559" t="str">
        <f t="shared" si="44"/>
        <v/>
      </c>
    </row>
    <row r="463" spans="2:9">
      <c r="B463" s="555" t="str">
        <f t="shared" si="39"/>
        <v/>
      </c>
      <c r="C463" s="556" t="str">
        <f t="shared" si="40"/>
        <v/>
      </c>
      <c r="D463" s="557" t="str">
        <f t="shared" si="41"/>
        <v/>
      </c>
      <c r="E463" s="560"/>
      <c r="F463" s="559"/>
      <c r="G463" s="559" t="str">
        <f t="shared" si="42"/>
        <v/>
      </c>
      <c r="H463" s="559" t="str">
        <f t="shared" si="43"/>
        <v/>
      </c>
      <c r="I463" s="559" t="str">
        <f t="shared" si="44"/>
        <v/>
      </c>
    </row>
    <row r="464" spans="2:9">
      <c r="B464" s="555" t="str">
        <f t="shared" si="39"/>
        <v/>
      </c>
      <c r="C464" s="556" t="str">
        <f t="shared" si="40"/>
        <v/>
      </c>
      <c r="D464" s="557" t="str">
        <f t="shared" si="41"/>
        <v/>
      </c>
      <c r="E464" s="560"/>
      <c r="F464" s="559"/>
      <c r="G464" s="559" t="str">
        <f t="shared" si="42"/>
        <v/>
      </c>
      <c r="H464" s="559" t="str">
        <f t="shared" si="43"/>
        <v/>
      </c>
      <c r="I464" s="559" t="str">
        <f t="shared" si="44"/>
        <v/>
      </c>
    </row>
    <row r="465" spans="2:9">
      <c r="B465" s="555" t="str">
        <f t="shared" si="39"/>
        <v/>
      </c>
      <c r="C465" s="556" t="str">
        <f t="shared" si="40"/>
        <v/>
      </c>
      <c r="D465" s="557" t="str">
        <f t="shared" si="41"/>
        <v/>
      </c>
      <c r="E465" s="560"/>
      <c r="F465" s="559"/>
      <c r="G465" s="559" t="str">
        <f t="shared" si="42"/>
        <v/>
      </c>
      <c r="H465" s="559" t="str">
        <f t="shared" si="43"/>
        <v/>
      </c>
      <c r="I465" s="559" t="str">
        <f t="shared" si="44"/>
        <v/>
      </c>
    </row>
    <row r="466" spans="2:9">
      <c r="B466" s="555" t="str">
        <f t="shared" si="39"/>
        <v/>
      </c>
      <c r="C466" s="556" t="str">
        <f t="shared" si="40"/>
        <v/>
      </c>
      <c r="D466" s="557" t="str">
        <f t="shared" si="41"/>
        <v/>
      </c>
      <c r="E466" s="560"/>
      <c r="F466" s="559"/>
      <c r="G466" s="559" t="str">
        <f t="shared" si="42"/>
        <v/>
      </c>
      <c r="H466" s="559" t="str">
        <f t="shared" si="43"/>
        <v/>
      </c>
      <c r="I466" s="559" t="str">
        <f t="shared" si="44"/>
        <v/>
      </c>
    </row>
    <row r="467" spans="2:9">
      <c r="B467" s="555" t="str">
        <f t="shared" si="39"/>
        <v/>
      </c>
      <c r="C467" s="556" t="str">
        <f t="shared" si="40"/>
        <v/>
      </c>
      <c r="D467" s="557" t="str">
        <f t="shared" si="41"/>
        <v/>
      </c>
      <c r="E467" s="560"/>
      <c r="F467" s="559"/>
      <c r="G467" s="559" t="str">
        <f t="shared" si="42"/>
        <v/>
      </c>
      <c r="H467" s="559" t="str">
        <f t="shared" si="43"/>
        <v/>
      </c>
      <c r="I467" s="559" t="str">
        <f t="shared" si="44"/>
        <v/>
      </c>
    </row>
    <row r="468" spans="2:9">
      <c r="B468" s="555" t="str">
        <f t="shared" si="39"/>
        <v/>
      </c>
      <c r="C468" s="556" t="str">
        <f t="shared" si="40"/>
        <v/>
      </c>
      <c r="D468" s="557" t="str">
        <f t="shared" si="41"/>
        <v/>
      </c>
      <c r="E468" s="560"/>
      <c r="F468" s="559"/>
      <c r="G468" s="559" t="str">
        <f t="shared" si="42"/>
        <v/>
      </c>
      <c r="H468" s="559" t="str">
        <f t="shared" si="43"/>
        <v/>
      </c>
      <c r="I468" s="559" t="str">
        <f t="shared" si="44"/>
        <v/>
      </c>
    </row>
    <row r="469" spans="2:9">
      <c r="B469" s="555" t="str">
        <f t="shared" si="39"/>
        <v/>
      </c>
      <c r="C469" s="556" t="str">
        <f t="shared" si="40"/>
        <v/>
      </c>
      <c r="D469" s="557" t="str">
        <f t="shared" si="41"/>
        <v/>
      </c>
      <c r="E469" s="560"/>
      <c r="F469" s="559"/>
      <c r="G469" s="559" t="str">
        <f t="shared" si="42"/>
        <v/>
      </c>
      <c r="H469" s="559" t="str">
        <f t="shared" si="43"/>
        <v/>
      </c>
      <c r="I469" s="559" t="str">
        <f t="shared" si="44"/>
        <v/>
      </c>
    </row>
    <row r="470" spans="2:9">
      <c r="B470" s="555" t="str">
        <f t="shared" si="39"/>
        <v/>
      </c>
      <c r="C470" s="556" t="str">
        <f t="shared" si="40"/>
        <v/>
      </c>
      <c r="D470" s="557" t="str">
        <f t="shared" si="41"/>
        <v/>
      </c>
      <c r="E470" s="560"/>
      <c r="F470" s="559"/>
      <c r="G470" s="559" t="str">
        <f t="shared" si="42"/>
        <v/>
      </c>
      <c r="H470" s="559" t="str">
        <f t="shared" si="43"/>
        <v/>
      </c>
      <c r="I470" s="559" t="str">
        <f t="shared" si="44"/>
        <v/>
      </c>
    </row>
    <row r="471" spans="2:9">
      <c r="B471" s="555" t="str">
        <f t="shared" si="39"/>
        <v/>
      </c>
      <c r="C471" s="556" t="str">
        <f t="shared" si="40"/>
        <v/>
      </c>
      <c r="D471" s="557" t="str">
        <f t="shared" si="41"/>
        <v/>
      </c>
      <c r="E471" s="560"/>
      <c r="F471" s="559"/>
      <c r="G471" s="559" t="str">
        <f t="shared" si="42"/>
        <v/>
      </c>
      <c r="H471" s="559" t="str">
        <f t="shared" si="43"/>
        <v/>
      </c>
      <c r="I471" s="559" t="str">
        <f t="shared" si="44"/>
        <v/>
      </c>
    </row>
    <row r="472" spans="2:9">
      <c r="B472" s="555" t="str">
        <f t="shared" si="39"/>
        <v/>
      </c>
      <c r="C472" s="556" t="str">
        <f t="shared" si="40"/>
        <v/>
      </c>
      <c r="D472" s="557" t="str">
        <f t="shared" si="41"/>
        <v/>
      </c>
      <c r="E472" s="560"/>
      <c r="F472" s="559"/>
      <c r="G472" s="559" t="str">
        <f t="shared" si="42"/>
        <v/>
      </c>
      <c r="H472" s="559" t="str">
        <f t="shared" si="43"/>
        <v/>
      </c>
      <c r="I472" s="559" t="str">
        <f t="shared" si="44"/>
        <v/>
      </c>
    </row>
    <row r="473" spans="2:9">
      <c r="B473" s="555" t="str">
        <f t="shared" si="39"/>
        <v/>
      </c>
      <c r="C473" s="556" t="str">
        <f t="shared" si="40"/>
        <v/>
      </c>
      <c r="D473" s="557" t="str">
        <f t="shared" si="41"/>
        <v/>
      </c>
      <c r="E473" s="560"/>
      <c r="F473" s="559"/>
      <c r="G473" s="559" t="str">
        <f t="shared" si="42"/>
        <v/>
      </c>
      <c r="H473" s="559" t="str">
        <f t="shared" si="43"/>
        <v/>
      </c>
      <c r="I473" s="559" t="str">
        <f t="shared" si="44"/>
        <v/>
      </c>
    </row>
    <row r="474" spans="2:9">
      <c r="B474" s="555" t="str">
        <f t="shared" si="39"/>
        <v/>
      </c>
      <c r="C474" s="556" t="str">
        <f t="shared" si="40"/>
        <v/>
      </c>
      <c r="D474" s="557" t="str">
        <f t="shared" si="41"/>
        <v/>
      </c>
      <c r="E474" s="560"/>
      <c r="F474" s="559"/>
      <c r="G474" s="559" t="str">
        <f t="shared" si="42"/>
        <v/>
      </c>
      <c r="H474" s="559" t="str">
        <f t="shared" si="43"/>
        <v/>
      </c>
      <c r="I474" s="559" t="str">
        <f t="shared" si="44"/>
        <v/>
      </c>
    </row>
    <row r="475" spans="2:9">
      <c r="B475" s="555" t="str">
        <f t="shared" si="39"/>
        <v/>
      </c>
      <c r="C475" s="556" t="str">
        <f t="shared" si="40"/>
        <v/>
      </c>
      <c r="D475" s="557" t="str">
        <f t="shared" si="41"/>
        <v/>
      </c>
      <c r="E475" s="560"/>
      <c r="F475" s="559"/>
      <c r="G475" s="559" t="str">
        <f t="shared" si="42"/>
        <v/>
      </c>
      <c r="H475" s="559" t="str">
        <f t="shared" si="43"/>
        <v/>
      </c>
      <c r="I475" s="559" t="str">
        <f t="shared" si="44"/>
        <v/>
      </c>
    </row>
    <row r="476" spans="2:9">
      <c r="B476" s="555" t="str">
        <f t="shared" si="39"/>
        <v/>
      </c>
      <c r="C476" s="556" t="str">
        <f t="shared" si="40"/>
        <v/>
      </c>
      <c r="D476" s="557" t="str">
        <f t="shared" si="41"/>
        <v/>
      </c>
      <c r="E476" s="560"/>
      <c r="F476" s="559"/>
      <c r="G476" s="559" t="str">
        <f t="shared" si="42"/>
        <v/>
      </c>
      <c r="H476" s="559" t="str">
        <f t="shared" si="43"/>
        <v/>
      </c>
      <c r="I476" s="559" t="str">
        <f t="shared" si="44"/>
        <v/>
      </c>
    </row>
    <row r="477" spans="2:9">
      <c r="B477" s="555" t="str">
        <f t="shared" si="39"/>
        <v/>
      </c>
      <c r="C477" s="556" t="str">
        <f t="shared" si="40"/>
        <v/>
      </c>
      <c r="D477" s="557" t="str">
        <f t="shared" si="41"/>
        <v/>
      </c>
      <c r="E477" s="560"/>
      <c r="F477" s="559"/>
      <c r="G477" s="559" t="str">
        <f t="shared" si="42"/>
        <v/>
      </c>
      <c r="H477" s="559" t="str">
        <f t="shared" si="43"/>
        <v/>
      </c>
      <c r="I477" s="559" t="str">
        <f t="shared" si="44"/>
        <v/>
      </c>
    </row>
    <row r="478" spans="2:9">
      <c r="B478" s="555" t="str">
        <f t="shared" si="39"/>
        <v/>
      </c>
      <c r="C478" s="556" t="str">
        <f t="shared" si="40"/>
        <v/>
      </c>
      <c r="D478" s="557" t="str">
        <f t="shared" si="41"/>
        <v/>
      </c>
      <c r="E478" s="560"/>
      <c r="F478" s="559"/>
      <c r="G478" s="559" t="str">
        <f t="shared" si="42"/>
        <v/>
      </c>
      <c r="H478" s="559" t="str">
        <f t="shared" si="43"/>
        <v/>
      </c>
      <c r="I478" s="559" t="str">
        <f t="shared" si="44"/>
        <v/>
      </c>
    </row>
    <row r="479" spans="2:9">
      <c r="B479" s="555" t="str">
        <f t="shared" si="39"/>
        <v/>
      </c>
      <c r="C479" s="556" t="str">
        <f t="shared" si="40"/>
        <v/>
      </c>
      <c r="D479" s="557" t="str">
        <f t="shared" si="41"/>
        <v/>
      </c>
      <c r="E479" s="560"/>
      <c r="F479" s="559"/>
      <c r="G479" s="559" t="str">
        <f t="shared" si="42"/>
        <v/>
      </c>
      <c r="H479" s="559" t="str">
        <f t="shared" si="43"/>
        <v/>
      </c>
      <c r="I479" s="559" t="str">
        <f t="shared" si="44"/>
        <v/>
      </c>
    </row>
    <row r="480" spans="2:9">
      <c r="B480" s="555" t="str">
        <f t="shared" si="39"/>
        <v/>
      </c>
      <c r="C480" s="556" t="str">
        <f t="shared" si="40"/>
        <v/>
      </c>
      <c r="D480" s="557" t="str">
        <f t="shared" si="41"/>
        <v/>
      </c>
      <c r="E480" s="560"/>
      <c r="F480" s="559"/>
      <c r="G480" s="559" t="str">
        <f t="shared" si="42"/>
        <v/>
      </c>
      <c r="H480" s="559" t="str">
        <f t="shared" si="43"/>
        <v/>
      </c>
      <c r="I480" s="559" t="str">
        <f t="shared" si="44"/>
        <v/>
      </c>
    </row>
    <row r="481" spans="2:9">
      <c r="B481" s="555" t="str">
        <f t="shared" si="39"/>
        <v/>
      </c>
      <c r="C481" s="556" t="str">
        <f t="shared" si="40"/>
        <v/>
      </c>
      <c r="D481" s="557" t="str">
        <f t="shared" si="41"/>
        <v/>
      </c>
      <c r="E481" s="560"/>
      <c r="F481" s="559"/>
      <c r="G481" s="559" t="str">
        <f t="shared" si="42"/>
        <v/>
      </c>
      <c r="H481" s="559" t="str">
        <f t="shared" si="43"/>
        <v/>
      </c>
      <c r="I481" s="559" t="str">
        <f t="shared" si="44"/>
        <v/>
      </c>
    </row>
    <row r="482" spans="2:9">
      <c r="B482" s="555" t="str">
        <f t="shared" si="39"/>
        <v/>
      </c>
      <c r="C482" s="556" t="str">
        <f t="shared" si="40"/>
        <v/>
      </c>
      <c r="D482" s="557" t="str">
        <f t="shared" si="41"/>
        <v/>
      </c>
      <c r="E482" s="560"/>
      <c r="F482" s="559"/>
      <c r="G482" s="559" t="str">
        <f t="shared" si="42"/>
        <v/>
      </c>
      <c r="H482" s="559" t="str">
        <f t="shared" si="43"/>
        <v/>
      </c>
      <c r="I482" s="559" t="str">
        <f t="shared" si="44"/>
        <v/>
      </c>
    </row>
    <row r="483" spans="2:9">
      <c r="B483" s="555" t="str">
        <f t="shared" si="39"/>
        <v/>
      </c>
      <c r="C483" s="556" t="str">
        <f t="shared" si="40"/>
        <v/>
      </c>
      <c r="D483" s="557" t="str">
        <f t="shared" si="41"/>
        <v/>
      </c>
      <c r="E483" s="560"/>
      <c r="F483" s="559"/>
      <c r="G483" s="559" t="str">
        <f t="shared" si="42"/>
        <v/>
      </c>
      <c r="H483" s="559" t="str">
        <f t="shared" si="43"/>
        <v/>
      </c>
      <c r="I483" s="559" t="str">
        <f t="shared" si="44"/>
        <v/>
      </c>
    </row>
    <row r="484" spans="2:9">
      <c r="B484" s="555" t="str">
        <f t="shared" si="39"/>
        <v/>
      </c>
      <c r="C484" s="556" t="str">
        <f t="shared" si="40"/>
        <v/>
      </c>
      <c r="D484" s="557" t="str">
        <f t="shared" si="41"/>
        <v/>
      </c>
      <c r="E484" s="560"/>
      <c r="F484" s="559"/>
      <c r="G484" s="559" t="str">
        <f t="shared" si="42"/>
        <v/>
      </c>
      <c r="H484" s="559" t="str">
        <f t="shared" si="43"/>
        <v/>
      </c>
      <c r="I484" s="559" t="str">
        <f t="shared" si="44"/>
        <v/>
      </c>
    </row>
    <row r="485" spans="2:9">
      <c r="B485" s="555" t="str">
        <f t="shared" si="39"/>
        <v/>
      </c>
      <c r="C485" s="556" t="str">
        <f t="shared" si="40"/>
        <v/>
      </c>
      <c r="D485" s="557" t="str">
        <f t="shared" si="41"/>
        <v/>
      </c>
      <c r="E485" s="560"/>
      <c r="F485" s="559"/>
      <c r="G485" s="559" t="str">
        <f t="shared" si="42"/>
        <v/>
      </c>
      <c r="H485" s="559" t="str">
        <f t="shared" si="43"/>
        <v/>
      </c>
      <c r="I485" s="559" t="str">
        <f t="shared" si="44"/>
        <v/>
      </c>
    </row>
    <row r="486" spans="2:9">
      <c r="B486" s="555" t="str">
        <f t="shared" si="39"/>
        <v/>
      </c>
      <c r="C486" s="556" t="str">
        <f t="shared" si="40"/>
        <v/>
      </c>
      <c r="D486" s="557" t="str">
        <f t="shared" si="41"/>
        <v/>
      </c>
      <c r="E486" s="560"/>
      <c r="F486" s="559"/>
      <c r="G486" s="559" t="str">
        <f t="shared" si="42"/>
        <v/>
      </c>
      <c r="H486" s="559" t="str">
        <f t="shared" si="43"/>
        <v/>
      </c>
      <c r="I486" s="559" t="str">
        <f t="shared" si="44"/>
        <v/>
      </c>
    </row>
    <row r="487" spans="2:9">
      <c r="B487" s="555" t="str">
        <f t="shared" si="39"/>
        <v/>
      </c>
      <c r="C487" s="556" t="str">
        <f t="shared" si="40"/>
        <v/>
      </c>
      <c r="D487" s="557" t="str">
        <f t="shared" si="41"/>
        <v/>
      </c>
      <c r="E487" s="560"/>
      <c r="F487" s="559"/>
      <c r="G487" s="559" t="str">
        <f t="shared" si="42"/>
        <v/>
      </c>
      <c r="H487" s="559" t="str">
        <f t="shared" si="43"/>
        <v/>
      </c>
      <c r="I487" s="559" t="str">
        <f t="shared" si="44"/>
        <v/>
      </c>
    </row>
    <row r="488" spans="2:9">
      <c r="B488" s="555" t="str">
        <f t="shared" si="39"/>
        <v/>
      </c>
      <c r="C488" s="556" t="str">
        <f t="shared" si="40"/>
        <v/>
      </c>
      <c r="D488" s="557" t="str">
        <f t="shared" si="41"/>
        <v/>
      </c>
      <c r="E488" s="560"/>
      <c r="F488" s="559"/>
      <c r="G488" s="559" t="str">
        <f t="shared" si="42"/>
        <v/>
      </c>
      <c r="H488" s="559" t="str">
        <f t="shared" si="43"/>
        <v/>
      </c>
      <c r="I488" s="559" t="str">
        <f t="shared" si="44"/>
        <v/>
      </c>
    </row>
    <row r="489" spans="2:9">
      <c r="B489" s="555" t="str">
        <f t="shared" si="39"/>
        <v/>
      </c>
      <c r="C489" s="556" t="str">
        <f t="shared" si="40"/>
        <v/>
      </c>
      <c r="D489" s="557" t="str">
        <f t="shared" si="41"/>
        <v/>
      </c>
      <c r="E489" s="560"/>
      <c r="F489" s="559"/>
      <c r="G489" s="559" t="str">
        <f t="shared" si="42"/>
        <v/>
      </c>
      <c r="H489" s="559" t="str">
        <f t="shared" si="43"/>
        <v/>
      </c>
      <c r="I489" s="559" t="str">
        <f t="shared" si="44"/>
        <v/>
      </c>
    </row>
    <row r="490" spans="2:9">
      <c r="B490" s="555" t="str">
        <f t="shared" si="39"/>
        <v/>
      </c>
      <c r="C490" s="556" t="str">
        <f t="shared" si="40"/>
        <v/>
      </c>
      <c r="D490" s="557" t="str">
        <f t="shared" si="41"/>
        <v/>
      </c>
      <c r="E490" s="560"/>
      <c r="F490" s="559"/>
      <c r="G490" s="559" t="str">
        <f t="shared" si="42"/>
        <v/>
      </c>
      <c r="H490" s="559" t="str">
        <f t="shared" si="43"/>
        <v/>
      </c>
      <c r="I490" s="559" t="str">
        <f t="shared" si="44"/>
        <v/>
      </c>
    </row>
    <row r="491" spans="2:9">
      <c r="B491" s="555" t="str">
        <f t="shared" si="39"/>
        <v/>
      </c>
      <c r="C491" s="556" t="str">
        <f t="shared" si="40"/>
        <v/>
      </c>
      <c r="D491" s="557" t="str">
        <f t="shared" si="41"/>
        <v/>
      </c>
      <c r="E491" s="560"/>
      <c r="F491" s="559"/>
      <c r="G491" s="559" t="str">
        <f t="shared" si="42"/>
        <v/>
      </c>
      <c r="H491" s="559" t="str">
        <f t="shared" si="43"/>
        <v/>
      </c>
      <c r="I491" s="559" t="str">
        <f t="shared" si="44"/>
        <v/>
      </c>
    </row>
    <row r="492" spans="2:9">
      <c r="B492" s="555" t="str">
        <f t="shared" si="39"/>
        <v/>
      </c>
      <c r="C492" s="556" t="str">
        <f t="shared" si="40"/>
        <v/>
      </c>
      <c r="D492" s="557" t="str">
        <f t="shared" si="41"/>
        <v/>
      </c>
      <c r="E492" s="560"/>
      <c r="F492" s="559"/>
      <c r="G492" s="559" t="str">
        <f t="shared" si="42"/>
        <v/>
      </c>
      <c r="H492" s="559" t="str">
        <f t="shared" si="43"/>
        <v/>
      </c>
      <c r="I492" s="559" t="str">
        <f t="shared" si="44"/>
        <v/>
      </c>
    </row>
    <row r="493" spans="2:9">
      <c r="B493" s="555" t="str">
        <f t="shared" si="39"/>
        <v/>
      </c>
      <c r="C493" s="556" t="str">
        <f t="shared" si="40"/>
        <v/>
      </c>
      <c r="D493" s="557" t="str">
        <f t="shared" si="41"/>
        <v/>
      </c>
      <c r="E493" s="560"/>
      <c r="F493" s="559"/>
      <c r="G493" s="559" t="str">
        <f t="shared" si="42"/>
        <v/>
      </c>
      <c r="H493" s="559" t="str">
        <f t="shared" si="43"/>
        <v/>
      </c>
      <c r="I493" s="559" t="str">
        <f t="shared" si="44"/>
        <v/>
      </c>
    </row>
    <row r="494" spans="2:9">
      <c r="B494" s="555" t="str">
        <f t="shared" si="39"/>
        <v/>
      </c>
      <c r="C494" s="556" t="str">
        <f t="shared" si="40"/>
        <v/>
      </c>
      <c r="D494" s="557" t="str">
        <f t="shared" si="41"/>
        <v/>
      </c>
      <c r="E494" s="560"/>
      <c r="F494" s="559"/>
      <c r="G494" s="559" t="str">
        <f t="shared" si="42"/>
        <v/>
      </c>
      <c r="H494" s="559" t="str">
        <f t="shared" si="43"/>
        <v/>
      </c>
      <c r="I494" s="559" t="str">
        <f t="shared" si="44"/>
        <v/>
      </c>
    </row>
    <row r="495" spans="2:9">
      <c r="B495" s="555" t="str">
        <f t="shared" si="39"/>
        <v/>
      </c>
      <c r="C495" s="556" t="str">
        <f t="shared" si="40"/>
        <v/>
      </c>
      <c r="D495" s="557" t="str">
        <f t="shared" si="41"/>
        <v/>
      </c>
      <c r="E495" s="560"/>
      <c r="F495" s="559"/>
      <c r="G495" s="559" t="str">
        <f t="shared" si="42"/>
        <v/>
      </c>
      <c r="H495" s="559" t="str">
        <f t="shared" si="43"/>
        <v/>
      </c>
      <c r="I495" s="559" t="str">
        <f t="shared" si="44"/>
        <v/>
      </c>
    </row>
    <row r="496" spans="2:9">
      <c r="B496" s="555" t="str">
        <f t="shared" si="39"/>
        <v/>
      </c>
      <c r="C496" s="556" t="str">
        <f t="shared" si="40"/>
        <v/>
      </c>
      <c r="D496" s="557" t="str">
        <f t="shared" si="41"/>
        <v/>
      </c>
      <c r="E496" s="560"/>
      <c r="F496" s="559"/>
      <c r="G496" s="559" t="str">
        <f t="shared" si="42"/>
        <v/>
      </c>
      <c r="H496" s="559" t="str">
        <f t="shared" si="43"/>
        <v/>
      </c>
      <c r="I496" s="559" t="str">
        <f t="shared" si="44"/>
        <v/>
      </c>
    </row>
    <row r="497" spans="2:9">
      <c r="B497" s="555" t="str">
        <f t="shared" si="39"/>
        <v/>
      </c>
      <c r="C497" s="556" t="str">
        <f t="shared" si="40"/>
        <v/>
      </c>
      <c r="D497" s="557" t="str">
        <f t="shared" si="41"/>
        <v/>
      </c>
      <c r="E497" s="560"/>
      <c r="F497" s="559"/>
      <c r="G497" s="559" t="str">
        <f t="shared" si="42"/>
        <v/>
      </c>
      <c r="H497" s="559" t="str">
        <f t="shared" si="43"/>
        <v/>
      </c>
      <c r="I497" s="559" t="str">
        <f t="shared" si="44"/>
        <v/>
      </c>
    </row>
    <row r="498" spans="2:9">
      <c r="B498" s="555" t="str">
        <f t="shared" si="39"/>
        <v/>
      </c>
      <c r="C498" s="556" t="str">
        <f t="shared" si="40"/>
        <v/>
      </c>
      <c r="D498" s="557" t="str">
        <f t="shared" si="41"/>
        <v/>
      </c>
      <c r="E498" s="560"/>
      <c r="F498" s="559"/>
      <c r="G498" s="559" t="str">
        <f t="shared" si="42"/>
        <v/>
      </c>
      <c r="H498" s="559" t="str">
        <f t="shared" si="43"/>
        <v/>
      </c>
      <c r="I498" s="559" t="str">
        <f t="shared" si="44"/>
        <v/>
      </c>
    </row>
    <row r="499" spans="2:9">
      <c r="B499" s="555" t="str">
        <f t="shared" si="39"/>
        <v/>
      </c>
      <c r="C499" s="556" t="str">
        <f t="shared" si="40"/>
        <v/>
      </c>
      <c r="D499" s="557" t="str">
        <f t="shared" si="41"/>
        <v/>
      </c>
      <c r="E499" s="560"/>
      <c r="F499" s="559"/>
      <c r="G499" s="559" t="str">
        <f t="shared" si="42"/>
        <v/>
      </c>
      <c r="H499" s="559" t="str">
        <f t="shared" si="43"/>
        <v/>
      </c>
      <c r="I499" s="559" t="str">
        <f t="shared" si="44"/>
        <v/>
      </c>
    </row>
    <row r="500" spans="2:9">
      <c r="B500" s="555" t="str">
        <f t="shared" si="39"/>
        <v/>
      </c>
      <c r="C500" s="556" t="str">
        <f t="shared" si="40"/>
        <v/>
      </c>
      <c r="D500" s="557" t="str">
        <f t="shared" si="41"/>
        <v/>
      </c>
      <c r="E500" s="560"/>
      <c r="F500" s="559"/>
      <c r="G500" s="559" t="str">
        <f t="shared" si="42"/>
        <v/>
      </c>
      <c r="H500" s="559" t="str">
        <f t="shared" si="43"/>
        <v/>
      </c>
      <c r="I500" s="559" t="str">
        <f t="shared" si="44"/>
        <v/>
      </c>
    </row>
    <row r="501" spans="2:9">
      <c r="B501" s="555" t="str">
        <f t="shared" si="39"/>
        <v/>
      </c>
      <c r="C501" s="556" t="str">
        <f t="shared" si="40"/>
        <v/>
      </c>
      <c r="D501" s="557" t="str">
        <f t="shared" si="41"/>
        <v/>
      </c>
      <c r="E501" s="560"/>
      <c r="F501" s="559"/>
      <c r="G501" s="559" t="str">
        <f t="shared" si="42"/>
        <v/>
      </c>
      <c r="H501" s="559" t="str">
        <f t="shared" si="43"/>
        <v/>
      </c>
      <c r="I501" s="559" t="str">
        <f t="shared" si="44"/>
        <v/>
      </c>
    </row>
    <row r="502" spans="2:9">
      <c r="B502" s="555" t="str">
        <f t="shared" si="39"/>
        <v/>
      </c>
      <c r="C502" s="556" t="str">
        <f t="shared" si="40"/>
        <v/>
      </c>
      <c r="D502" s="557" t="str">
        <f t="shared" si="41"/>
        <v/>
      </c>
      <c r="E502" s="560"/>
      <c r="F502" s="559"/>
      <c r="G502" s="559" t="str">
        <f t="shared" si="42"/>
        <v/>
      </c>
      <c r="H502" s="559" t="str">
        <f t="shared" si="43"/>
        <v/>
      </c>
      <c r="I502" s="559" t="str">
        <f t="shared" si="44"/>
        <v/>
      </c>
    </row>
    <row r="503" spans="2:9">
      <c r="B503" s="555" t="str">
        <f t="shared" si="39"/>
        <v/>
      </c>
      <c r="C503" s="556" t="str">
        <f t="shared" si="40"/>
        <v/>
      </c>
      <c r="D503" s="557" t="str">
        <f t="shared" si="41"/>
        <v/>
      </c>
      <c r="E503" s="560"/>
      <c r="F503" s="559"/>
      <c r="G503" s="559" t="str">
        <f t="shared" si="42"/>
        <v/>
      </c>
      <c r="H503" s="559" t="str">
        <f t="shared" si="43"/>
        <v/>
      </c>
      <c r="I503" s="559" t="str">
        <f t="shared" si="44"/>
        <v/>
      </c>
    </row>
    <row r="504" spans="2:9">
      <c r="B504" s="555" t="str">
        <f t="shared" si="39"/>
        <v/>
      </c>
      <c r="C504" s="556" t="str">
        <f t="shared" si="40"/>
        <v/>
      </c>
      <c r="D504" s="557" t="str">
        <f t="shared" si="41"/>
        <v/>
      </c>
      <c r="E504" s="560"/>
      <c r="F504" s="559"/>
      <c r="G504" s="559" t="str">
        <f t="shared" si="42"/>
        <v/>
      </c>
      <c r="H504" s="559" t="str">
        <f t="shared" si="43"/>
        <v/>
      </c>
      <c r="I504" s="559" t="str">
        <f t="shared" si="44"/>
        <v/>
      </c>
    </row>
    <row r="505" spans="2:9">
      <c r="B505" s="555" t="str">
        <f t="shared" si="39"/>
        <v/>
      </c>
      <c r="C505" s="556" t="str">
        <f t="shared" si="40"/>
        <v/>
      </c>
      <c r="D505" s="557" t="str">
        <f t="shared" si="41"/>
        <v/>
      </c>
      <c r="E505" s="560"/>
      <c r="F505" s="559"/>
      <c r="G505" s="559" t="str">
        <f t="shared" si="42"/>
        <v/>
      </c>
      <c r="H505" s="559" t="str">
        <f t="shared" si="43"/>
        <v/>
      </c>
      <c r="I505" s="559" t="str">
        <f t="shared" si="44"/>
        <v/>
      </c>
    </row>
    <row r="506" spans="2:9">
      <c r="B506" s="555" t="str">
        <f t="shared" si="39"/>
        <v/>
      </c>
      <c r="C506" s="556" t="str">
        <f t="shared" si="40"/>
        <v/>
      </c>
      <c r="D506" s="557" t="str">
        <f t="shared" si="41"/>
        <v/>
      </c>
      <c r="E506" s="560"/>
      <c r="F506" s="559"/>
      <c r="G506" s="559" t="str">
        <f t="shared" si="42"/>
        <v/>
      </c>
      <c r="H506" s="559" t="str">
        <f t="shared" si="43"/>
        <v/>
      </c>
      <c r="I506" s="559" t="str">
        <f t="shared" si="44"/>
        <v/>
      </c>
    </row>
    <row r="507" spans="2:9">
      <c r="B507" s="555" t="str">
        <f t="shared" si="39"/>
        <v/>
      </c>
      <c r="C507" s="556" t="str">
        <f t="shared" si="40"/>
        <v/>
      </c>
      <c r="D507" s="557" t="str">
        <f t="shared" si="41"/>
        <v/>
      </c>
      <c r="E507" s="560"/>
      <c r="F507" s="559"/>
      <c r="G507" s="559" t="str">
        <f t="shared" si="42"/>
        <v/>
      </c>
      <c r="H507" s="559" t="str">
        <f t="shared" si="43"/>
        <v/>
      </c>
      <c r="I507" s="559" t="str">
        <f t="shared" si="44"/>
        <v/>
      </c>
    </row>
    <row r="508" spans="2:9">
      <c r="B508" s="555" t="str">
        <f t="shared" si="39"/>
        <v/>
      </c>
      <c r="C508" s="556" t="str">
        <f t="shared" si="40"/>
        <v/>
      </c>
      <c r="D508" s="557" t="str">
        <f t="shared" si="41"/>
        <v/>
      </c>
      <c r="E508" s="560"/>
      <c r="F508" s="559"/>
      <c r="G508" s="559" t="str">
        <f t="shared" si="42"/>
        <v/>
      </c>
      <c r="H508" s="559" t="str">
        <f t="shared" si="43"/>
        <v/>
      </c>
      <c r="I508" s="559" t="str">
        <f t="shared" si="44"/>
        <v/>
      </c>
    </row>
    <row r="509" spans="2:9">
      <c r="B509" s="555" t="str">
        <f t="shared" ref="B509:B572" si="45">IF(I508="","",IF(roundOpt,IF(OR(B508&gt;=nper,ROUND(I508,2)&lt;=0),"",B508+1),IF(OR(B508&gt;=nper,I508&lt;=0),"",B508+1)))</f>
        <v/>
      </c>
      <c r="C509" s="556" t="str">
        <f t="shared" ref="C509:C572" si="46">IF(B509="","",IF(OR(periods_per_year=26,periods_per_year=52),IF(periods_per_year=26,IF(B509=1,fpdate,C508+14),IF(periods_per_year=52,IF(B509=1,fpdate,C508+7),"n/a")),IF(periods_per_year=24,DATE(YEAR(fpdate),MONTH(fpdate)+(B509-1)/2+IF(AND(DAY(fpdate)&gt;=15,MOD(B509,2)=0),1,0),IF(MOD(B509,2)=0,IF(DAY(fpdate)&gt;=15,DAY(fpdate)-14,DAY(fpdate)+14),DAY(fpdate))),IF(DAY(DATE(YEAR(fpdate),MONTH(fpdate)+(B509-1)*months_per_period,DAY(fpdate)))&lt;&gt;DAY(fpdate),DATE(YEAR(fpdate),MONTH(fpdate)+(B509-1)*months_per_period+1,0),DATE(YEAR(fpdate),MONTH(fpdate)+(B509-1)*months_per_period,DAY(fpdate))))))</f>
        <v/>
      </c>
      <c r="D509" s="557" t="str">
        <f t="shared" ref="D509:D572" si="47">IF(B509="","",IF(roundOpt,IF(OR(B509=nper,payment&gt;ROUND((1+rate)*I508,2)),ROUND((1+rate)*I508,2),payment),IF(OR(B509=nper,payment&gt;(1+rate)*I508),(1+rate)*I508,payment)))</f>
        <v/>
      </c>
      <c r="E509" s="560"/>
      <c r="F509" s="559"/>
      <c r="G509" s="559" t="str">
        <f t="shared" ref="G509:G572" si="48">IF(B509="","",IF(AND(B509=1,pmtType=1),0,IF(roundOpt,ROUND(rate*I508,2),rate*I508)))</f>
        <v/>
      </c>
      <c r="H509" s="559" t="str">
        <f t="shared" ref="H509:H572" si="49">IF(B509="","",D509-G509+E509)</f>
        <v/>
      </c>
      <c r="I509" s="559" t="str">
        <f t="shared" ref="I509:I572" si="50">IF(B509="","",I508-H509)</f>
        <v/>
      </c>
    </row>
    <row r="510" spans="2:9">
      <c r="B510" s="555" t="str">
        <f t="shared" si="45"/>
        <v/>
      </c>
      <c r="C510" s="556" t="str">
        <f t="shared" si="46"/>
        <v/>
      </c>
      <c r="D510" s="557" t="str">
        <f t="shared" si="47"/>
        <v/>
      </c>
      <c r="E510" s="560"/>
      <c r="F510" s="559"/>
      <c r="G510" s="559" t="str">
        <f t="shared" si="48"/>
        <v/>
      </c>
      <c r="H510" s="559" t="str">
        <f t="shared" si="49"/>
        <v/>
      </c>
      <c r="I510" s="559" t="str">
        <f t="shared" si="50"/>
        <v/>
      </c>
    </row>
    <row r="511" spans="2:9">
      <c r="B511" s="555" t="str">
        <f t="shared" si="45"/>
        <v/>
      </c>
      <c r="C511" s="556" t="str">
        <f t="shared" si="46"/>
        <v/>
      </c>
      <c r="D511" s="557" t="str">
        <f t="shared" si="47"/>
        <v/>
      </c>
      <c r="E511" s="560"/>
      <c r="F511" s="559"/>
      <c r="G511" s="559" t="str">
        <f t="shared" si="48"/>
        <v/>
      </c>
      <c r="H511" s="559" t="str">
        <f t="shared" si="49"/>
        <v/>
      </c>
      <c r="I511" s="559" t="str">
        <f t="shared" si="50"/>
        <v/>
      </c>
    </row>
    <row r="512" spans="2:9">
      <c r="B512" s="555" t="str">
        <f t="shared" si="45"/>
        <v/>
      </c>
      <c r="C512" s="556" t="str">
        <f t="shared" si="46"/>
        <v/>
      </c>
      <c r="D512" s="557" t="str">
        <f t="shared" si="47"/>
        <v/>
      </c>
      <c r="E512" s="560"/>
      <c r="F512" s="559"/>
      <c r="G512" s="559" t="str">
        <f t="shared" si="48"/>
        <v/>
      </c>
      <c r="H512" s="559" t="str">
        <f t="shared" si="49"/>
        <v/>
      </c>
      <c r="I512" s="559" t="str">
        <f t="shared" si="50"/>
        <v/>
      </c>
    </row>
    <row r="513" spans="2:9">
      <c r="B513" s="555" t="str">
        <f t="shared" si="45"/>
        <v/>
      </c>
      <c r="C513" s="556" t="str">
        <f t="shared" si="46"/>
        <v/>
      </c>
      <c r="D513" s="557" t="str">
        <f t="shared" si="47"/>
        <v/>
      </c>
      <c r="E513" s="560"/>
      <c r="F513" s="559"/>
      <c r="G513" s="559" t="str">
        <f t="shared" si="48"/>
        <v/>
      </c>
      <c r="H513" s="559" t="str">
        <f t="shared" si="49"/>
        <v/>
      </c>
      <c r="I513" s="559" t="str">
        <f t="shared" si="50"/>
        <v/>
      </c>
    </row>
    <row r="514" spans="2:9">
      <c r="B514" s="555" t="str">
        <f t="shared" si="45"/>
        <v/>
      </c>
      <c r="C514" s="556" t="str">
        <f t="shared" si="46"/>
        <v/>
      </c>
      <c r="D514" s="557" t="str">
        <f t="shared" si="47"/>
        <v/>
      </c>
      <c r="E514" s="560"/>
      <c r="F514" s="559"/>
      <c r="G514" s="559" t="str">
        <f t="shared" si="48"/>
        <v/>
      </c>
      <c r="H514" s="559" t="str">
        <f t="shared" si="49"/>
        <v/>
      </c>
      <c r="I514" s="559" t="str">
        <f t="shared" si="50"/>
        <v/>
      </c>
    </row>
    <row r="515" spans="2:9">
      <c r="B515" s="555" t="str">
        <f t="shared" si="45"/>
        <v/>
      </c>
      <c r="C515" s="556" t="str">
        <f t="shared" si="46"/>
        <v/>
      </c>
      <c r="D515" s="557" t="str">
        <f t="shared" si="47"/>
        <v/>
      </c>
      <c r="E515" s="560"/>
      <c r="F515" s="559"/>
      <c r="G515" s="559" t="str">
        <f t="shared" si="48"/>
        <v/>
      </c>
      <c r="H515" s="559" t="str">
        <f t="shared" si="49"/>
        <v/>
      </c>
      <c r="I515" s="559" t="str">
        <f t="shared" si="50"/>
        <v/>
      </c>
    </row>
    <row r="516" spans="2:9">
      <c r="B516" s="555" t="str">
        <f t="shared" si="45"/>
        <v/>
      </c>
      <c r="C516" s="556" t="str">
        <f t="shared" si="46"/>
        <v/>
      </c>
      <c r="D516" s="557" t="str">
        <f t="shared" si="47"/>
        <v/>
      </c>
      <c r="E516" s="560"/>
      <c r="F516" s="559"/>
      <c r="G516" s="559" t="str">
        <f t="shared" si="48"/>
        <v/>
      </c>
      <c r="H516" s="559" t="str">
        <f t="shared" si="49"/>
        <v/>
      </c>
      <c r="I516" s="559" t="str">
        <f t="shared" si="50"/>
        <v/>
      </c>
    </row>
    <row r="517" spans="2:9">
      <c r="B517" s="555" t="str">
        <f t="shared" si="45"/>
        <v/>
      </c>
      <c r="C517" s="556" t="str">
        <f t="shared" si="46"/>
        <v/>
      </c>
      <c r="D517" s="557" t="str">
        <f t="shared" si="47"/>
        <v/>
      </c>
      <c r="E517" s="560"/>
      <c r="F517" s="559"/>
      <c r="G517" s="559" t="str">
        <f t="shared" si="48"/>
        <v/>
      </c>
      <c r="H517" s="559" t="str">
        <f t="shared" si="49"/>
        <v/>
      </c>
      <c r="I517" s="559" t="str">
        <f t="shared" si="50"/>
        <v/>
      </c>
    </row>
    <row r="518" spans="2:9">
      <c r="B518" s="555" t="str">
        <f t="shared" si="45"/>
        <v/>
      </c>
      <c r="C518" s="556" t="str">
        <f t="shared" si="46"/>
        <v/>
      </c>
      <c r="D518" s="557" t="str">
        <f t="shared" si="47"/>
        <v/>
      </c>
      <c r="E518" s="560"/>
      <c r="F518" s="559"/>
      <c r="G518" s="559" t="str">
        <f t="shared" si="48"/>
        <v/>
      </c>
      <c r="H518" s="559" t="str">
        <f t="shared" si="49"/>
        <v/>
      </c>
      <c r="I518" s="559" t="str">
        <f t="shared" si="50"/>
        <v/>
      </c>
    </row>
    <row r="519" spans="2:9">
      <c r="B519" s="555" t="str">
        <f t="shared" si="45"/>
        <v/>
      </c>
      <c r="C519" s="556" t="str">
        <f t="shared" si="46"/>
        <v/>
      </c>
      <c r="D519" s="557" t="str">
        <f t="shared" si="47"/>
        <v/>
      </c>
      <c r="E519" s="560"/>
      <c r="F519" s="559"/>
      <c r="G519" s="559" t="str">
        <f t="shared" si="48"/>
        <v/>
      </c>
      <c r="H519" s="559" t="str">
        <f t="shared" si="49"/>
        <v/>
      </c>
      <c r="I519" s="559" t="str">
        <f t="shared" si="50"/>
        <v/>
      </c>
    </row>
    <row r="520" spans="2:9">
      <c r="B520" s="555" t="str">
        <f t="shared" si="45"/>
        <v/>
      </c>
      <c r="C520" s="556" t="str">
        <f t="shared" si="46"/>
        <v/>
      </c>
      <c r="D520" s="557" t="str">
        <f t="shared" si="47"/>
        <v/>
      </c>
      <c r="E520" s="560"/>
      <c r="F520" s="559"/>
      <c r="G520" s="559" t="str">
        <f t="shared" si="48"/>
        <v/>
      </c>
      <c r="H520" s="559" t="str">
        <f t="shared" si="49"/>
        <v/>
      </c>
      <c r="I520" s="559" t="str">
        <f t="shared" si="50"/>
        <v/>
      </c>
    </row>
    <row r="521" spans="2:9">
      <c r="B521" s="555" t="str">
        <f t="shared" si="45"/>
        <v/>
      </c>
      <c r="C521" s="556" t="str">
        <f t="shared" si="46"/>
        <v/>
      </c>
      <c r="D521" s="557" t="str">
        <f t="shared" si="47"/>
        <v/>
      </c>
      <c r="E521" s="560"/>
      <c r="F521" s="559"/>
      <c r="G521" s="559" t="str">
        <f t="shared" si="48"/>
        <v/>
      </c>
      <c r="H521" s="559" t="str">
        <f t="shared" si="49"/>
        <v/>
      </c>
      <c r="I521" s="559" t="str">
        <f t="shared" si="50"/>
        <v/>
      </c>
    </row>
    <row r="522" spans="2:9">
      <c r="B522" s="555" t="str">
        <f t="shared" si="45"/>
        <v/>
      </c>
      <c r="C522" s="556" t="str">
        <f t="shared" si="46"/>
        <v/>
      </c>
      <c r="D522" s="557" t="str">
        <f t="shared" si="47"/>
        <v/>
      </c>
      <c r="E522" s="560"/>
      <c r="F522" s="559"/>
      <c r="G522" s="559" t="str">
        <f t="shared" si="48"/>
        <v/>
      </c>
      <c r="H522" s="559" t="str">
        <f t="shared" si="49"/>
        <v/>
      </c>
      <c r="I522" s="559" t="str">
        <f t="shared" si="50"/>
        <v/>
      </c>
    </row>
    <row r="523" spans="2:9">
      <c r="B523" s="555" t="str">
        <f t="shared" si="45"/>
        <v/>
      </c>
      <c r="C523" s="556" t="str">
        <f t="shared" si="46"/>
        <v/>
      </c>
      <c r="D523" s="557" t="str">
        <f t="shared" si="47"/>
        <v/>
      </c>
      <c r="E523" s="560"/>
      <c r="F523" s="559"/>
      <c r="G523" s="559" t="str">
        <f t="shared" si="48"/>
        <v/>
      </c>
      <c r="H523" s="559" t="str">
        <f t="shared" si="49"/>
        <v/>
      </c>
      <c r="I523" s="559" t="str">
        <f t="shared" si="50"/>
        <v/>
      </c>
    </row>
    <row r="524" spans="2:9">
      <c r="B524" s="555" t="str">
        <f t="shared" si="45"/>
        <v/>
      </c>
      <c r="C524" s="556" t="str">
        <f t="shared" si="46"/>
        <v/>
      </c>
      <c r="D524" s="557" t="str">
        <f t="shared" si="47"/>
        <v/>
      </c>
      <c r="E524" s="560"/>
      <c r="F524" s="559"/>
      <c r="G524" s="559" t="str">
        <f t="shared" si="48"/>
        <v/>
      </c>
      <c r="H524" s="559" t="str">
        <f t="shared" si="49"/>
        <v/>
      </c>
      <c r="I524" s="559" t="str">
        <f t="shared" si="50"/>
        <v/>
      </c>
    </row>
    <row r="525" spans="2:9">
      <c r="B525" s="555" t="str">
        <f t="shared" si="45"/>
        <v/>
      </c>
      <c r="C525" s="556" t="str">
        <f t="shared" si="46"/>
        <v/>
      </c>
      <c r="D525" s="557" t="str">
        <f t="shared" si="47"/>
        <v/>
      </c>
      <c r="E525" s="560"/>
      <c r="F525" s="559"/>
      <c r="G525" s="559" t="str">
        <f t="shared" si="48"/>
        <v/>
      </c>
      <c r="H525" s="559" t="str">
        <f t="shared" si="49"/>
        <v/>
      </c>
      <c r="I525" s="559" t="str">
        <f t="shared" si="50"/>
        <v/>
      </c>
    </row>
    <row r="526" spans="2:9">
      <c r="B526" s="555" t="str">
        <f t="shared" si="45"/>
        <v/>
      </c>
      <c r="C526" s="556" t="str">
        <f t="shared" si="46"/>
        <v/>
      </c>
      <c r="D526" s="557" t="str">
        <f t="shared" si="47"/>
        <v/>
      </c>
      <c r="E526" s="560"/>
      <c r="F526" s="559"/>
      <c r="G526" s="559" t="str">
        <f t="shared" si="48"/>
        <v/>
      </c>
      <c r="H526" s="559" t="str">
        <f t="shared" si="49"/>
        <v/>
      </c>
      <c r="I526" s="559" t="str">
        <f t="shared" si="50"/>
        <v/>
      </c>
    </row>
    <row r="527" spans="2:9">
      <c r="B527" s="555" t="str">
        <f t="shared" si="45"/>
        <v/>
      </c>
      <c r="C527" s="556" t="str">
        <f t="shared" si="46"/>
        <v/>
      </c>
      <c r="D527" s="557" t="str">
        <f t="shared" si="47"/>
        <v/>
      </c>
      <c r="E527" s="560"/>
      <c r="F527" s="559"/>
      <c r="G527" s="559" t="str">
        <f t="shared" si="48"/>
        <v/>
      </c>
      <c r="H527" s="559" t="str">
        <f t="shared" si="49"/>
        <v/>
      </c>
      <c r="I527" s="559" t="str">
        <f t="shared" si="50"/>
        <v/>
      </c>
    </row>
    <row r="528" spans="2:9">
      <c r="B528" s="555" t="str">
        <f t="shared" si="45"/>
        <v/>
      </c>
      <c r="C528" s="556" t="str">
        <f t="shared" si="46"/>
        <v/>
      </c>
      <c r="D528" s="557" t="str">
        <f t="shared" si="47"/>
        <v/>
      </c>
      <c r="E528" s="560"/>
      <c r="F528" s="559"/>
      <c r="G528" s="559" t="str">
        <f t="shared" si="48"/>
        <v/>
      </c>
      <c r="H528" s="559" t="str">
        <f t="shared" si="49"/>
        <v/>
      </c>
      <c r="I528" s="559" t="str">
        <f t="shared" si="50"/>
        <v/>
      </c>
    </row>
    <row r="529" spans="2:9">
      <c r="B529" s="555" t="str">
        <f t="shared" si="45"/>
        <v/>
      </c>
      <c r="C529" s="556" t="str">
        <f t="shared" si="46"/>
        <v/>
      </c>
      <c r="D529" s="557" t="str">
        <f t="shared" si="47"/>
        <v/>
      </c>
      <c r="E529" s="560"/>
      <c r="F529" s="559"/>
      <c r="G529" s="559" t="str">
        <f t="shared" si="48"/>
        <v/>
      </c>
      <c r="H529" s="559" t="str">
        <f t="shared" si="49"/>
        <v/>
      </c>
      <c r="I529" s="559" t="str">
        <f t="shared" si="50"/>
        <v/>
      </c>
    </row>
    <row r="530" spans="2:9">
      <c r="B530" s="555" t="str">
        <f t="shared" si="45"/>
        <v/>
      </c>
      <c r="C530" s="556" t="str">
        <f t="shared" si="46"/>
        <v/>
      </c>
      <c r="D530" s="557" t="str">
        <f t="shared" si="47"/>
        <v/>
      </c>
      <c r="E530" s="560"/>
      <c r="F530" s="559"/>
      <c r="G530" s="559" t="str">
        <f t="shared" si="48"/>
        <v/>
      </c>
      <c r="H530" s="559" t="str">
        <f t="shared" si="49"/>
        <v/>
      </c>
      <c r="I530" s="559" t="str">
        <f t="shared" si="50"/>
        <v/>
      </c>
    </row>
    <row r="531" spans="2:9">
      <c r="B531" s="555" t="str">
        <f t="shared" si="45"/>
        <v/>
      </c>
      <c r="C531" s="556" t="str">
        <f t="shared" si="46"/>
        <v/>
      </c>
      <c r="D531" s="557" t="str">
        <f t="shared" si="47"/>
        <v/>
      </c>
      <c r="E531" s="560"/>
      <c r="F531" s="559"/>
      <c r="G531" s="559" t="str">
        <f t="shared" si="48"/>
        <v/>
      </c>
      <c r="H531" s="559" t="str">
        <f t="shared" si="49"/>
        <v/>
      </c>
      <c r="I531" s="559" t="str">
        <f t="shared" si="50"/>
        <v/>
      </c>
    </row>
    <row r="532" spans="2:9">
      <c r="B532" s="555" t="str">
        <f t="shared" si="45"/>
        <v/>
      </c>
      <c r="C532" s="556" t="str">
        <f t="shared" si="46"/>
        <v/>
      </c>
      <c r="D532" s="557" t="str">
        <f t="shared" si="47"/>
        <v/>
      </c>
      <c r="E532" s="560"/>
      <c r="F532" s="559"/>
      <c r="G532" s="559" t="str">
        <f t="shared" si="48"/>
        <v/>
      </c>
      <c r="H532" s="559" t="str">
        <f t="shared" si="49"/>
        <v/>
      </c>
      <c r="I532" s="559" t="str">
        <f t="shared" si="50"/>
        <v/>
      </c>
    </row>
    <row r="533" spans="2:9">
      <c r="B533" s="555" t="str">
        <f t="shared" si="45"/>
        <v/>
      </c>
      <c r="C533" s="556" t="str">
        <f t="shared" si="46"/>
        <v/>
      </c>
      <c r="D533" s="557" t="str">
        <f t="shared" si="47"/>
        <v/>
      </c>
      <c r="E533" s="560"/>
      <c r="F533" s="559"/>
      <c r="G533" s="559" t="str">
        <f t="shared" si="48"/>
        <v/>
      </c>
      <c r="H533" s="559" t="str">
        <f t="shared" si="49"/>
        <v/>
      </c>
      <c r="I533" s="559" t="str">
        <f t="shared" si="50"/>
        <v/>
      </c>
    </row>
    <row r="534" spans="2:9">
      <c r="B534" s="555" t="str">
        <f t="shared" si="45"/>
        <v/>
      </c>
      <c r="C534" s="556" t="str">
        <f t="shared" si="46"/>
        <v/>
      </c>
      <c r="D534" s="557" t="str">
        <f t="shared" si="47"/>
        <v/>
      </c>
      <c r="E534" s="560"/>
      <c r="F534" s="559"/>
      <c r="G534" s="559" t="str">
        <f t="shared" si="48"/>
        <v/>
      </c>
      <c r="H534" s="559" t="str">
        <f t="shared" si="49"/>
        <v/>
      </c>
      <c r="I534" s="559" t="str">
        <f t="shared" si="50"/>
        <v/>
      </c>
    </row>
    <row r="535" spans="2:9">
      <c r="B535" s="555" t="str">
        <f t="shared" si="45"/>
        <v/>
      </c>
      <c r="C535" s="556" t="str">
        <f t="shared" si="46"/>
        <v/>
      </c>
      <c r="D535" s="557" t="str">
        <f t="shared" si="47"/>
        <v/>
      </c>
      <c r="E535" s="560"/>
      <c r="F535" s="559"/>
      <c r="G535" s="559" t="str">
        <f t="shared" si="48"/>
        <v/>
      </c>
      <c r="H535" s="559" t="str">
        <f t="shared" si="49"/>
        <v/>
      </c>
      <c r="I535" s="559" t="str">
        <f t="shared" si="50"/>
        <v/>
      </c>
    </row>
    <row r="536" spans="2:9">
      <c r="B536" s="555" t="str">
        <f t="shared" si="45"/>
        <v/>
      </c>
      <c r="C536" s="556" t="str">
        <f t="shared" si="46"/>
        <v/>
      </c>
      <c r="D536" s="557" t="str">
        <f t="shared" si="47"/>
        <v/>
      </c>
      <c r="E536" s="560"/>
      <c r="F536" s="559"/>
      <c r="G536" s="559" t="str">
        <f t="shared" si="48"/>
        <v/>
      </c>
      <c r="H536" s="559" t="str">
        <f t="shared" si="49"/>
        <v/>
      </c>
      <c r="I536" s="559" t="str">
        <f t="shared" si="50"/>
        <v/>
      </c>
    </row>
    <row r="537" spans="2:9">
      <c r="B537" s="555" t="str">
        <f t="shared" si="45"/>
        <v/>
      </c>
      <c r="C537" s="556" t="str">
        <f t="shared" si="46"/>
        <v/>
      </c>
      <c r="D537" s="557" t="str">
        <f t="shared" si="47"/>
        <v/>
      </c>
      <c r="E537" s="560"/>
      <c r="F537" s="559"/>
      <c r="G537" s="559" t="str">
        <f t="shared" si="48"/>
        <v/>
      </c>
      <c r="H537" s="559" t="str">
        <f t="shared" si="49"/>
        <v/>
      </c>
      <c r="I537" s="559" t="str">
        <f t="shared" si="50"/>
        <v/>
      </c>
    </row>
    <row r="538" spans="2:9">
      <c r="B538" s="555" t="str">
        <f t="shared" si="45"/>
        <v/>
      </c>
      <c r="C538" s="556" t="str">
        <f t="shared" si="46"/>
        <v/>
      </c>
      <c r="D538" s="557" t="str">
        <f t="shared" si="47"/>
        <v/>
      </c>
      <c r="E538" s="560"/>
      <c r="F538" s="559"/>
      <c r="G538" s="559" t="str">
        <f t="shared" si="48"/>
        <v/>
      </c>
      <c r="H538" s="559" t="str">
        <f t="shared" si="49"/>
        <v/>
      </c>
      <c r="I538" s="559" t="str">
        <f t="shared" si="50"/>
        <v/>
      </c>
    </row>
    <row r="539" spans="2:9">
      <c r="B539" s="555" t="str">
        <f t="shared" si="45"/>
        <v/>
      </c>
      <c r="C539" s="556" t="str">
        <f t="shared" si="46"/>
        <v/>
      </c>
      <c r="D539" s="557" t="str">
        <f t="shared" si="47"/>
        <v/>
      </c>
      <c r="E539" s="560"/>
      <c r="F539" s="559"/>
      <c r="G539" s="559" t="str">
        <f t="shared" si="48"/>
        <v/>
      </c>
      <c r="H539" s="559" t="str">
        <f t="shared" si="49"/>
        <v/>
      </c>
      <c r="I539" s="559" t="str">
        <f t="shared" si="50"/>
        <v/>
      </c>
    </row>
    <row r="540" spans="2:9">
      <c r="B540" s="555" t="str">
        <f t="shared" si="45"/>
        <v/>
      </c>
      <c r="C540" s="556" t="str">
        <f t="shared" si="46"/>
        <v/>
      </c>
      <c r="D540" s="557" t="str">
        <f t="shared" si="47"/>
        <v/>
      </c>
      <c r="E540" s="560"/>
      <c r="F540" s="559"/>
      <c r="G540" s="559" t="str">
        <f t="shared" si="48"/>
        <v/>
      </c>
      <c r="H540" s="559" t="str">
        <f t="shared" si="49"/>
        <v/>
      </c>
      <c r="I540" s="559" t="str">
        <f t="shared" si="50"/>
        <v/>
      </c>
    </row>
    <row r="541" spans="2:9">
      <c r="B541" s="555" t="str">
        <f t="shared" si="45"/>
        <v/>
      </c>
      <c r="C541" s="556" t="str">
        <f t="shared" si="46"/>
        <v/>
      </c>
      <c r="D541" s="557" t="str">
        <f t="shared" si="47"/>
        <v/>
      </c>
      <c r="E541" s="560"/>
      <c r="F541" s="559"/>
      <c r="G541" s="559" t="str">
        <f t="shared" si="48"/>
        <v/>
      </c>
      <c r="H541" s="559" t="str">
        <f t="shared" si="49"/>
        <v/>
      </c>
      <c r="I541" s="559" t="str">
        <f t="shared" si="50"/>
        <v/>
      </c>
    </row>
    <row r="542" spans="2:9">
      <c r="B542" s="555" t="str">
        <f t="shared" si="45"/>
        <v/>
      </c>
      <c r="C542" s="556" t="str">
        <f t="shared" si="46"/>
        <v/>
      </c>
      <c r="D542" s="557" t="str">
        <f t="shared" si="47"/>
        <v/>
      </c>
      <c r="E542" s="560"/>
      <c r="F542" s="559"/>
      <c r="G542" s="559" t="str">
        <f t="shared" si="48"/>
        <v/>
      </c>
      <c r="H542" s="559" t="str">
        <f t="shared" si="49"/>
        <v/>
      </c>
      <c r="I542" s="559" t="str">
        <f t="shared" si="50"/>
        <v/>
      </c>
    </row>
    <row r="543" spans="2:9">
      <c r="B543" s="555" t="str">
        <f t="shared" si="45"/>
        <v/>
      </c>
      <c r="C543" s="556" t="str">
        <f t="shared" si="46"/>
        <v/>
      </c>
      <c r="D543" s="557" t="str">
        <f t="shared" si="47"/>
        <v/>
      </c>
      <c r="E543" s="560"/>
      <c r="F543" s="559"/>
      <c r="G543" s="559" t="str">
        <f t="shared" si="48"/>
        <v/>
      </c>
      <c r="H543" s="559" t="str">
        <f t="shared" si="49"/>
        <v/>
      </c>
      <c r="I543" s="559" t="str">
        <f t="shared" si="50"/>
        <v/>
      </c>
    </row>
    <row r="544" spans="2:9">
      <c r="B544" s="555" t="str">
        <f t="shared" si="45"/>
        <v/>
      </c>
      <c r="C544" s="556" t="str">
        <f t="shared" si="46"/>
        <v/>
      </c>
      <c r="D544" s="557" t="str">
        <f t="shared" si="47"/>
        <v/>
      </c>
      <c r="E544" s="560"/>
      <c r="F544" s="559"/>
      <c r="G544" s="559" t="str">
        <f t="shared" si="48"/>
        <v/>
      </c>
      <c r="H544" s="559" t="str">
        <f t="shared" si="49"/>
        <v/>
      </c>
      <c r="I544" s="559" t="str">
        <f t="shared" si="50"/>
        <v/>
      </c>
    </row>
    <row r="545" spans="2:9">
      <c r="B545" s="555" t="str">
        <f t="shared" si="45"/>
        <v/>
      </c>
      <c r="C545" s="556" t="str">
        <f t="shared" si="46"/>
        <v/>
      </c>
      <c r="D545" s="557" t="str">
        <f t="shared" si="47"/>
        <v/>
      </c>
      <c r="E545" s="560"/>
      <c r="F545" s="559"/>
      <c r="G545" s="559" t="str">
        <f t="shared" si="48"/>
        <v/>
      </c>
      <c r="H545" s="559" t="str">
        <f t="shared" si="49"/>
        <v/>
      </c>
      <c r="I545" s="559" t="str">
        <f t="shared" si="50"/>
        <v/>
      </c>
    </row>
    <row r="546" spans="2:9">
      <c r="B546" s="555" t="str">
        <f t="shared" si="45"/>
        <v/>
      </c>
      <c r="C546" s="556" t="str">
        <f t="shared" si="46"/>
        <v/>
      </c>
      <c r="D546" s="557" t="str">
        <f t="shared" si="47"/>
        <v/>
      </c>
      <c r="E546" s="560"/>
      <c r="F546" s="559"/>
      <c r="G546" s="559" t="str">
        <f t="shared" si="48"/>
        <v/>
      </c>
      <c r="H546" s="559" t="str">
        <f t="shared" si="49"/>
        <v/>
      </c>
      <c r="I546" s="559" t="str">
        <f t="shared" si="50"/>
        <v/>
      </c>
    </row>
    <row r="547" spans="2:9">
      <c r="B547" s="555" t="str">
        <f t="shared" si="45"/>
        <v/>
      </c>
      <c r="C547" s="556" t="str">
        <f t="shared" si="46"/>
        <v/>
      </c>
      <c r="D547" s="557" t="str">
        <f t="shared" si="47"/>
        <v/>
      </c>
      <c r="E547" s="560"/>
      <c r="F547" s="559"/>
      <c r="G547" s="559" t="str">
        <f t="shared" si="48"/>
        <v/>
      </c>
      <c r="H547" s="559" t="str">
        <f t="shared" si="49"/>
        <v/>
      </c>
      <c r="I547" s="559" t="str">
        <f t="shared" si="50"/>
        <v/>
      </c>
    </row>
    <row r="548" spans="2:9">
      <c r="B548" s="555" t="str">
        <f t="shared" si="45"/>
        <v/>
      </c>
      <c r="C548" s="556" t="str">
        <f t="shared" si="46"/>
        <v/>
      </c>
      <c r="D548" s="557" t="str">
        <f t="shared" si="47"/>
        <v/>
      </c>
      <c r="E548" s="560"/>
      <c r="F548" s="559"/>
      <c r="G548" s="559" t="str">
        <f t="shared" si="48"/>
        <v/>
      </c>
      <c r="H548" s="559" t="str">
        <f t="shared" si="49"/>
        <v/>
      </c>
      <c r="I548" s="559" t="str">
        <f t="shared" si="50"/>
        <v/>
      </c>
    </row>
    <row r="549" spans="2:9">
      <c r="B549" s="555" t="str">
        <f t="shared" si="45"/>
        <v/>
      </c>
      <c r="C549" s="556" t="str">
        <f t="shared" si="46"/>
        <v/>
      </c>
      <c r="D549" s="557" t="str">
        <f t="shared" si="47"/>
        <v/>
      </c>
      <c r="E549" s="560"/>
      <c r="F549" s="559"/>
      <c r="G549" s="559" t="str">
        <f t="shared" si="48"/>
        <v/>
      </c>
      <c r="H549" s="559" t="str">
        <f t="shared" si="49"/>
        <v/>
      </c>
      <c r="I549" s="559" t="str">
        <f t="shared" si="50"/>
        <v/>
      </c>
    </row>
    <row r="550" spans="2:9">
      <c r="B550" s="555" t="str">
        <f t="shared" si="45"/>
        <v/>
      </c>
      <c r="C550" s="556" t="str">
        <f t="shared" si="46"/>
        <v/>
      </c>
      <c r="D550" s="557" t="str">
        <f t="shared" si="47"/>
        <v/>
      </c>
      <c r="E550" s="560"/>
      <c r="F550" s="559"/>
      <c r="G550" s="559" t="str">
        <f t="shared" si="48"/>
        <v/>
      </c>
      <c r="H550" s="559" t="str">
        <f t="shared" si="49"/>
        <v/>
      </c>
      <c r="I550" s="559" t="str">
        <f t="shared" si="50"/>
        <v/>
      </c>
    </row>
    <row r="551" spans="2:9">
      <c r="B551" s="555" t="str">
        <f t="shared" si="45"/>
        <v/>
      </c>
      <c r="C551" s="556" t="str">
        <f t="shared" si="46"/>
        <v/>
      </c>
      <c r="D551" s="557" t="str">
        <f t="shared" si="47"/>
        <v/>
      </c>
      <c r="E551" s="560"/>
      <c r="F551" s="559"/>
      <c r="G551" s="559" t="str">
        <f t="shared" si="48"/>
        <v/>
      </c>
      <c r="H551" s="559" t="str">
        <f t="shared" si="49"/>
        <v/>
      </c>
      <c r="I551" s="559" t="str">
        <f t="shared" si="50"/>
        <v/>
      </c>
    </row>
    <row r="552" spans="2:9">
      <c r="B552" s="555" t="str">
        <f t="shared" si="45"/>
        <v/>
      </c>
      <c r="C552" s="556" t="str">
        <f t="shared" si="46"/>
        <v/>
      </c>
      <c r="D552" s="557" t="str">
        <f t="shared" si="47"/>
        <v/>
      </c>
      <c r="E552" s="560"/>
      <c r="F552" s="559"/>
      <c r="G552" s="559" t="str">
        <f t="shared" si="48"/>
        <v/>
      </c>
      <c r="H552" s="559" t="str">
        <f t="shared" si="49"/>
        <v/>
      </c>
      <c r="I552" s="559" t="str">
        <f t="shared" si="50"/>
        <v/>
      </c>
    </row>
    <row r="553" spans="2:9">
      <c r="B553" s="555" t="str">
        <f t="shared" si="45"/>
        <v/>
      </c>
      <c r="C553" s="556" t="str">
        <f t="shared" si="46"/>
        <v/>
      </c>
      <c r="D553" s="557" t="str">
        <f t="shared" si="47"/>
        <v/>
      </c>
      <c r="E553" s="560"/>
      <c r="F553" s="559"/>
      <c r="G553" s="559" t="str">
        <f t="shared" si="48"/>
        <v/>
      </c>
      <c r="H553" s="559" t="str">
        <f t="shared" si="49"/>
        <v/>
      </c>
      <c r="I553" s="559" t="str">
        <f t="shared" si="50"/>
        <v/>
      </c>
    </row>
    <row r="554" spans="2:9">
      <c r="B554" s="555" t="str">
        <f t="shared" si="45"/>
        <v/>
      </c>
      <c r="C554" s="556" t="str">
        <f t="shared" si="46"/>
        <v/>
      </c>
      <c r="D554" s="557" t="str">
        <f t="shared" si="47"/>
        <v/>
      </c>
      <c r="E554" s="560"/>
      <c r="F554" s="559"/>
      <c r="G554" s="559" t="str">
        <f t="shared" si="48"/>
        <v/>
      </c>
      <c r="H554" s="559" t="str">
        <f t="shared" si="49"/>
        <v/>
      </c>
      <c r="I554" s="559" t="str">
        <f t="shared" si="50"/>
        <v/>
      </c>
    </row>
    <row r="555" spans="2:9">
      <c r="B555" s="555" t="str">
        <f t="shared" si="45"/>
        <v/>
      </c>
      <c r="C555" s="556" t="str">
        <f t="shared" si="46"/>
        <v/>
      </c>
      <c r="D555" s="557" t="str">
        <f t="shared" si="47"/>
        <v/>
      </c>
      <c r="E555" s="560"/>
      <c r="F555" s="559"/>
      <c r="G555" s="559" t="str">
        <f t="shared" si="48"/>
        <v/>
      </c>
      <c r="H555" s="559" t="str">
        <f t="shared" si="49"/>
        <v/>
      </c>
      <c r="I555" s="559" t="str">
        <f t="shared" si="50"/>
        <v/>
      </c>
    </row>
    <row r="556" spans="2:9">
      <c r="B556" s="555" t="str">
        <f t="shared" si="45"/>
        <v/>
      </c>
      <c r="C556" s="556" t="str">
        <f t="shared" si="46"/>
        <v/>
      </c>
      <c r="D556" s="557" t="str">
        <f t="shared" si="47"/>
        <v/>
      </c>
      <c r="E556" s="560"/>
      <c r="F556" s="559"/>
      <c r="G556" s="559" t="str">
        <f t="shared" si="48"/>
        <v/>
      </c>
      <c r="H556" s="559" t="str">
        <f t="shared" si="49"/>
        <v/>
      </c>
      <c r="I556" s="559" t="str">
        <f t="shared" si="50"/>
        <v/>
      </c>
    </row>
    <row r="557" spans="2:9">
      <c r="B557" s="555" t="str">
        <f t="shared" si="45"/>
        <v/>
      </c>
      <c r="C557" s="556" t="str">
        <f t="shared" si="46"/>
        <v/>
      </c>
      <c r="D557" s="557" t="str">
        <f t="shared" si="47"/>
        <v/>
      </c>
      <c r="E557" s="560"/>
      <c r="F557" s="559"/>
      <c r="G557" s="559" t="str">
        <f t="shared" si="48"/>
        <v/>
      </c>
      <c r="H557" s="559" t="str">
        <f t="shared" si="49"/>
        <v/>
      </c>
      <c r="I557" s="559" t="str">
        <f t="shared" si="50"/>
        <v/>
      </c>
    </row>
    <row r="558" spans="2:9">
      <c r="B558" s="555" t="str">
        <f t="shared" si="45"/>
        <v/>
      </c>
      <c r="C558" s="556" t="str">
        <f t="shared" si="46"/>
        <v/>
      </c>
      <c r="D558" s="557" t="str">
        <f t="shared" si="47"/>
        <v/>
      </c>
      <c r="E558" s="560"/>
      <c r="F558" s="559"/>
      <c r="G558" s="559" t="str">
        <f t="shared" si="48"/>
        <v/>
      </c>
      <c r="H558" s="559" t="str">
        <f t="shared" si="49"/>
        <v/>
      </c>
      <c r="I558" s="559" t="str">
        <f t="shared" si="50"/>
        <v/>
      </c>
    </row>
    <row r="559" spans="2:9">
      <c r="B559" s="555" t="str">
        <f t="shared" si="45"/>
        <v/>
      </c>
      <c r="C559" s="556" t="str">
        <f t="shared" si="46"/>
        <v/>
      </c>
      <c r="D559" s="557" t="str">
        <f t="shared" si="47"/>
        <v/>
      </c>
      <c r="E559" s="560"/>
      <c r="F559" s="559"/>
      <c r="G559" s="559" t="str">
        <f t="shared" si="48"/>
        <v/>
      </c>
      <c r="H559" s="559" t="str">
        <f t="shared" si="49"/>
        <v/>
      </c>
      <c r="I559" s="559" t="str">
        <f t="shared" si="50"/>
        <v/>
      </c>
    </row>
    <row r="560" spans="2:9">
      <c r="B560" s="555" t="str">
        <f t="shared" si="45"/>
        <v/>
      </c>
      <c r="C560" s="556" t="str">
        <f t="shared" si="46"/>
        <v/>
      </c>
      <c r="D560" s="557" t="str">
        <f t="shared" si="47"/>
        <v/>
      </c>
      <c r="E560" s="560"/>
      <c r="F560" s="559"/>
      <c r="G560" s="559" t="str">
        <f t="shared" si="48"/>
        <v/>
      </c>
      <c r="H560" s="559" t="str">
        <f t="shared" si="49"/>
        <v/>
      </c>
      <c r="I560" s="559" t="str">
        <f t="shared" si="50"/>
        <v/>
      </c>
    </row>
    <row r="561" spans="2:9">
      <c r="B561" s="555" t="str">
        <f t="shared" si="45"/>
        <v/>
      </c>
      <c r="C561" s="556" t="str">
        <f t="shared" si="46"/>
        <v/>
      </c>
      <c r="D561" s="557" t="str">
        <f t="shared" si="47"/>
        <v/>
      </c>
      <c r="E561" s="560"/>
      <c r="F561" s="559"/>
      <c r="G561" s="559" t="str">
        <f t="shared" si="48"/>
        <v/>
      </c>
      <c r="H561" s="559" t="str">
        <f t="shared" si="49"/>
        <v/>
      </c>
      <c r="I561" s="559" t="str">
        <f t="shared" si="50"/>
        <v/>
      </c>
    </row>
    <row r="562" spans="2:9">
      <c r="B562" s="555" t="str">
        <f t="shared" si="45"/>
        <v/>
      </c>
      <c r="C562" s="556" t="str">
        <f t="shared" si="46"/>
        <v/>
      </c>
      <c r="D562" s="557" t="str">
        <f t="shared" si="47"/>
        <v/>
      </c>
      <c r="E562" s="560"/>
      <c r="F562" s="559"/>
      <c r="G562" s="559" t="str">
        <f t="shared" si="48"/>
        <v/>
      </c>
      <c r="H562" s="559" t="str">
        <f t="shared" si="49"/>
        <v/>
      </c>
      <c r="I562" s="559" t="str">
        <f t="shared" si="50"/>
        <v/>
      </c>
    </row>
    <row r="563" spans="2:9">
      <c r="B563" s="555" t="str">
        <f t="shared" si="45"/>
        <v/>
      </c>
      <c r="C563" s="556" t="str">
        <f t="shared" si="46"/>
        <v/>
      </c>
      <c r="D563" s="557" t="str">
        <f t="shared" si="47"/>
        <v/>
      </c>
      <c r="E563" s="560"/>
      <c r="F563" s="559"/>
      <c r="G563" s="559" t="str">
        <f t="shared" si="48"/>
        <v/>
      </c>
      <c r="H563" s="559" t="str">
        <f t="shared" si="49"/>
        <v/>
      </c>
      <c r="I563" s="559" t="str">
        <f t="shared" si="50"/>
        <v/>
      </c>
    </row>
    <row r="564" spans="2:9">
      <c r="B564" s="555" t="str">
        <f t="shared" si="45"/>
        <v/>
      </c>
      <c r="C564" s="556" t="str">
        <f t="shared" si="46"/>
        <v/>
      </c>
      <c r="D564" s="557" t="str">
        <f t="shared" si="47"/>
        <v/>
      </c>
      <c r="E564" s="560"/>
      <c r="F564" s="559"/>
      <c r="G564" s="559" t="str">
        <f t="shared" si="48"/>
        <v/>
      </c>
      <c r="H564" s="559" t="str">
        <f t="shared" si="49"/>
        <v/>
      </c>
      <c r="I564" s="559" t="str">
        <f t="shared" si="50"/>
        <v/>
      </c>
    </row>
    <row r="565" spans="2:9">
      <c r="B565" s="555" t="str">
        <f t="shared" si="45"/>
        <v/>
      </c>
      <c r="C565" s="556" t="str">
        <f t="shared" si="46"/>
        <v/>
      </c>
      <c r="D565" s="557" t="str">
        <f t="shared" si="47"/>
        <v/>
      </c>
      <c r="E565" s="560"/>
      <c r="F565" s="559"/>
      <c r="G565" s="559" t="str">
        <f t="shared" si="48"/>
        <v/>
      </c>
      <c r="H565" s="559" t="str">
        <f t="shared" si="49"/>
        <v/>
      </c>
      <c r="I565" s="559" t="str">
        <f t="shared" si="50"/>
        <v/>
      </c>
    </row>
    <row r="566" spans="2:9">
      <c r="B566" s="555" t="str">
        <f t="shared" si="45"/>
        <v/>
      </c>
      <c r="C566" s="556" t="str">
        <f t="shared" si="46"/>
        <v/>
      </c>
      <c r="D566" s="557" t="str">
        <f t="shared" si="47"/>
        <v/>
      </c>
      <c r="E566" s="560"/>
      <c r="F566" s="559"/>
      <c r="G566" s="559" t="str">
        <f t="shared" si="48"/>
        <v/>
      </c>
      <c r="H566" s="559" t="str">
        <f t="shared" si="49"/>
        <v/>
      </c>
      <c r="I566" s="559" t="str">
        <f t="shared" si="50"/>
        <v/>
      </c>
    </row>
    <row r="567" spans="2:9">
      <c r="B567" s="555" t="str">
        <f t="shared" si="45"/>
        <v/>
      </c>
      <c r="C567" s="556" t="str">
        <f t="shared" si="46"/>
        <v/>
      </c>
      <c r="D567" s="557" t="str">
        <f t="shared" si="47"/>
        <v/>
      </c>
      <c r="E567" s="560"/>
      <c r="F567" s="559"/>
      <c r="G567" s="559" t="str">
        <f t="shared" si="48"/>
        <v/>
      </c>
      <c r="H567" s="559" t="str">
        <f t="shared" si="49"/>
        <v/>
      </c>
      <c r="I567" s="559" t="str">
        <f t="shared" si="50"/>
        <v/>
      </c>
    </row>
    <row r="568" spans="2:9">
      <c r="B568" s="555" t="str">
        <f t="shared" si="45"/>
        <v/>
      </c>
      <c r="C568" s="556" t="str">
        <f t="shared" si="46"/>
        <v/>
      </c>
      <c r="D568" s="557" t="str">
        <f t="shared" si="47"/>
        <v/>
      </c>
      <c r="E568" s="560"/>
      <c r="F568" s="559"/>
      <c r="G568" s="559" t="str">
        <f t="shared" si="48"/>
        <v/>
      </c>
      <c r="H568" s="559" t="str">
        <f t="shared" si="49"/>
        <v/>
      </c>
      <c r="I568" s="559" t="str">
        <f t="shared" si="50"/>
        <v/>
      </c>
    </row>
    <row r="569" spans="2:9">
      <c r="B569" s="555" t="str">
        <f t="shared" si="45"/>
        <v/>
      </c>
      <c r="C569" s="556" t="str">
        <f t="shared" si="46"/>
        <v/>
      </c>
      <c r="D569" s="557" t="str">
        <f t="shared" si="47"/>
        <v/>
      </c>
      <c r="E569" s="560"/>
      <c r="F569" s="559"/>
      <c r="G569" s="559" t="str">
        <f t="shared" si="48"/>
        <v/>
      </c>
      <c r="H569" s="559" t="str">
        <f t="shared" si="49"/>
        <v/>
      </c>
      <c r="I569" s="559" t="str">
        <f t="shared" si="50"/>
        <v/>
      </c>
    </row>
    <row r="570" spans="2:9">
      <c r="B570" s="555" t="str">
        <f t="shared" si="45"/>
        <v/>
      </c>
      <c r="C570" s="556" t="str">
        <f t="shared" si="46"/>
        <v/>
      </c>
      <c r="D570" s="557" t="str">
        <f t="shared" si="47"/>
        <v/>
      </c>
      <c r="E570" s="560"/>
      <c r="F570" s="559"/>
      <c r="G570" s="559" t="str">
        <f t="shared" si="48"/>
        <v/>
      </c>
      <c r="H570" s="559" t="str">
        <f t="shared" si="49"/>
        <v/>
      </c>
      <c r="I570" s="559" t="str">
        <f t="shared" si="50"/>
        <v/>
      </c>
    </row>
    <row r="571" spans="2:9">
      <c r="B571" s="555" t="str">
        <f t="shared" si="45"/>
        <v/>
      </c>
      <c r="C571" s="556" t="str">
        <f t="shared" si="46"/>
        <v/>
      </c>
      <c r="D571" s="557" t="str">
        <f t="shared" si="47"/>
        <v/>
      </c>
      <c r="E571" s="560"/>
      <c r="F571" s="559"/>
      <c r="G571" s="559" t="str">
        <f t="shared" si="48"/>
        <v/>
      </c>
      <c r="H571" s="559" t="str">
        <f t="shared" si="49"/>
        <v/>
      </c>
      <c r="I571" s="559" t="str">
        <f t="shared" si="50"/>
        <v/>
      </c>
    </row>
    <row r="572" spans="2:9">
      <c r="B572" s="555" t="str">
        <f t="shared" si="45"/>
        <v/>
      </c>
      <c r="C572" s="556" t="str">
        <f t="shared" si="46"/>
        <v/>
      </c>
      <c r="D572" s="557" t="str">
        <f t="shared" si="47"/>
        <v/>
      </c>
      <c r="E572" s="560"/>
      <c r="F572" s="559"/>
      <c r="G572" s="559" t="str">
        <f t="shared" si="48"/>
        <v/>
      </c>
      <c r="H572" s="559" t="str">
        <f t="shared" si="49"/>
        <v/>
      </c>
      <c r="I572" s="559" t="str">
        <f t="shared" si="50"/>
        <v/>
      </c>
    </row>
    <row r="573" spans="2:9">
      <c r="B573" s="555" t="str">
        <f t="shared" ref="B573:B636" si="51">IF(I572="","",IF(roundOpt,IF(OR(B572&gt;=nper,ROUND(I572,2)&lt;=0),"",B572+1),IF(OR(B572&gt;=nper,I572&lt;=0),"",B572+1)))</f>
        <v/>
      </c>
      <c r="C573" s="556" t="str">
        <f t="shared" ref="C573:C636" si="52">IF(B573="","",IF(OR(periods_per_year=26,periods_per_year=52),IF(periods_per_year=26,IF(B573=1,fpdate,C572+14),IF(periods_per_year=52,IF(B573=1,fpdate,C572+7),"n/a")),IF(periods_per_year=24,DATE(YEAR(fpdate),MONTH(fpdate)+(B573-1)/2+IF(AND(DAY(fpdate)&gt;=15,MOD(B573,2)=0),1,0),IF(MOD(B573,2)=0,IF(DAY(fpdate)&gt;=15,DAY(fpdate)-14,DAY(fpdate)+14),DAY(fpdate))),IF(DAY(DATE(YEAR(fpdate),MONTH(fpdate)+(B573-1)*months_per_period,DAY(fpdate)))&lt;&gt;DAY(fpdate),DATE(YEAR(fpdate),MONTH(fpdate)+(B573-1)*months_per_period+1,0),DATE(YEAR(fpdate),MONTH(fpdate)+(B573-1)*months_per_period,DAY(fpdate))))))</f>
        <v/>
      </c>
      <c r="D573" s="557" t="str">
        <f t="shared" ref="D573:D636" si="53">IF(B573="","",IF(roundOpt,IF(OR(B573=nper,payment&gt;ROUND((1+rate)*I572,2)),ROUND((1+rate)*I572,2),payment),IF(OR(B573=nper,payment&gt;(1+rate)*I572),(1+rate)*I572,payment)))</f>
        <v/>
      </c>
      <c r="E573" s="560"/>
      <c r="F573" s="559"/>
      <c r="G573" s="559" t="str">
        <f t="shared" ref="G573:G636" si="54">IF(B573="","",IF(AND(B573=1,pmtType=1),0,IF(roundOpt,ROUND(rate*I572,2),rate*I572)))</f>
        <v/>
      </c>
      <c r="H573" s="559" t="str">
        <f t="shared" ref="H573:H636" si="55">IF(B573="","",D573-G573+E573)</f>
        <v/>
      </c>
      <c r="I573" s="559" t="str">
        <f t="shared" ref="I573:I636" si="56">IF(B573="","",I572-H573)</f>
        <v/>
      </c>
    </row>
    <row r="574" spans="2:9">
      <c r="B574" s="555" t="str">
        <f t="shared" si="51"/>
        <v/>
      </c>
      <c r="C574" s="556" t="str">
        <f t="shared" si="52"/>
        <v/>
      </c>
      <c r="D574" s="557" t="str">
        <f t="shared" si="53"/>
        <v/>
      </c>
      <c r="E574" s="560"/>
      <c r="F574" s="559"/>
      <c r="G574" s="559" t="str">
        <f t="shared" si="54"/>
        <v/>
      </c>
      <c r="H574" s="559" t="str">
        <f t="shared" si="55"/>
        <v/>
      </c>
      <c r="I574" s="559" t="str">
        <f t="shared" si="56"/>
        <v/>
      </c>
    </row>
    <row r="575" spans="2:9">
      <c r="B575" s="555" t="str">
        <f t="shared" si="51"/>
        <v/>
      </c>
      <c r="C575" s="556" t="str">
        <f t="shared" si="52"/>
        <v/>
      </c>
      <c r="D575" s="557" t="str">
        <f t="shared" si="53"/>
        <v/>
      </c>
      <c r="E575" s="560"/>
      <c r="F575" s="559"/>
      <c r="G575" s="559" t="str">
        <f t="shared" si="54"/>
        <v/>
      </c>
      <c r="H575" s="559" t="str">
        <f t="shared" si="55"/>
        <v/>
      </c>
      <c r="I575" s="559" t="str">
        <f t="shared" si="56"/>
        <v/>
      </c>
    </row>
    <row r="576" spans="2:9">
      <c r="B576" s="555" t="str">
        <f t="shared" si="51"/>
        <v/>
      </c>
      <c r="C576" s="556" t="str">
        <f t="shared" si="52"/>
        <v/>
      </c>
      <c r="D576" s="557" t="str">
        <f t="shared" si="53"/>
        <v/>
      </c>
      <c r="E576" s="560"/>
      <c r="F576" s="559"/>
      <c r="G576" s="559" t="str">
        <f t="shared" si="54"/>
        <v/>
      </c>
      <c r="H576" s="559" t="str">
        <f t="shared" si="55"/>
        <v/>
      </c>
      <c r="I576" s="559" t="str">
        <f t="shared" si="56"/>
        <v/>
      </c>
    </row>
    <row r="577" spans="2:9">
      <c r="B577" s="555" t="str">
        <f t="shared" si="51"/>
        <v/>
      </c>
      <c r="C577" s="556" t="str">
        <f t="shared" si="52"/>
        <v/>
      </c>
      <c r="D577" s="557" t="str">
        <f t="shared" si="53"/>
        <v/>
      </c>
      <c r="E577" s="560"/>
      <c r="F577" s="559"/>
      <c r="G577" s="559" t="str">
        <f t="shared" si="54"/>
        <v/>
      </c>
      <c r="H577" s="559" t="str">
        <f t="shared" si="55"/>
        <v/>
      </c>
      <c r="I577" s="559" t="str">
        <f t="shared" si="56"/>
        <v/>
      </c>
    </row>
    <row r="578" spans="2:9">
      <c r="B578" s="555" t="str">
        <f t="shared" si="51"/>
        <v/>
      </c>
      <c r="C578" s="556" t="str">
        <f t="shared" si="52"/>
        <v/>
      </c>
      <c r="D578" s="557" t="str">
        <f t="shared" si="53"/>
        <v/>
      </c>
      <c r="E578" s="560"/>
      <c r="F578" s="559"/>
      <c r="G578" s="559" t="str">
        <f t="shared" si="54"/>
        <v/>
      </c>
      <c r="H578" s="559" t="str">
        <f t="shared" si="55"/>
        <v/>
      </c>
      <c r="I578" s="559" t="str">
        <f t="shared" si="56"/>
        <v/>
      </c>
    </row>
    <row r="579" spans="2:9">
      <c r="B579" s="555" t="str">
        <f t="shared" si="51"/>
        <v/>
      </c>
      <c r="C579" s="556" t="str">
        <f t="shared" si="52"/>
        <v/>
      </c>
      <c r="D579" s="557" t="str">
        <f t="shared" si="53"/>
        <v/>
      </c>
      <c r="E579" s="560"/>
      <c r="F579" s="559"/>
      <c r="G579" s="559" t="str">
        <f t="shared" si="54"/>
        <v/>
      </c>
      <c r="H579" s="559" t="str">
        <f t="shared" si="55"/>
        <v/>
      </c>
      <c r="I579" s="559" t="str">
        <f t="shared" si="56"/>
        <v/>
      </c>
    </row>
    <row r="580" spans="2:9">
      <c r="B580" s="555" t="str">
        <f t="shared" si="51"/>
        <v/>
      </c>
      <c r="C580" s="556" t="str">
        <f t="shared" si="52"/>
        <v/>
      </c>
      <c r="D580" s="557" t="str">
        <f t="shared" si="53"/>
        <v/>
      </c>
      <c r="E580" s="560"/>
      <c r="F580" s="559"/>
      <c r="G580" s="559" t="str">
        <f t="shared" si="54"/>
        <v/>
      </c>
      <c r="H580" s="559" t="str">
        <f t="shared" si="55"/>
        <v/>
      </c>
      <c r="I580" s="559" t="str">
        <f t="shared" si="56"/>
        <v/>
      </c>
    </row>
    <row r="581" spans="2:9">
      <c r="B581" s="555" t="str">
        <f t="shared" si="51"/>
        <v/>
      </c>
      <c r="C581" s="556" t="str">
        <f t="shared" si="52"/>
        <v/>
      </c>
      <c r="D581" s="557" t="str">
        <f t="shared" si="53"/>
        <v/>
      </c>
      <c r="E581" s="560"/>
      <c r="F581" s="559"/>
      <c r="G581" s="559" t="str">
        <f t="shared" si="54"/>
        <v/>
      </c>
      <c r="H581" s="559" t="str">
        <f t="shared" si="55"/>
        <v/>
      </c>
      <c r="I581" s="559" t="str">
        <f t="shared" si="56"/>
        <v/>
      </c>
    </row>
    <row r="582" spans="2:9">
      <c r="B582" s="555" t="str">
        <f t="shared" si="51"/>
        <v/>
      </c>
      <c r="C582" s="556" t="str">
        <f t="shared" si="52"/>
        <v/>
      </c>
      <c r="D582" s="557" t="str">
        <f t="shared" si="53"/>
        <v/>
      </c>
      <c r="E582" s="560"/>
      <c r="F582" s="559"/>
      <c r="G582" s="559" t="str">
        <f t="shared" si="54"/>
        <v/>
      </c>
      <c r="H582" s="559" t="str">
        <f t="shared" si="55"/>
        <v/>
      </c>
      <c r="I582" s="559" t="str">
        <f t="shared" si="56"/>
        <v/>
      </c>
    </row>
    <row r="583" spans="2:9">
      <c r="B583" s="555" t="str">
        <f t="shared" si="51"/>
        <v/>
      </c>
      <c r="C583" s="556" t="str">
        <f t="shared" si="52"/>
        <v/>
      </c>
      <c r="D583" s="557" t="str">
        <f t="shared" si="53"/>
        <v/>
      </c>
      <c r="E583" s="560"/>
      <c r="F583" s="559"/>
      <c r="G583" s="559" t="str">
        <f t="shared" si="54"/>
        <v/>
      </c>
      <c r="H583" s="559" t="str">
        <f t="shared" si="55"/>
        <v/>
      </c>
      <c r="I583" s="559" t="str">
        <f t="shared" si="56"/>
        <v/>
      </c>
    </row>
    <row r="584" spans="2:9">
      <c r="B584" s="555" t="str">
        <f t="shared" si="51"/>
        <v/>
      </c>
      <c r="C584" s="556" t="str">
        <f t="shared" si="52"/>
        <v/>
      </c>
      <c r="D584" s="557" t="str">
        <f t="shared" si="53"/>
        <v/>
      </c>
      <c r="E584" s="560"/>
      <c r="F584" s="559"/>
      <c r="G584" s="559" t="str">
        <f t="shared" si="54"/>
        <v/>
      </c>
      <c r="H584" s="559" t="str">
        <f t="shared" si="55"/>
        <v/>
      </c>
      <c r="I584" s="559" t="str">
        <f t="shared" si="56"/>
        <v/>
      </c>
    </row>
    <row r="585" spans="2:9">
      <c r="B585" s="555" t="str">
        <f t="shared" si="51"/>
        <v/>
      </c>
      <c r="C585" s="556" t="str">
        <f t="shared" si="52"/>
        <v/>
      </c>
      <c r="D585" s="557" t="str">
        <f t="shared" si="53"/>
        <v/>
      </c>
      <c r="E585" s="560"/>
      <c r="F585" s="559"/>
      <c r="G585" s="559" t="str">
        <f t="shared" si="54"/>
        <v/>
      </c>
      <c r="H585" s="559" t="str">
        <f t="shared" si="55"/>
        <v/>
      </c>
      <c r="I585" s="559" t="str">
        <f t="shared" si="56"/>
        <v/>
      </c>
    </row>
    <row r="586" spans="2:9">
      <c r="B586" s="555" t="str">
        <f t="shared" si="51"/>
        <v/>
      </c>
      <c r="C586" s="556" t="str">
        <f t="shared" si="52"/>
        <v/>
      </c>
      <c r="D586" s="557" t="str">
        <f t="shared" si="53"/>
        <v/>
      </c>
      <c r="E586" s="560"/>
      <c r="F586" s="559"/>
      <c r="G586" s="559" t="str">
        <f t="shared" si="54"/>
        <v/>
      </c>
      <c r="H586" s="559" t="str">
        <f t="shared" si="55"/>
        <v/>
      </c>
      <c r="I586" s="559" t="str">
        <f t="shared" si="56"/>
        <v/>
      </c>
    </row>
    <row r="587" spans="2:9">
      <c r="B587" s="555" t="str">
        <f t="shared" si="51"/>
        <v/>
      </c>
      <c r="C587" s="556" t="str">
        <f t="shared" si="52"/>
        <v/>
      </c>
      <c r="D587" s="557" t="str">
        <f t="shared" si="53"/>
        <v/>
      </c>
      <c r="E587" s="560"/>
      <c r="F587" s="559"/>
      <c r="G587" s="559" t="str">
        <f t="shared" si="54"/>
        <v/>
      </c>
      <c r="H587" s="559" t="str">
        <f t="shared" si="55"/>
        <v/>
      </c>
      <c r="I587" s="559" t="str">
        <f t="shared" si="56"/>
        <v/>
      </c>
    </row>
    <row r="588" spans="2:9">
      <c r="B588" s="555" t="str">
        <f t="shared" si="51"/>
        <v/>
      </c>
      <c r="C588" s="556" t="str">
        <f t="shared" si="52"/>
        <v/>
      </c>
      <c r="D588" s="557" t="str">
        <f t="shared" si="53"/>
        <v/>
      </c>
      <c r="E588" s="560"/>
      <c r="F588" s="559"/>
      <c r="G588" s="559" t="str">
        <f t="shared" si="54"/>
        <v/>
      </c>
      <c r="H588" s="559" t="str">
        <f t="shared" si="55"/>
        <v/>
      </c>
      <c r="I588" s="559" t="str">
        <f t="shared" si="56"/>
        <v/>
      </c>
    </row>
    <row r="589" spans="2:9">
      <c r="B589" s="555" t="str">
        <f t="shared" si="51"/>
        <v/>
      </c>
      <c r="C589" s="556" t="str">
        <f t="shared" si="52"/>
        <v/>
      </c>
      <c r="D589" s="557" t="str">
        <f t="shared" si="53"/>
        <v/>
      </c>
      <c r="E589" s="560"/>
      <c r="F589" s="559"/>
      <c r="G589" s="559" t="str">
        <f t="shared" si="54"/>
        <v/>
      </c>
      <c r="H589" s="559" t="str">
        <f t="shared" si="55"/>
        <v/>
      </c>
      <c r="I589" s="559" t="str">
        <f t="shared" si="56"/>
        <v/>
      </c>
    </row>
    <row r="590" spans="2:9">
      <c r="B590" s="555" t="str">
        <f t="shared" si="51"/>
        <v/>
      </c>
      <c r="C590" s="556" t="str">
        <f t="shared" si="52"/>
        <v/>
      </c>
      <c r="D590" s="557" t="str">
        <f t="shared" si="53"/>
        <v/>
      </c>
      <c r="E590" s="560"/>
      <c r="F590" s="559"/>
      <c r="G590" s="559" t="str">
        <f t="shared" si="54"/>
        <v/>
      </c>
      <c r="H590" s="559" t="str">
        <f t="shared" si="55"/>
        <v/>
      </c>
      <c r="I590" s="559" t="str">
        <f t="shared" si="56"/>
        <v/>
      </c>
    </row>
    <row r="591" spans="2:9">
      <c r="B591" s="555" t="str">
        <f t="shared" si="51"/>
        <v/>
      </c>
      <c r="C591" s="556" t="str">
        <f t="shared" si="52"/>
        <v/>
      </c>
      <c r="D591" s="557" t="str">
        <f t="shared" si="53"/>
        <v/>
      </c>
      <c r="E591" s="560"/>
      <c r="F591" s="559"/>
      <c r="G591" s="559" t="str">
        <f t="shared" si="54"/>
        <v/>
      </c>
      <c r="H591" s="559" t="str">
        <f t="shared" si="55"/>
        <v/>
      </c>
      <c r="I591" s="559" t="str">
        <f t="shared" si="56"/>
        <v/>
      </c>
    </row>
    <row r="592" spans="2:9">
      <c r="B592" s="555" t="str">
        <f t="shared" si="51"/>
        <v/>
      </c>
      <c r="C592" s="556" t="str">
        <f t="shared" si="52"/>
        <v/>
      </c>
      <c r="D592" s="557" t="str">
        <f t="shared" si="53"/>
        <v/>
      </c>
      <c r="E592" s="560"/>
      <c r="F592" s="559"/>
      <c r="G592" s="559" t="str">
        <f t="shared" si="54"/>
        <v/>
      </c>
      <c r="H592" s="559" t="str">
        <f t="shared" si="55"/>
        <v/>
      </c>
      <c r="I592" s="559" t="str">
        <f t="shared" si="56"/>
        <v/>
      </c>
    </row>
    <row r="593" spans="2:9">
      <c r="B593" s="555" t="str">
        <f t="shared" si="51"/>
        <v/>
      </c>
      <c r="C593" s="556" t="str">
        <f t="shared" si="52"/>
        <v/>
      </c>
      <c r="D593" s="557" t="str">
        <f t="shared" si="53"/>
        <v/>
      </c>
      <c r="E593" s="560"/>
      <c r="F593" s="559"/>
      <c r="G593" s="559" t="str">
        <f t="shared" si="54"/>
        <v/>
      </c>
      <c r="H593" s="559" t="str">
        <f t="shared" si="55"/>
        <v/>
      </c>
      <c r="I593" s="559" t="str">
        <f t="shared" si="56"/>
        <v/>
      </c>
    </row>
    <row r="594" spans="2:9">
      <c r="B594" s="555" t="str">
        <f t="shared" si="51"/>
        <v/>
      </c>
      <c r="C594" s="556" t="str">
        <f t="shared" si="52"/>
        <v/>
      </c>
      <c r="D594" s="557" t="str">
        <f t="shared" si="53"/>
        <v/>
      </c>
      <c r="E594" s="560"/>
      <c r="F594" s="559"/>
      <c r="G594" s="559" t="str">
        <f t="shared" si="54"/>
        <v/>
      </c>
      <c r="H594" s="559" t="str">
        <f t="shared" si="55"/>
        <v/>
      </c>
      <c r="I594" s="559" t="str">
        <f t="shared" si="56"/>
        <v/>
      </c>
    </row>
    <row r="595" spans="2:9">
      <c r="B595" s="555" t="str">
        <f t="shared" si="51"/>
        <v/>
      </c>
      <c r="C595" s="556" t="str">
        <f t="shared" si="52"/>
        <v/>
      </c>
      <c r="D595" s="557" t="str">
        <f t="shared" si="53"/>
        <v/>
      </c>
      <c r="E595" s="560"/>
      <c r="F595" s="559"/>
      <c r="G595" s="559" t="str">
        <f t="shared" si="54"/>
        <v/>
      </c>
      <c r="H595" s="559" t="str">
        <f t="shared" si="55"/>
        <v/>
      </c>
      <c r="I595" s="559" t="str">
        <f t="shared" si="56"/>
        <v/>
      </c>
    </row>
    <row r="596" spans="2:9">
      <c r="B596" s="555" t="str">
        <f t="shared" si="51"/>
        <v/>
      </c>
      <c r="C596" s="556" t="str">
        <f t="shared" si="52"/>
        <v/>
      </c>
      <c r="D596" s="557" t="str">
        <f t="shared" si="53"/>
        <v/>
      </c>
      <c r="E596" s="560"/>
      <c r="F596" s="559"/>
      <c r="G596" s="559" t="str">
        <f t="shared" si="54"/>
        <v/>
      </c>
      <c r="H596" s="559" t="str">
        <f t="shared" si="55"/>
        <v/>
      </c>
      <c r="I596" s="559" t="str">
        <f t="shared" si="56"/>
        <v/>
      </c>
    </row>
    <row r="597" spans="2:9">
      <c r="B597" s="555" t="str">
        <f t="shared" si="51"/>
        <v/>
      </c>
      <c r="C597" s="556" t="str">
        <f t="shared" si="52"/>
        <v/>
      </c>
      <c r="D597" s="557" t="str">
        <f t="shared" si="53"/>
        <v/>
      </c>
      <c r="E597" s="560"/>
      <c r="F597" s="559"/>
      <c r="G597" s="559" t="str">
        <f t="shared" si="54"/>
        <v/>
      </c>
      <c r="H597" s="559" t="str">
        <f t="shared" si="55"/>
        <v/>
      </c>
      <c r="I597" s="559" t="str">
        <f t="shared" si="56"/>
        <v/>
      </c>
    </row>
    <row r="598" spans="2:9">
      <c r="B598" s="555" t="str">
        <f t="shared" si="51"/>
        <v/>
      </c>
      <c r="C598" s="556" t="str">
        <f t="shared" si="52"/>
        <v/>
      </c>
      <c r="D598" s="557" t="str">
        <f t="shared" si="53"/>
        <v/>
      </c>
      <c r="E598" s="560"/>
      <c r="F598" s="559"/>
      <c r="G598" s="559" t="str">
        <f t="shared" si="54"/>
        <v/>
      </c>
      <c r="H598" s="559" t="str">
        <f t="shared" si="55"/>
        <v/>
      </c>
      <c r="I598" s="559" t="str">
        <f t="shared" si="56"/>
        <v/>
      </c>
    </row>
    <row r="599" spans="2:9">
      <c r="B599" s="555" t="str">
        <f t="shared" si="51"/>
        <v/>
      </c>
      <c r="C599" s="556" t="str">
        <f t="shared" si="52"/>
        <v/>
      </c>
      <c r="D599" s="557" t="str">
        <f t="shared" si="53"/>
        <v/>
      </c>
      <c r="E599" s="560"/>
      <c r="F599" s="559"/>
      <c r="G599" s="559" t="str">
        <f t="shared" si="54"/>
        <v/>
      </c>
      <c r="H599" s="559" t="str">
        <f t="shared" si="55"/>
        <v/>
      </c>
      <c r="I599" s="559" t="str">
        <f t="shared" si="56"/>
        <v/>
      </c>
    </row>
    <row r="600" spans="2:9">
      <c r="B600" s="555" t="str">
        <f t="shared" si="51"/>
        <v/>
      </c>
      <c r="C600" s="556" t="str">
        <f t="shared" si="52"/>
        <v/>
      </c>
      <c r="D600" s="557" t="str">
        <f t="shared" si="53"/>
        <v/>
      </c>
      <c r="E600" s="560"/>
      <c r="F600" s="559"/>
      <c r="G600" s="559" t="str">
        <f t="shared" si="54"/>
        <v/>
      </c>
      <c r="H600" s="559" t="str">
        <f t="shared" si="55"/>
        <v/>
      </c>
      <c r="I600" s="559" t="str">
        <f t="shared" si="56"/>
        <v/>
      </c>
    </row>
    <row r="601" spans="2:9">
      <c r="B601" s="555" t="str">
        <f t="shared" si="51"/>
        <v/>
      </c>
      <c r="C601" s="556" t="str">
        <f t="shared" si="52"/>
        <v/>
      </c>
      <c r="D601" s="557" t="str">
        <f t="shared" si="53"/>
        <v/>
      </c>
      <c r="E601" s="560"/>
      <c r="F601" s="559"/>
      <c r="G601" s="559" t="str">
        <f t="shared" si="54"/>
        <v/>
      </c>
      <c r="H601" s="559" t="str">
        <f t="shared" si="55"/>
        <v/>
      </c>
      <c r="I601" s="559" t="str">
        <f t="shared" si="56"/>
        <v/>
      </c>
    </row>
    <row r="602" spans="2:9">
      <c r="B602" s="555" t="str">
        <f t="shared" si="51"/>
        <v/>
      </c>
      <c r="C602" s="556" t="str">
        <f t="shared" si="52"/>
        <v/>
      </c>
      <c r="D602" s="557" t="str">
        <f t="shared" si="53"/>
        <v/>
      </c>
      <c r="E602" s="560"/>
      <c r="F602" s="559"/>
      <c r="G602" s="559" t="str">
        <f t="shared" si="54"/>
        <v/>
      </c>
      <c r="H602" s="559" t="str">
        <f t="shared" si="55"/>
        <v/>
      </c>
      <c r="I602" s="559" t="str">
        <f t="shared" si="56"/>
        <v/>
      </c>
    </row>
    <row r="603" spans="2:9">
      <c r="B603" s="555" t="str">
        <f t="shared" si="51"/>
        <v/>
      </c>
      <c r="C603" s="556" t="str">
        <f t="shared" si="52"/>
        <v/>
      </c>
      <c r="D603" s="557" t="str">
        <f t="shared" si="53"/>
        <v/>
      </c>
      <c r="E603" s="560"/>
      <c r="F603" s="559"/>
      <c r="G603" s="559" t="str">
        <f t="shared" si="54"/>
        <v/>
      </c>
      <c r="H603" s="559" t="str">
        <f t="shared" si="55"/>
        <v/>
      </c>
      <c r="I603" s="559" t="str">
        <f t="shared" si="56"/>
        <v/>
      </c>
    </row>
    <row r="604" spans="2:9">
      <c r="B604" s="555" t="str">
        <f t="shared" si="51"/>
        <v/>
      </c>
      <c r="C604" s="556" t="str">
        <f t="shared" si="52"/>
        <v/>
      </c>
      <c r="D604" s="557" t="str">
        <f t="shared" si="53"/>
        <v/>
      </c>
      <c r="E604" s="560"/>
      <c r="F604" s="559"/>
      <c r="G604" s="559" t="str">
        <f t="shared" si="54"/>
        <v/>
      </c>
      <c r="H604" s="559" t="str">
        <f t="shared" si="55"/>
        <v/>
      </c>
      <c r="I604" s="559" t="str">
        <f t="shared" si="56"/>
        <v/>
      </c>
    </row>
    <row r="605" spans="2:9">
      <c r="B605" s="555" t="str">
        <f t="shared" si="51"/>
        <v/>
      </c>
      <c r="C605" s="556" t="str">
        <f t="shared" si="52"/>
        <v/>
      </c>
      <c r="D605" s="557" t="str">
        <f t="shared" si="53"/>
        <v/>
      </c>
      <c r="E605" s="560"/>
      <c r="F605" s="559"/>
      <c r="G605" s="559" t="str">
        <f t="shared" si="54"/>
        <v/>
      </c>
      <c r="H605" s="559" t="str">
        <f t="shared" si="55"/>
        <v/>
      </c>
      <c r="I605" s="559" t="str">
        <f t="shared" si="56"/>
        <v/>
      </c>
    </row>
    <row r="606" spans="2:9">
      <c r="B606" s="555" t="str">
        <f t="shared" si="51"/>
        <v/>
      </c>
      <c r="C606" s="556" t="str">
        <f t="shared" si="52"/>
        <v/>
      </c>
      <c r="D606" s="557" t="str">
        <f t="shared" si="53"/>
        <v/>
      </c>
      <c r="E606" s="560"/>
      <c r="F606" s="559"/>
      <c r="G606" s="559" t="str">
        <f t="shared" si="54"/>
        <v/>
      </c>
      <c r="H606" s="559" t="str">
        <f t="shared" si="55"/>
        <v/>
      </c>
      <c r="I606" s="559" t="str">
        <f t="shared" si="56"/>
        <v/>
      </c>
    </row>
    <row r="607" spans="2:9">
      <c r="B607" s="555" t="str">
        <f t="shared" si="51"/>
        <v/>
      </c>
      <c r="C607" s="556" t="str">
        <f t="shared" si="52"/>
        <v/>
      </c>
      <c r="D607" s="557" t="str">
        <f t="shared" si="53"/>
        <v/>
      </c>
      <c r="E607" s="560"/>
      <c r="F607" s="559"/>
      <c r="G607" s="559" t="str">
        <f t="shared" si="54"/>
        <v/>
      </c>
      <c r="H607" s="559" t="str">
        <f t="shared" si="55"/>
        <v/>
      </c>
      <c r="I607" s="559" t="str">
        <f t="shared" si="56"/>
        <v/>
      </c>
    </row>
    <row r="608" spans="2:9">
      <c r="B608" s="555" t="str">
        <f t="shared" si="51"/>
        <v/>
      </c>
      <c r="C608" s="556" t="str">
        <f t="shared" si="52"/>
        <v/>
      </c>
      <c r="D608" s="557" t="str">
        <f t="shared" si="53"/>
        <v/>
      </c>
      <c r="E608" s="560"/>
      <c r="F608" s="559"/>
      <c r="G608" s="559" t="str">
        <f t="shared" si="54"/>
        <v/>
      </c>
      <c r="H608" s="559" t="str">
        <f t="shared" si="55"/>
        <v/>
      </c>
      <c r="I608" s="559" t="str">
        <f t="shared" si="56"/>
        <v/>
      </c>
    </row>
    <row r="609" spans="2:9">
      <c r="B609" s="555" t="str">
        <f t="shared" si="51"/>
        <v/>
      </c>
      <c r="C609" s="556" t="str">
        <f t="shared" si="52"/>
        <v/>
      </c>
      <c r="D609" s="557" t="str">
        <f t="shared" si="53"/>
        <v/>
      </c>
      <c r="E609" s="560"/>
      <c r="F609" s="559"/>
      <c r="G609" s="559" t="str">
        <f t="shared" si="54"/>
        <v/>
      </c>
      <c r="H609" s="559" t="str">
        <f t="shared" si="55"/>
        <v/>
      </c>
      <c r="I609" s="559" t="str">
        <f t="shared" si="56"/>
        <v/>
      </c>
    </row>
    <row r="610" spans="2:9">
      <c r="B610" s="555" t="str">
        <f t="shared" si="51"/>
        <v/>
      </c>
      <c r="C610" s="556" t="str">
        <f t="shared" si="52"/>
        <v/>
      </c>
      <c r="D610" s="557" t="str">
        <f t="shared" si="53"/>
        <v/>
      </c>
      <c r="E610" s="560"/>
      <c r="F610" s="559"/>
      <c r="G610" s="559" t="str">
        <f t="shared" si="54"/>
        <v/>
      </c>
      <c r="H610" s="559" t="str">
        <f t="shared" si="55"/>
        <v/>
      </c>
      <c r="I610" s="559" t="str">
        <f t="shared" si="56"/>
        <v/>
      </c>
    </row>
    <row r="611" spans="2:9">
      <c r="B611" s="555" t="str">
        <f t="shared" si="51"/>
        <v/>
      </c>
      <c r="C611" s="556" t="str">
        <f t="shared" si="52"/>
        <v/>
      </c>
      <c r="D611" s="557" t="str">
        <f t="shared" si="53"/>
        <v/>
      </c>
      <c r="E611" s="560"/>
      <c r="F611" s="559"/>
      <c r="G611" s="559" t="str">
        <f t="shared" si="54"/>
        <v/>
      </c>
      <c r="H611" s="559" t="str">
        <f t="shared" si="55"/>
        <v/>
      </c>
      <c r="I611" s="559" t="str">
        <f t="shared" si="56"/>
        <v/>
      </c>
    </row>
    <row r="612" spans="2:9">
      <c r="B612" s="555" t="str">
        <f t="shared" si="51"/>
        <v/>
      </c>
      <c r="C612" s="556" t="str">
        <f t="shared" si="52"/>
        <v/>
      </c>
      <c r="D612" s="557" t="str">
        <f t="shared" si="53"/>
        <v/>
      </c>
      <c r="E612" s="560"/>
      <c r="F612" s="559"/>
      <c r="G612" s="559" t="str">
        <f t="shared" si="54"/>
        <v/>
      </c>
      <c r="H612" s="559" t="str">
        <f t="shared" si="55"/>
        <v/>
      </c>
      <c r="I612" s="559" t="str">
        <f t="shared" si="56"/>
        <v/>
      </c>
    </row>
    <row r="613" spans="2:9">
      <c r="B613" s="555" t="str">
        <f t="shared" si="51"/>
        <v/>
      </c>
      <c r="C613" s="556" t="str">
        <f t="shared" si="52"/>
        <v/>
      </c>
      <c r="D613" s="557" t="str">
        <f t="shared" si="53"/>
        <v/>
      </c>
      <c r="E613" s="560"/>
      <c r="F613" s="559"/>
      <c r="G613" s="559" t="str">
        <f t="shared" si="54"/>
        <v/>
      </c>
      <c r="H613" s="559" t="str">
        <f t="shared" si="55"/>
        <v/>
      </c>
      <c r="I613" s="559" t="str">
        <f t="shared" si="56"/>
        <v/>
      </c>
    </row>
    <row r="614" spans="2:9">
      <c r="B614" s="555" t="str">
        <f t="shared" si="51"/>
        <v/>
      </c>
      <c r="C614" s="556" t="str">
        <f t="shared" si="52"/>
        <v/>
      </c>
      <c r="D614" s="557" t="str">
        <f t="shared" si="53"/>
        <v/>
      </c>
      <c r="E614" s="560"/>
      <c r="F614" s="559"/>
      <c r="G614" s="559" t="str">
        <f t="shared" si="54"/>
        <v/>
      </c>
      <c r="H614" s="559" t="str">
        <f t="shared" si="55"/>
        <v/>
      </c>
      <c r="I614" s="559" t="str">
        <f t="shared" si="56"/>
        <v/>
      </c>
    </row>
    <row r="615" spans="2:9">
      <c r="B615" s="555" t="str">
        <f t="shared" si="51"/>
        <v/>
      </c>
      <c r="C615" s="556" t="str">
        <f t="shared" si="52"/>
        <v/>
      </c>
      <c r="D615" s="557" t="str">
        <f t="shared" si="53"/>
        <v/>
      </c>
      <c r="E615" s="560"/>
      <c r="F615" s="559"/>
      <c r="G615" s="559" t="str">
        <f t="shared" si="54"/>
        <v/>
      </c>
      <c r="H615" s="559" t="str">
        <f t="shared" si="55"/>
        <v/>
      </c>
      <c r="I615" s="559" t="str">
        <f t="shared" si="56"/>
        <v/>
      </c>
    </row>
    <row r="616" spans="2:9">
      <c r="B616" s="555" t="str">
        <f t="shared" si="51"/>
        <v/>
      </c>
      <c r="C616" s="556" t="str">
        <f t="shared" si="52"/>
        <v/>
      </c>
      <c r="D616" s="557" t="str">
        <f t="shared" si="53"/>
        <v/>
      </c>
      <c r="E616" s="560"/>
      <c r="F616" s="559"/>
      <c r="G616" s="559" t="str">
        <f t="shared" si="54"/>
        <v/>
      </c>
      <c r="H616" s="559" t="str">
        <f t="shared" si="55"/>
        <v/>
      </c>
      <c r="I616" s="559" t="str">
        <f t="shared" si="56"/>
        <v/>
      </c>
    </row>
    <row r="617" spans="2:9">
      <c r="B617" s="555" t="str">
        <f t="shared" si="51"/>
        <v/>
      </c>
      <c r="C617" s="556" t="str">
        <f t="shared" si="52"/>
        <v/>
      </c>
      <c r="D617" s="557" t="str">
        <f t="shared" si="53"/>
        <v/>
      </c>
      <c r="E617" s="560"/>
      <c r="F617" s="559"/>
      <c r="G617" s="559" t="str">
        <f t="shared" si="54"/>
        <v/>
      </c>
      <c r="H617" s="559" t="str">
        <f t="shared" si="55"/>
        <v/>
      </c>
      <c r="I617" s="559" t="str">
        <f t="shared" si="56"/>
        <v/>
      </c>
    </row>
    <row r="618" spans="2:9">
      <c r="B618" s="555" t="str">
        <f t="shared" si="51"/>
        <v/>
      </c>
      <c r="C618" s="556" t="str">
        <f t="shared" si="52"/>
        <v/>
      </c>
      <c r="D618" s="557" t="str">
        <f t="shared" si="53"/>
        <v/>
      </c>
      <c r="E618" s="560"/>
      <c r="F618" s="559"/>
      <c r="G618" s="559" t="str">
        <f t="shared" si="54"/>
        <v/>
      </c>
      <c r="H618" s="559" t="str">
        <f t="shared" si="55"/>
        <v/>
      </c>
      <c r="I618" s="559" t="str">
        <f t="shared" si="56"/>
        <v/>
      </c>
    </row>
    <row r="619" spans="2:9">
      <c r="B619" s="555" t="str">
        <f t="shared" si="51"/>
        <v/>
      </c>
      <c r="C619" s="556" t="str">
        <f t="shared" si="52"/>
        <v/>
      </c>
      <c r="D619" s="557" t="str">
        <f t="shared" si="53"/>
        <v/>
      </c>
      <c r="E619" s="560"/>
      <c r="F619" s="559"/>
      <c r="G619" s="559" t="str">
        <f t="shared" si="54"/>
        <v/>
      </c>
      <c r="H619" s="559" t="str">
        <f t="shared" si="55"/>
        <v/>
      </c>
      <c r="I619" s="559" t="str">
        <f t="shared" si="56"/>
        <v/>
      </c>
    </row>
    <row r="620" spans="2:9">
      <c r="B620" s="555" t="str">
        <f t="shared" si="51"/>
        <v/>
      </c>
      <c r="C620" s="556" t="str">
        <f t="shared" si="52"/>
        <v/>
      </c>
      <c r="D620" s="557" t="str">
        <f t="shared" si="53"/>
        <v/>
      </c>
      <c r="E620" s="560"/>
      <c r="F620" s="559"/>
      <c r="G620" s="559" t="str">
        <f t="shared" si="54"/>
        <v/>
      </c>
      <c r="H620" s="559" t="str">
        <f t="shared" si="55"/>
        <v/>
      </c>
      <c r="I620" s="559" t="str">
        <f t="shared" si="56"/>
        <v/>
      </c>
    </row>
    <row r="621" spans="2:9">
      <c r="B621" s="555" t="str">
        <f t="shared" si="51"/>
        <v/>
      </c>
      <c r="C621" s="556" t="str">
        <f t="shared" si="52"/>
        <v/>
      </c>
      <c r="D621" s="557" t="str">
        <f t="shared" si="53"/>
        <v/>
      </c>
      <c r="E621" s="560"/>
      <c r="F621" s="559"/>
      <c r="G621" s="559" t="str">
        <f t="shared" si="54"/>
        <v/>
      </c>
      <c r="H621" s="559" t="str">
        <f t="shared" si="55"/>
        <v/>
      </c>
      <c r="I621" s="559" t="str">
        <f t="shared" si="56"/>
        <v/>
      </c>
    </row>
    <row r="622" spans="2:9">
      <c r="B622" s="555" t="str">
        <f t="shared" si="51"/>
        <v/>
      </c>
      <c r="C622" s="556" t="str">
        <f t="shared" si="52"/>
        <v/>
      </c>
      <c r="D622" s="557" t="str">
        <f t="shared" si="53"/>
        <v/>
      </c>
      <c r="E622" s="560"/>
      <c r="F622" s="559"/>
      <c r="G622" s="559" t="str">
        <f t="shared" si="54"/>
        <v/>
      </c>
      <c r="H622" s="559" t="str">
        <f t="shared" si="55"/>
        <v/>
      </c>
      <c r="I622" s="559" t="str">
        <f t="shared" si="56"/>
        <v/>
      </c>
    </row>
    <row r="623" spans="2:9">
      <c r="B623" s="555" t="str">
        <f t="shared" si="51"/>
        <v/>
      </c>
      <c r="C623" s="556" t="str">
        <f t="shared" si="52"/>
        <v/>
      </c>
      <c r="D623" s="557" t="str">
        <f t="shared" si="53"/>
        <v/>
      </c>
      <c r="E623" s="560"/>
      <c r="F623" s="559"/>
      <c r="G623" s="559" t="str">
        <f t="shared" si="54"/>
        <v/>
      </c>
      <c r="H623" s="559" t="str">
        <f t="shared" si="55"/>
        <v/>
      </c>
      <c r="I623" s="559" t="str">
        <f t="shared" si="56"/>
        <v/>
      </c>
    </row>
    <row r="624" spans="2:9">
      <c r="B624" s="555" t="str">
        <f t="shared" si="51"/>
        <v/>
      </c>
      <c r="C624" s="556" t="str">
        <f t="shared" si="52"/>
        <v/>
      </c>
      <c r="D624" s="557" t="str">
        <f t="shared" si="53"/>
        <v/>
      </c>
      <c r="E624" s="560"/>
      <c r="F624" s="559"/>
      <c r="G624" s="559" t="str">
        <f t="shared" si="54"/>
        <v/>
      </c>
      <c r="H624" s="559" t="str">
        <f t="shared" si="55"/>
        <v/>
      </c>
      <c r="I624" s="559" t="str">
        <f t="shared" si="56"/>
        <v/>
      </c>
    </row>
    <row r="625" spans="2:9">
      <c r="B625" s="555" t="str">
        <f t="shared" si="51"/>
        <v/>
      </c>
      <c r="C625" s="556" t="str">
        <f t="shared" si="52"/>
        <v/>
      </c>
      <c r="D625" s="557" t="str">
        <f t="shared" si="53"/>
        <v/>
      </c>
      <c r="E625" s="560"/>
      <c r="F625" s="559"/>
      <c r="G625" s="559" t="str">
        <f t="shared" si="54"/>
        <v/>
      </c>
      <c r="H625" s="559" t="str">
        <f t="shared" si="55"/>
        <v/>
      </c>
      <c r="I625" s="559" t="str">
        <f t="shared" si="56"/>
        <v/>
      </c>
    </row>
    <row r="626" spans="2:9">
      <c r="B626" s="555" t="str">
        <f t="shared" si="51"/>
        <v/>
      </c>
      <c r="C626" s="556" t="str">
        <f t="shared" si="52"/>
        <v/>
      </c>
      <c r="D626" s="557" t="str">
        <f t="shared" si="53"/>
        <v/>
      </c>
      <c r="E626" s="560"/>
      <c r="F626" s="559"/>
      <c r="G626" s="559" t="str">
        <f t="shared" si="54"/>
        <v/>
      </c>
      <c r="H626" s="559" t="str">
        <f t="shared" si="55"/>
        <v/>
      </c>
      <c r="I626" s="559" t="str">
        <f t="shared" si="56"/>
        <v/>
      </c>
    </row>
    <row r="627" spans="2:9">
      <c r="B627" s="555" t="str">
        <f t="shared" si="51"/>
        <v/>
      </c>
      <c r="C627" s="556" t="str">
        <f t="shared" si="52"/>
        <v/>
      </c>
      <c r="D627" s="557" t="str">
        <f t="shared" si="53"/>
        <v/>
      </c>
      <c r="E627" s="560"/>
      <c r="F627" s="559"/>
      <c r="G627" s="559" t="str">
        <f t="shared" si="54"/>
        <v/>
      </c>
      <c r="H627" s="559" t="str">
        <f t="shared" si="55"/>
        <v/>
      </c>
      <c r="I627" s="559" t="str">
        <f t="shared" si="56"/>
        <v/>
      </c>
    </row>
    <row r="628" spans="2:9">
      <c r="B628" s="555" t="str">
        <f t="shared" si="51"/>
        <v/>
      </c>
      <c r="C628" s="556" t="str">
        <f t="shared" si="52"/>
        <v/>
      </c>
      <c r="D628" s="557" t="str">
        <f t="shared" si="53"/>
        <v/>
      </c>
      <c r="E628" s="560"/>
      <c r="F628" s="559"/>
      <c r="G628" s="559" t="str">
        <f t="shared" si="54"/>
        <v/>
      </c>
      <c r="H628" s="559" t="str">
        <f t="shared" si="55"/>
        <v/>
      </c>
      <c r="I628" s="559" t="str">
        <f t="shared" si="56"/>
        <v/>
      </c>
    </row>
    <row r="629" spans="2:9">
      <c r="B629" s="555" t="str">
        <f t="shared" si="51"/>
        <v/>
      </c>
      <c r="C629" s="556" t="str">
        <f t="shared" si="52"/>
        <v/>
      </c>
      <c r="D629" s="557" t="str">
        <f t="shared" si="53"/>
        <v/>
      </c>
      <c r="E629" s="560"/>
      <c r="F629" s="559"/>
      <c r="G629" s="559" t="str">
        <f t="shared" si="54"/>
        <v/>
      </c>
      <c r="H629" s="559" t="str">
        <f t="shared" si="55"/>
        <v/>
      </c>
      <c r="I629" s="559" t="str">
        <f t="shared" si="56"/>
        <v/>
      </c>
    </row>
    <row r="630" spans="2:9">
      <c r="B630" s="555" t="str">
        <f t="shared" si="51"/>
        <v/>
      </c>
      <c r="C630" s="556" t="str">
        <f t="shared" si="52"/>
        <v/>
      </c>
      <c r="D630" s="557" t="str">
        <f t="shared" si="53"/>
        <v/>
      </c>
      <c r="E630" s="560"/>
      <c r="F630" s="559"/>
      <c r="G630" s="559" t="str">
        <f t="shared" si="54"/>
        <v/>
      </c>
      <c r="H630" s="559" t="str">
        <f t="shared" si="55"/>
        <v/>
      </c>
      <c r="I630" s="559" t="str">
        <f t="shared" si="56"/>
        <v/>
      </c>
    </row>
    <row r="631" spans="2:9">
      <c r="B631" s="555" t="str">
        <f t="shared" si="51"/>
        <v/>
      </c>
      <c r="C631" s="556" t="str">
        <f t="shared" si="52"/>
        <v/>
      </c>
      <c r="D631" s="557" t="str">
        <f t="shared" si="53"/>
        <v/>
      </c>
      <c r="E631" s="560"/>
      <c r="F631" s="559"/>
      <c r="G631" s="559" t="str">
        <f t="shared" si="54"/>
        <v/>
      </c>
      <c r="H631" s="559" t="str">
        <f t="shared" si="55"/>
        <v/>
      </c>
      <c r="I631" s="559" t="str">
        <f t="shared" si="56"/>
        <v/>
      </c>
    </row>
    <row r="632" spans="2:9">
      <c r="B632" s="555" t="str">
        <f t="shared" si="51"/>
        <v/>
      </c>
      <c r="C632" s="556" t="str">
        <f t="shared" si="52"/>
        <v/>
      </c>
      <c r="D632" s="557" t="str">
        <f t="shared" si="53"/>
        <v/>
      </c>
      <c r="E632" s="560"/>
      <c r="F632" s="559"/>
      <c r="G632" s="559" t="str">
        <f t="shared" si="54"/>
        <v/>
      </c>
      <c r="H632" s="559" t="str">
        <f t="shared" si="55"/>
        <v/>
      </c>
      <c r="I632" s="559" t="str">
        <f t="shared" si="56"/>
        <v/>
      </c>
    </row>
    <row r="633" spans="2:9">
      <c r="B633" s="555" t="str">
        <f t="shared" si="51"/>
        <v/>
      </c>
      <c r="C633" s="556" t="str">
        <f t="shared" si="52"/>
        <v/>
      </c>
      <c r="D633" s="557" t="str">
        <f t="shared" si="53"/>
        <v/>
      </c>
      <c r="E633" s="560"/>
      <c r="F633" s="559"/>
      <c r="G633" s="559" t="str">
        <f t="shared" si="54"/>
        <v/>
      </c>
      <c r="H633" s="559" t="str">
        <f t="shared" si="55"/>
        <v/>
      </c>
      <c r="I633" s="559" t="str">
        <f t="shared" si="56"/>
        <v/>
      </c>
    </row>
    <row r="634" spans="2:9">
      <c r="B634" s="555" t="str">
        <f t="shared" si="51"/>
        <v/>
      </c>
      <c r="C634" s="556" t="str">
        <f t="shared" si="52"/>
        <v/>
      </c>
      <c r="D634" s="557" t="str">
        <f t="shared" si="53"/>
        <v/>
      </c>
      <c r="E634" s="560"/>
      <c r="F634" s="559"/>
      <c r="G634" s="559" t="str">
        <f t="shared" si="54"/>
        <v/>
      </c>
      <c r="H634" s="559" t="str">
        <f t="shared" si="55"/>
        <v/>
      </c>
      <c r="I634" s="559" t="str">
        <f t="shared" si="56"/>
        <v/>
      </c>
    </row>
    <row r="635" spans="2:9">
      <c r="B635" s="555" t="str">
        <f t="shared" si="51"/>
        <v/>
      </c>
      <c r="C635" s="556" t="str">
        <f t="shared" si="52"/>
        <v/>
      </c>
      <c r="D635" s="557" t="str">
        <f t="shared" si="53"/>
        <v/>
      </c>
      <c r="E635" s="560"/>
      <c r="F635" s="559"/>
      <c r="G635" s="559" t="str">
        <f t="shared" si="54"/>
        <v/>
      </c>
      <c r="H635" s="559" t="str">
        <f t="shared" si="55"/>
        <v/>
      </c>
      <c r="I635" s="559" t="str">
        <f t="shared" si="56"/>
        <v/>
      </c>
    </row>
    <row r="636" spans="2:9">
      <c r="B636" s="555" t="str">
        <f t="shared" si="51"/>
        <v/>
      </c>
      <c r="C636" s="556" t="str">
        <f t="shared" si="52"/>
        <v/>
      </c>
      <c r="D636" s="557" t="str">
        <f t="shared" si="53"/>
        <v/>
      </c>
      <c r="E636" s="560"/>
      <c r="F636" s="559"/>
      <c r="G636" s="559" t="str">
        <f t="shared" si="54"/>
        <v/>
      </c>
      <c r="H636" s="559" t="str">
        <f t="shared" si="55"/>
        <v/>
      </c>
      <c r="I636" s="559" t="str">
        <f t="shared" si="56"/>
        <v/>
      </c>
    </row>
    <row r="637" spans="2:9">
      <c r="B637" s="555" t="str">
        <f t="shared" ref="B637:B700" si="57">IF(I636="","",IF(roundOpt,IF(OR(B636&gt;=nper,ROUND(I636,2)&lt;=0),"",B636+1),IF(OR(B636&gt;=nper,I636&lt;=0),"",B636+1)))</f>
        <v/>
      </c>
      <c r="C637" s="556" t="str">
        <f t="shared" ref="C637:C700" si="58">IF(B637="","",IF(OR(periods_per_year=26,periods_per_year=52),IF(periods_per_year=26,IF(B637=1,fpdate,C636+14),IF(periods_per_year=52,IF(B637=1,fpdate,C636+7),"n/a")),IF(periods_per_year=24,DATE(YEAR(fpdate),MONTH(fpdate)+(B637-1)/2+IF(AND(DAY(fpdate)&gt;=15,MOD(B637,2)=0),1,0),IF(MOD(B637,2)=0,IF(DAY(fpdate)&gt;=15,DAY(fpdate)-14,DAY(fpdate)+14),DAY(fpdate))),IF(DAY(DATE(YEAR(fpdate),MONTH(fpdate)+(B637-1)*months_per_period,DAY(fpdate)))&lt;&gt;DAY(fpdate),DATE(YEAR(fpdate),MONTH(fpdate)+(B637-1)*months_per_period+1,0),DATE(YEAR(fpdate),MONTH(fpdate)+(B637-1)*months_per_period,DAY(fpdate))))))</f>
        <v/>
      </c>
      <c r="D637" s="557" t="str">
        <f t="shared" ref="D637:D700" si="59">IF(B637="","",IF(roundOpt,IF(OR(B637=nper,payment&gt;ROUND((1+rate)*I636,2)),ROUND((1+rate)*I636,2),payment),IF(OR(B637=nper,payment&gt;(1+rate)*I636),(1+rate)*I636,payment)))</f>
        <v/>
      </c>
      <c r="E637" s="560"/>
      <c r="F637" s="559"/>
      <c r="G637" s="559" t="str">
        <f t="shared" ref="G637:G700" si="60">IF(B637="","",IF(AND(B637=1,pmtType=1),0,IF(roundOpt,ROUND(rate*I636,2),rate*I636)))</f>
        <v/>
      </c>
      <c r="H637" s="559" t="str">
        <f t="shared" ref="H637:H700" si="61">IF(B637="","",D637-G637+E637)</f>
        <v/>
      </c>
      <c r="I637" s="559" t="str">
        <f t="shared" ref="I637:I700" si="62">IF(B637="","",I636-H637)</f>
        <v/>
      </c>
    </row>
    <row r="638" spans="2:9">
      <c r="B638" s="555" t="str">
        <f t="shared" si="57"/>
        <v/>
      </c>
      <c r="C638" s="556" t="str">
        <f t="shared" si="58"/>
        <v/>
      </c>
      <c r="D638" s="557" t="str">
        <f t="shared" si="59"/>
        <v/>
      </c>
      <c r="E638" s="560"/>
      <c r="F638" s="559"/>
      <c r="G638" s="559" t="str">
        <f t="shared" si="60"/>
        <v/>
      </c>
      <c r="H638" s="559" t="str">
        <f t="shared" si="61"/>
        <v/>
      </c>
      <c r="I638" s="559" t="str">
        <f t="shared" si="62"/>
        <v/>
      </c>
    </row>
    <row r="639" spans="2:9">
      <c r="B639" s="555" t="str">
        <f t="shared" si="57"/>
        <v/>
      </c>
      <c r="C639" s="556" t="str">
        <f t="shared" si="58"/>
        <v/>
      </c>
      <c r="D639" s="557" t="str">
        <f t="shared" si="59"/>
        <v/>
      </c>
      <c r="E639" s="560"/>
      <c r="F639" s="559"/>
      <c r="G639" s="559" t="str">
        <f t="shared" si="60"/>
        <v/>
      </c>
      <c r="H639" s="559" t="str">
        <f t="shared" si="61"/>
        <v/>
      </c>
      <c r="I639" s="559" t="str">
        <f t="shared" si="62"/>
        <v/>
      </c>
    </row>
    <row r="640" spans="2:9">
      <c r="B640" s="555" t="str">
        <f t="shared" si="57"/>
        <v/>
      </c>
      <c r="C640" s="556" t="str">
        <f t="shared" si="58"/>
        <v/>
      </c>
      <c r="D640" s="557" t="str">
        <f t="shared" si="59"/>
        <v/>
      </c>
      <c r="E640" s="560"/>
      <c r="F640" s="559"/>
      <c r="G640" s="559" t="str">
        <f t="shared" si="60"/>
        <v/>
      </c>
      <c r="H640" s="559" t="str">
        <f t="shared" si="61"/>
        <v/>
      </c>
      <c r="I640" s="559" t="str">
        <f t="shared" si="62"/>
        <v/>
      </c>
    </row>
    <row r="641" spans="2:9">
      <c r="B641" s="555" t="str">
        <f t="shared" si="57"/>
        <v/>
      </c>
      <c r="C641" s="556" t="str">
        <f t="shared" si="58"/>
        <v/>
      </c>
      <c r="D641" s="557" t="str">
        <f t="shared" si="59"/>
        <v/>
      </c>
      <c r="E641" s="560"/>
      <c r="F641" s="559"/>
      <c r="G641" s="559" t="str">
        <f t="shared" si="60"/>
        <v/>
      </c>
      <c r="H641" s="559" t="str">
        <f t="shared" si="61"/>
        <v/>
      </c>
      <c r="I641" s="559" t="str">
        <f t="shared" si="62"/>
        <v/>
      </c>
    </row>
    <row r="642" spans="2:9">
      <c r="B642" s="555" t="str">
        <f t="shared" si="57"/>
        <v/>
      </c>
      <c r="C642" s="556" t="str">
        <f t="shared" si="58"/>
        <v/>
      </c>
      <c r="D642" s="557" t="str">
        <f t="shared" si="59"/>
        <v/>
      </c>
      <c r="E642" s="560"/>
      <c r="F642" s="559"/>
      <c r="G642" s="559" t="str">
        <f t="shared" si="60"/>
        <v/>
      </c>
      <c r="H642" s="559" t="str">
        <f t="shared" si="61"/>
        <v/>
      </c>
      <c r="I642" s="559" t="str">
        <f t="shared" si="62"/>
        <v/>
      </c>
    </row>
    <row r="643" spans="2:9">
      <c r="B643" s="555" t="str">
        <f t="shared" si="57"/>
        <v/>
      </c>
      <c r="C643" s="556" t="str">
        <f t="shared" si="58"/>
        <v/>
      </c>
      <c r="D643" s="557" t="str">
        <f t="shared" si="59"/>
        <v/>
      </c>
      <c r="E643" s="560"/>
      <c r="F643" s="559"/>
      <c r="G643" s="559" t="str">
        <f t="shared" si="60"/>
        <v/>
      </c>
      <c r="H643" s="559" t="str">
        <f t="shared" si="61"/>
        <v/>
      </c>
      <c r="I643" s="559" t="str">
        <f t="shared" si="62"/>
        <v/>
      </c>
    </row>
    <row r="644" spans="2:9">
      <c r="B644" s="555" t="str">
        <f t="shared" si="57"/>
        <v/>
      </c>
      <c r="C644" s="556" t="str">
        <f t="shared" si="58"/>
        <v/>
      </c>
      <c r="D644" s="557" t="str">
        <f t="shared" si="59"/>
        <v/>
      </c>
      <c r="E644" s="560"/>
      <c r="F644" s="559"/>
      <c r="G644" s="559" t="str">
        <f t="shared" si="60"/>
        <v/>
      </c>
      <c r="H644" s="559" t="str">
        <f t="shared" si="61"/>
        <v/>
      </c>
      <c r="I644" s="559" t="str">
        <f t="shared" si="62"/>
        <v/>
      </c>
    </row>
    <row r="645" spans="2:9">
      <c r="B645" s="555" t="str">
        <f t="shared" si="57"/>
        <v/>
      </c>
      <c r="C645" s="556" t="str">
        <f t="shared" si="58"/>
        <v/>
      </c>
      <c r="D645" s="557" t="str">
        <f t="shared" si="59"/>
        <v/>
      </c>
      <c r="E645" s="560"/>
      <c r="F645" s="559"/>
      <c r="G645" s="559" t="str">
        <f t="shared" si="60"/>
        <v/>
      </c>
      <c r="H645" s="559" t="str">
        <f t="shared" si="61"/>
        <v/>
      </c>
      <c r="I645" s="559" t="str">
        <f t="shared" si="62"/>
        <v/>
      </c>
    </row>
    <row r="646" spans="2:9">
      <c r="B646" s="555" t="str">
        <f t="shared" si="57"/>
        <v/>
      </c>
      <c r="C646" s="556" t="str">
        <f t="shared" si="58"/>
        <v/>
      </c>
      <c r="D646" s="557" t="str">
        <f t="shared" si="59"/>
        <v/>
      </c>
      <c r="E646" s="560"/>
      <c r="F646" s="559"/>
      <c r="G646" s="559" t="str">
        <f t="shared" si="60"/>
        <v/>
      </c>
      <c r="H646" s="559" t="str">
        <f t="shared" si="61"/>
        <v/>
      </c>
      <c r="I646" s="559" t="str">
        <f t="shared" si="62"/>
        <v/>
      </c>
    </row>
    <row r="647" spans="2:9">
      <c r="B647" s="555" t="str">
        <f t="shared" si="57"/>
        <v/>
      </c>
      <c r="C647" s="556" t="str">
        <f t="shared" si="58"/>
        <v/>
      </c>
      <c r="D647" s="557" t="str">
        <f t="shared" si="59"/>
        <v/>
      </c>
      <c r="E647" s="560"/>
      <c r="F647" s="559"/>
      <c r="G647" s="559" t="str">
        <f t="shared" si="60"/>
        <v/>
      </c>
      <c r="H647" s="559" t="str">
        <f t="shared" si="61"/>
        <v/>
      </c>
      <c r="I647" s="559" t="str">
        <f t="shared" si="62"/>
        <v/>
      </c>
    </row>
    <row r="648" spans="2:9">
      <c r="B648" s="555" t="str">
        <f t="shared" si="57"/>
        <v/>
      </c>
      <c r="C648" s="556" t="str">
        <f t="shared" si="58"/>
        <v/>
      </c>
      <c r="D648" s="557" t="str">
        <f t="shared" si="59"/>
        <v/>
      </c>
      <c r="E648" s="560"/>
      <c r="F648" s="559"/>
      <c r="G648" s="559" t="str">
        <f t="shared" si="60"/>
        <v/>
      </c>
      <c r="H648" s="559" t="str">
        <f t="shared" si="61"/>
        <v/>
      </c>
      <c r="I648" s="559" t="str">
        <f t="shared" si="62"/>
        <v/>
      </c>
    </row>
    <row r="649" spans="2:9">
      <c r="B649" s="555" t="str">
        <f t="shared" si="57"/>
        <v/>
      </c>
      <c r="C649" s="556" t="str">
        <f t="shared" si="58"/>
        <v/>
      </c>
      <c r="D649" s="557" t="str">
        <f t="shared" si="59"/>
        <v/>
      </c>
      <c r="E649" s="560"/>
      <c r="F649" s="559"/>
      <c r="G649" s="559" t="str">
        <f t="shared" si="60"/>
        <v/>
      </c>
      <c r="H649" s="559" t="str">
        <f t="shared" si="61"/>
        <v/>
      </c>
      <c r="I649" s="559" t="str">
        <f t="shared" si="62"/>
        <v/>
      </c>
    </row>
    <row r="650" spans="2:9">
      <c r="B650" s="555" t="str">
        <f t="shared" si="57"/>
        <v/>
      </c>
      <c r="C650" s="556" t="str">
        <f t="shared" si="58"/>
        <v/>
      </c>
      <c r="D650" s="557" t="str">
        <f t="shared" si="59"/>
        <v/>
      </c>
      <c r="E650" s="560"/>
      <c r="F650" s="559"/>
      <c r="G650" s="559" t="str">
        <f t="shared" si="60"/>
        <v/>
      </c>
      <c r="H650" s="559" t="str">
        <f t="shared" si="61"/>
        <v/>
      </c>
      <c r="I650" s="559" t="str">
        <f t="shared" si="62"/>
        <v/>
      </c>
    </row>
    <row r="651" spans="2:9">
      <c r="B651" s="555" t="str">
        <f t="shared" si="57"/>
        <v/>
      </c>
      <c r="C651" s="556" t="str">
        <f t="shared" si="58"/>
        <v/>
      </c>
      <c r="D651" s="557" t="str">
        <f t="shared" si="59"/>
        <v/>
      </c>
      <c r="E651" s="560"/>
      <c r="F651" s="559"/>
      <c r="G651" s="559" t="str">
        <f t="shared" si="60"/>
        <v/>
      </c>
      <c r="H651" s="559" t="str">
        <f t="shared" si="61"/>
        <v/>
      </c>
      <c r="I651" s="559" t="str">
        <f t="shared" si="62"/>
        <v/>
      </c>
    </row>
    <row r="652" spans="2:9">
      <c r="B652" s="555" t="str">
        <f t="shared" si="57"/>
        <v/>
      </c>
      <c r="C652" s="556" t="str">
        <f t="shared" si="58"/>
        <v/>
      </c>
      <c r="D652" s="557" t="str">
        <f t="shared" si="59"/>
        <v/>
      </c>
      <c r="E652" s="560"/>
      <c r="F652" s="559"/>
      <c r="G652" s="559" t="str">
        <f t="shared" si="60"/>
        <v/>
      </c>
      <c r="H652" s="559" t="str">
        <f t="shared" si="61"/>
        <v/>
      </c>
      <c r="I652" s="559" t="str">
        <f t="shared" si="62"/>
        <v/>
      </c>
    </row>
    <row r="653" spans="2:9">
      <c r="B653" s="555" t="str">
        <f t="shared" si="57"/>
        <v/>
      </c>
      <c r="C653" s="556" t="str">
        <f t="shared" si="58"/>
        <v/>
      </c>
      <c r="D653" s="557" t="str">
        <f t="shared" si="59"/>
        <v/>
      </c>
      <c r="E653" s="560"/>
      <c r="F653" s="559"/>
      <c r="G653" s="559" t="str">
        <f t="shared" si="60"/>
        <v/>
      </c>
      <c r="H653" s="559" t="str">
        <f t="shared" si="61"/>
        <v/>
      </c>
      <c r="I653" s="559" t="str">
        <f t="shared" si="62"/>
        <v/>
      </c>
    </row>
    <row r="654" spans="2:9">
      <c r="B654" s="555" t="str">
        <f t="shared" si="57"/>
        <v/>
      </c>
      <c r="C654" s="556" t="str">
        <f t="shared" si="58"/>
        <v/>
      </c>
      <c r="D654" s="557" t="str">
        <f t="shared" si="59"/>
        <v/>
      </c>
      <c r="E654" s="560"/>
      <c r="F654" s="559"/>
      <c r="G654" s="559" t="str">
        <f t="shared" si="60"/>
        <v/>
      </c>
      <c r="H654" s="559" t="str">
        <f t="shared" si="61"/>
        <v/>
      </c>
      <c r="I654" s="559" t="str">
        <f t="shared" si="62"/>
        <v/>
      </c>
    </row>
    <row r="655" spans="2:9">
      <c r="B655" s="555" t="str">
        <f t="shared" si="57"/>
        <v/>
      </c>
      <c r="C655" s="556" t="str">
        <f t="shared" si="58"/>
        <v/>
      </c>
      <c r="D655" s="557" t="str">
        <f t="shared" si="59"/>
        <v/>
      </c>
      <c r="E655" s="560"/>
      <c r="F655" s="559"/>
      <c r="G655" s="559" t="str">
        <f t="shared" si="60"/>
        <v/>
      </c>
      <c r="H655" s="559" t="str">
        <f t="shared" si="61"/>
        <v/>
      </c>
      <c r="I655" s="559" t="str">
        <f t="shared" si="62"/>
        <v/>
      </c>
    </row>
    <row r="656" spans="2:9">
      <c r="B656" s="555" t="str">
        <f t="shared" si="57"/>
        <v/>
      </c>
      <c r="C656" s="556" t="str">
        <f t="shared" si="58"/>
        <v/>
      </c>
      <c r="D656" s="557" t="str">
        <f t="shared" si="59"/>
        <v/>
      </c>
      <c r="E656" s="560"/>
      <c r="F656" s="559"/>
      <c r="G656" s="559" t="str">
        <f t="shared" si="60"/>
        <v/>
      </c>
      <c r="H656" s="559" t="str">
        <f t="shared" si="61"/>
        <v/>
      </c>
      <c r="I656" s="559" t="str">
        <f t="shared" si="62"/>
        <v/>
      </c>
    </row>
    <row r="657" spans="2:9">
      <c r="B657" s="555" t="str">
        <f t="shared" si="57"/>
        <v/>
      </c>
      <c r="C657" s="556" t="str">
        <f t="shared" si="58"/>
        <v/>
      </c>
      <c r="D657" s="557" t="str">
        <f t="shared" si="59"/>
        <v/>
      </c>
      <c r="E657" s="560"/>
      <c r="F657" s="559"/>
      <c r="G657" s="559" t="str">
        <f t="shared" si="60"/>
        <v/>
      </c>
      <c r="H657" s="559" t="str">
        <f t="shared" si="61"/>
        <v/>
      </c>
      <c r="I657" s="559" t="str">
        <f t="shared" si="62"/>
        <v/>
      </c>
    </row>
    <row r="658" spans="2:9">
      <c r="B658" s="555" t="str">
        <f t="shared" si="57"/>
        <v/>
      </c>
      <c r="C658" s="556" t="str">
        <f t="shared" si="58"/>
        <v/>
      </c>
      <c r="D658" s="557" t="str">
        <f t="shared" si="59"/>
        <v/>
      </c>
      <c r="E658" s="560"/>
      <c r="F658" s="559"/>
      <c r="G658" s="559" t="str">
        <f t="shared" si="60"/>
        <v/>
      </c>
      <c r="H658" s="559" t="str">
        <f t="shared" si="61"/>
        <v/>
      </c>
      <c r="I658" s="559" t="str">
        <f t="shared" si="62"/>
        <v/>
      </c>
    </row>
    <row r="659" spans="2:9">
      <c r="B659" s="555" t="str">
        <f t="shared" si="57"/>
        <v/>
      </c>
      <c r="C659" s="556" t="str">
        <f t="shared" si="58"/>
        <v/>
      </c>
      <c r="D659" s="557" t="str">
        <f t="shared" si="59"/>
        <v/>
      </c>
      <c r="E659" s="560"/>
      <c r="F659" s="559"/>
      <c r="G659" s="559" t="str">
        <f t="shared" si="60"/>
        <v/>
      </c>
      <c r="H659" s="559" t="str">
        <f t="shared" si="61"/>
        <v/>
      </c>
      <c r="I659" s="559" t="str">
        <f t="shared" si="62"/>
        <v/>
      </c>
    </row>
    <row r="660" spans="2:9">
      <c r="B660" s="555" t="str">
        <f t="shared" si="57"/>
        <v/>
      </c>
      <c r="C660" s="556" t="str">
        <f t="shared" si="58"/>
        <v/>
      </c>
      <c r="D660" s="557" t="str">
        <f t="shared" si="59"/>
        <v/>
      </c>
      <c r="E660" s="560"/>
      <c r="F660" s="559"/>
      <c r="G660" s="559" t="str">
        <f t="shared" si="60"/>
        <v/>
      </c>
      <c r="H660" s="559" t="str">
        <f t="shared" si="61"/>
        <v/>
      </c>
      <c r="I660" s="559" t="str">
        <f t="shared" si="62"/>
        <v/>
      </c>
    </row>
    <row r="661" spans="2:9">
      <c r="B661" s="555" t="str">
        <f t="shared" si="57"/>
        <v/>
      </c>
      <c r="C661" s="556" t="str">
        <f t="shared" si="58"/>
        <v/>
      </c>
      <c r="D661" s="557" t="str">
        <f t="shared" si="59"/>
        <v/>
      </c>
      <c r="E661" s="560"/>
      <c r="F661" s="559"/>
      <c r="G661" s="559" t="str">
        <f t="shared" si="60"/>
        <v/>
      </c>
      <c r="H661" s="559" t="str">
        <f t="shared" si="61"/>
        <v/>
      </c>
      <c r="I661" s="559" t="str">
        <f t="shared" si="62"/>
        <v/>
      </c>
    </row>
    <row r="662" spans="2:9">
      <c r="B662" s="555" t="str">
        <f t="shared" si="57"/>
        <v/>
      </c>
      <c r="C662" s="556" t="str">
        <f t="shared" si="58"/>
        <v/>
      </c>
      <c r="D662" s="557" t="str">
        <f t="shared" si="59"/>
        <v/>
      </c>
      <c r="E662" s="560"/>
      <c r="F662" s="559"/>
      <c r="G662" s="559" t="str">
        <f t="shared" si="60"/>
        <v/>
      </c>
      <c r="H662" s="559" t="str">
        <f t="shared" si="61"/>
        <v/>
      </c>
      <c r="I662" s="559" t="str">
        <f t="shared" si="62"/>
        <v/>
      </c>
    </row>
    <row r="663" spans="2:9">
      <c r="B663" s="555" t="str">
        <f t="shared" si="57"/>
        <v/>
      </c>
      <c r="C663" s="556" t="str">
        <f t="shared" si="58"/>
        <v/>
      </c>
      <c r="D663" s="557" t="str">
        <f t="shared" si="59"/>
        <v/>
      </c>
      <c r="E663" s="560"/>
      <c r="F663" s="559"/>
      <c r="G663" s="559" t="str">
        <f t="shared" si="60"/>
        <v/>
      </c>
      <c r="H663" s="559" t="str">
        <f t="shared" si="61"/>
        <v/>
      </c>
      <c r="I663" s="559" t="str">
        <f t="shared" si="62"/>
        <v/>
      </c>
    </row>
    <row r="664" spans="2:9">
      <c r="B664" s="555" t="str">
        <f t="shared" si="57"/>
        <v/>
      </c>
      <c r="C664" s="556" t="str">
        <f t="shared" si="58"/>
        <v/>
      </c>
      <c r="D664" s="557" t="str">
        <f t="shared" si="59"/>
        <v/>
      </c>
      <c r="E664" s="560"/>
      <c r="F664" s="559"/>
      <c r="G664" s="559" t="str">
        <f t="shared" si="60"/>
        <v/>
      </c>
      <c r="H664" s="559" t="str">
        <f t="shared" si="61"/>
        <v/>
      </c>
      <c r="I664" s="559" t="str">
        <f t="shared" si="62"/>
        <v/>
      </c>
    </row>
    <row r="665" spans="2:9">
      <c r="B665" s="555" t="str">
        <f t="shared" si="57"/>
        <v/>
      </c>
      <c r="C665" s="556" t="str">
        <f t="shared" si="58"/>
        <v/>
      </c>
      <c r="D665" s="557" t="str">
        <f t="shared" si="59"/>
        <v/>
      </c>
      <c r="E665" s="560"/>
      <c r="F665" s="559"/>
      <c r="G665" s="559" t="str">
        <f t="shared" si="60"/>
        <v/>
      </c>
      <c r="H665" s="559" t="str">
        <f t="shared" si="61"/>
        <v/>
      </c>
      <c r="I665" s="559" t="str">
        <f t="shared" si="62"/>
        <v/>
      </c>
    </row>
    <row r="666" spans="2:9">
      <c r="B666" s="555" t="str">
        <f t="shared" si="57"/>
        <v/>
      </c>
      <c r="C666" s="556" t="str">
        <f t="shared" si="58"/>
        <v/>
      </c>
      <c r="D666" s="557" t="str">
        <f t="shared" si="59"/>
        <v/>
      </c>
      <c r="E666" s="560"/>
      <c r="F666" s="559"/>
      <c r="G666" s="559" t="str">
        <f t="shared" si="60"/>
        <v/>
      </c>
      <c r="H666" s="559" t="str">
        <f t="shared" si="61"/>
        <v/>
      </c>
      <c r="I666" s="559" t="str">
        <f t="shared" si="62"/>
        <v/>
      </c>
    </row>
    <row r="667" spans="2:9">
      <c r="B667" s="555" t="str">
        <f t="shared" si="57"/>
        <v/>
      </c>
      <c r="C667" s="556" t="str">
        <f t="shared" si="58"/>
        <v/>
      </c>
      <c r="D667" s="557" t="str">
        <f t="shared" si="59"/>
        <v/>
      </c>
      <c r="E667" s="560"/>
      <c r="F667" s="559"/>
      <c r="G667" s="559" t="str">
        <f t="shared" si="60"/>
        <v/>
      </c>
      <c r="H667" s="559" t="str">
        <f t="shared" si="61"/>
        <v/>
      </c>
      <c r="I667" s="559" t="str">
        <f t="shared" si="62"/>
        <v/>
      </c>
    </row>
    <row r="668" spans="2:9">
      <c r="B668" s="555" t="str">
        <f t="shared" si="57"/>
        <v/>
      </c>
      <c r="C668" s="556" t="str">
        <f t="shared" si="58"/>
        <v/>
      </c>
      <c r="D668" s="557" t="str">
        <f t="shared" si="59"/>
        <v/>
      </c>
      <c r="E668" s="560"/>
      <c r="F668" s="559"/>
      <c r="G668" s="559" t="str">
        <f t="shared" si="60"/>
        <v/>
      </c>
      <c r="H668" s="559" t="str">
        <f t="shared" si="61"/>
        <v/>
      </c>
      <c r="I668" s="559" t="str">
        <f t="shared" si="62"/>
        <v/>
      </c>
    </row>
    <row r="669" spans="2:9">
      <c r="B669" s="555" t="str">
        <f t="shared" si="57"/>
        <v/>
      </c>
      <c r="C669" s="556" t="str">
        <f t="shared" si="58"/>
        <v/>
      </c>
      <c r="D669" s="557" t="str">
        <f t="shared" si="59"/>
        <v/>
      </c>
      <c r="E669" s="560"/>
      <c r="F669" s="559"/>
      <c r="G669" s="559" t="str">
        <f t="shared" si="60"/>
        <v/>
      </c>
      <c r="H669" s="559" t="str">
        <f t="shared" si="61"/>
        <v/>
      </c>
      <c r="I669" s="559" t="str">
        <f t="shared" si="62"/>
        <v/>
      </c>
    </row>
    <row r="670" spans="2:9">
      <c r="B670" s="555" t="str">
        <f t="shared" si="57"/>
        <v/>
      </c>
      <c r="C670" s="556" t="str">
        <f t="shared" si="58"/>
        <v/>
      </c>
      <c r="D670" s="557" t="str">
        <f t="shared" si="59"/>
        <v/>
      </c>
      <c r="E670" s="560"/>
      <c r="F670" s="559"/>
      <c r="G670" s="559" t="str">
        <f t="shared" si="60"/>
        <v/>
      </c>
      <c r="H670" s="559" t="str">
        <f t="shared" si="61"/>
        <v/>
      </c>
      <c r="I670" s="559" t="str">
        <f t="shared" si="62"/>
        <v/>
      </c>
    </row>
    <row r="671" spans="2:9">
      <c r="B671" s="555" t="str">
        <f t="shared" si="57"/>
        <v/>
      </c>
      <c r="C671" s="556" t="str">
        <f t="shared" si="58"/>
        <v/>
      </c>
      <c r="D671" s="557" t="str">
        <f t="shared" si="59"/>
        <v/>
      </c>
      <c r="E671" s="560"/>
      <c r="F671" s="559"/>
      <c r="G671" s="559" t="str">
        <f t="shared" si="60"/>
        <v/>
      </c>
      <c r="H671" s="559" t="str">
        <f t="shared" si="61"/>
        <v/>
      </c>
      <c r="I671" s="559" t="str">
        <f t="shared" si="62"/>
        <v/>
      </c>
    </row>
    <row r="672" spans="2:9">
      <c r="B672" s="555" t="str">
        <f t="shared" si="57"/>
        <v/>
      </c>
      <c r="C672" s="556" t="str">
        <f t="shared" si="58"/>
        <v/>
      </c>
      <c r="D672" s="557" t="str">
        <f t="shared" si="59"/>
        <v/>
      </c>
      <c r="E672" s="560"/>
      <c r="F672" s="559"/>
      <c r="G672" s="559" t="str">
        <f t="shared" si="60"/>
        <v/>
      </c>
      <c r="H672" s="559" t="str">
        <f t="shared" si="61"/>
        <v/>
      </c>
      <c r="I672" s="559" t="str">
        <f t="shared" si="62"/>
        <v/>
      </c>
    </row>
    <row r="673" spans="2:9">
      <c r="B673" s="555" t="str">
        <f t="shared" si="57"/>
        <v/>
      </c>
      <c r="C673" s="556" t="str">
        <f t="shared" si="58"/>
        <v/>
      </c>
      <c r="D673" s="557" t="str">
        <f t="shared" si="59"/>
        <v/>
      </c>
      <c r="E673" s="560"/>
      <c r="F673" s="559"/>
      <c r="G673" s="559" t="str">
        <f t="shared" si="60"/>
        <v/>
      </c>
      <c r="H673" s="559" t="str">
        <f t="shared" si="61"/>
        <v/>
      </c>
      <c r="I673" s="559" t="str">
        <f t="shared" si="62"/>
        <v/>
      </c>
    </row>
    <row r="674" spans="2:9">
      <c r="B674" s="555" t="str">
        <f t="shared" si="57"/>
        <v/>
      </c>
      <c r="C674" s="556" t="str">
        <f t="shared" si="58"/>
        <v/>
      </c>
      <c r="D674" s="557" t="str">
        <f t="shared" si="59"/>
        <v/>
      </c>
      <c r="E674" s="560"/>
      <c r="F674" s="559"/>
      <c r="G674" s="559" t="str">
        <f t="shared" si="60"/>
        <v/>
      </c>
      <c r="H674" s="559" t="str">
        <f t="shared" si="61"/>
        <v/>
      </c>
      <c r="I674" s="559" t="str">
        <f t="shared" si="62"/>
        <v/>
      </c>
    </row>
    <row r="675" spans="2:9">
      <c r="B675" s="555" t="str">
        <f t="shared" si="57"/>
        <v/>
      </c>
      <c r="C675" s="556" t="str">
        <f t="shared" si="58"/>
        <v/>
      </c>
      <c r="D675" s="557" t="str">
        <f t="shared" si="59"/>
        <v/>
      </c>
      <c r="E675" s="560"/>
      <c r="F675" s="559"/>
      <c r="G675" s="559" t="str">
        <f t="shared" si="60"/>
        <v/>
      </c>
      <c r="H675" s="559" t="str">
        <f t="shared" si="61"/>
        <v/>
      </c>
      <c r="I675" s="559" t="str">
        <f t="shared" si="62"/>
        <v/>
      </c>
    </row>
    <row r="676" spans="2:9">
      <c r="B676" s="555" t="str">
        <f t="shared" si="57"/>
        <v/>
      </c>
      <c r="C676" s="556" t="str">
        <f t="shared" si="58"/>
        <v/>
      </c>
      <c r="D676" s="557" t="str">
        <f t="shared" si="59"/>
        <v/>
      </c>
      <c r="E676" s="560"/>
      <c r="F676" s="559"/>
      <c r="G676" s="559" t="str">
        <f t="shared" si="60"/>
        <v/>
      </c>
      <c r="H676" s="559" t="str">
        <f t="shared" si="61"/>
        <v/>
      </c>
      <c r="I676" s="559" t="str">
        <f t="shared" si="62"/>
        <v/>
      </c>
    </row>
    <row r="677" spans="2:9">
      <c r="B677" s="555" t="str">
        <f t="shared" si="57"/>
        <v/>
      </c>
      <c r="C677" s="556" t="str">
        <f t="shared" si="58"/>
        <v/>
      </c>
      <c r="D677" s="557" t="str">
        <f t="shared" si="59"/>
        <v/>
      </c>
      <c r="E677" s="560"/>
      <c r="F677" s="559"/>
      <c r="G677" s="559" t="str">
        <f t="shared" si="60"/>
        <v/>
      </c>
      <c r="H677" s="559" t="str">
        <f t="shared" si="61"/>
        <v/>
      </c>
      <c r="I677" s="559" t="str">
        <f t="shared" si="62"/>
        <v/>
      </c>
    </row>
    <row r="678" spans="2:9">
      <c r="B678" s="555" t="str">
        <f t="shared" si="57"/>
        <v/>
      </c>
      <c r="C678" s="556" t="str">
        <f t="shared" si="58"/>
        <v/>
      </c>
      <c r="D678" s="557" t="str">
        <f t="shared" si="59"/>
        <v/>
      </c>
      <c r="E678" s="560"/>
      <c r="F678" s="559"/>
      <c r="G678" s="559" t="str">
        <f t="shared" si="60"/>
        <v/>
      </c>
      <c r="H678" s="559" t="str">
        <f t="shared" si="61"/>
        <v/>
      </c>
      <c r="I678" s="559" t="str">
        <f t="shared" si="62"/>
        <v/>
      </c>
    </row>
    <row r="679" spans="2:9">
      <c r="B679" s="555" t="str">
        <f t="shared" si="57"/>
        <v/>
      </c>
      <c r="C679" s="556" t="str">
        <f t="shared" si="58"/>
        <v/>
      </c>
      <c r="D679" s="557" t="str">
        <f t="shared" si="59"/>
        <v/>
      </c>
      <c r="E679" s="560"/>
      <c r="F679" s="559"/>
      <c r="G679" s="559" t="str">
        <f t="shared" si="60"/>
        <v/>
      </c>
      <c r="H679" s="559" t="str">
        <f t="shared" si="61"/>
        <v/>
      </c>
      <c r="I679" s="559" t="str">
        <f t="shared" si="62"/>
        <v/>
      </c>
    </row>
    <row r="680" spans="2:9">
      <c r="B680" s="555" t="str">
        <f t="shared" si="57"/>
        <v/>
      </c>
      <c r="C680" s="556" t="str">
        <f t="shared" si="58"/>
        <v/>
      </c>
      <c r="D680" s="557" t="str">
        <f t="shared" si="59"/>
        <v/>
      </c>
      <c r="E680" s="560"/>
      <c r="F680" s="559"/>
      <c r="G680" s="559" t="str">
        <f t="shared" si="60"/>
        <v/>
      </c>
      <c r="H680" s="559" t="str">
        <f t="shared" si="61"/>
        <v/>
      </c>
      <c r="I680" s="559" t="str">
        <f t="shared" si="62"/>
        <v/>
      </c>
    </row>
    <row r="681" spans="2:9">
      <c r="B681" s="555" t="str">
        <f t="shared" si="57"/>
        <v/>
      </c>
      <c r="C681" s="556" t="str">
        <f t="shared" si="58"/>
        <v/>
      </c>
      <c r="D681" s="557" t="str">
        <f t="shared" si="59"/>
        <v/>
      </c>
      <c r="E681" s="560"/>
      <c r="F681" s="559"/>
      <c r="G681" s="559" t="str">
        <f t="shared" si="60"/>
        <v/>
      </c>
      <c r="H681" s="559" t="str">
        <f t="shared" si="61"/>
        <v/>
      </c>
      <c r="I681" s="559" t="str">
        <f t="shared" si="62"/>
        <v/>
      </c>
    </row>
    <row r="682" spans="2:9">
      <c r="B682" s="555" t="str">
        <f t="shared" si="57"/>
        <v/>
      </c>
      <c r="C682" s="556" t="str">
        <f t="shared" si="58"/>
        <v/>
      </c>
      <c r="D682" s="557" t="str">
        <f t="shared" si="59"/>
        <v/>
      </c>
      <c r="E682" s="560"/>
      <c r="F682" s="559"/>
      <c r="G682" s="559" t="str">
        <f t="shared" si="60"/>
        <v/>
      </c>
      <c r="H682" s="559" t="str">
        <f t="shared" si="61"/>
        <v/>
      </c>
      <c r="I682" s="559" t="str">
        <f t="shared" si="62"/>
        <v/>
      </c>
    </row>
    <row r="683" spans="2:9">
      <c r="B683" s="555" t="str">
        <f t="shared" si="57"/>
        <v/>
      </c>
      <c r="C683" s="556" t="str">
        <f t="shared" si="58"/>
        <v/>
      </c>
      <c r="D683" s="557" t="str">
        <f t="shared" si="59"/>
        <v/>
      </c>
      <c r="E683" s="560"/>
      <c r="F683" s="559"/>
      <c r="G683" s="559" t="str">
        <f t="shared" si="60"/>
        <v/>
      </c>
      <c r="H683" s="559" t="str">
        <f t="shared" si="61"/>
        <v/>
      </c>
      <c r="I683" s="559" t="str">
        <f t="shared" si="62"/>
        <v/>
      </c>
    </row>
    <row r="684" spans="2:9">
      <c r="B684" s="555" t="str">
        <f t="shared" si="57"/>
        <v/>
      </c>
      <c r="C684" s="556" t="str">
        <f t="shared" si="58"/>
        <v/>
      </c>
      <c r="D684" s="557" t="str">
        <f t="shared" si="59"/>
        <v/>
      </c>
      <c r="E684" s="560"/>
      <c r="F684" s="559"/>
      <c r="G684" s="559" t="str">
        <f t="shared" si="60"/>
        <v/>
      </c>
      <c r="H684" s="559" t="str">
        <f t="shared" si="61"/>
        <v/>
      </c>
      <c r="I684" s="559" t="str">
        <f t="shared" si="62"/>
        <v/>
      </c>
    </row>
    <row r="685" spans="2:9">
      <c r="B685" s="555" t="str">
        <f t="shared" si="57"/>
        <v/>
      </c>
      <c r="C685" s="556" t="str">
        <f t="shared" si="58"/>
        <v/>
      </c>
      <c r="D685" s="557" t="str">
        <f t="shared" si="59"/>
        <v/>
      </c>
      <c r="E685" s="560"/>
      <c r="F685" s="559"/>
      <c r="G685" s="559" t="str">
        <f t="shared" si="60"/>
        <v/>
      </c>
      <c r="H685" s="559" t="str">
        <f t="shared" si="61"/>
        <v/>
      </c>
      <c r="I685" s="559" t="str">
        <f t="shared" si="62"/>
        <v/>
      </c>
    </row>
    <row r="686" spans="2:9">
      <c r="B686" s="555" t="str">
        <f t="shared" si="57"/>
        <v/>
      </c>
      <c r="C686" s="556" t="str">
        <f t="shared" si="58"/>
        <v/>
      </c>
      <c r="D686" s="557" t="str">
        <f t="shared" si="59"/>
        <v/>
      </c>
      <c r="E686" s="560"/>
      <c r="F686" s="559"/>
      <c r="G686" s="559" t="str">
        <f t="shared" si="60"/>
        <v/>
      </c>
      <c r="H686" s="559" t="str">
        <f t="shared" si="61"/>
        <v/>
      </c>
      <c r="I686" s="559" t="str">
        <f t="shared" si="62"/>
        <v/>
      </c>
    </row>
    <row r="687" spans="2:9">
      <c r="B687" s="555" t="str">
        <f t="shared" si="57"/>
        <v/>
      </c>
      <c r="C687" s="556" t="str">
        <f t="shared" si="58"/>
        <v/>
      </c>
      <c r="D687" s="557" t="str">
        <f t="shared" si="59"/>
        <v/>
      </c>
      <c r="E687" s="560"/>
      <c r="F687" s="559"/>
      <c r="G687" s="559" t="str">
        <f t="shared" si="60"/>
        <v/>
      </c>
      <c r="H687" s="559" t="str">
        <f t="shared" si="61"/>
        <v/>
      </c>
      <c r="I687" s="559" t="str">
        <f t="shared" si="62"/>
        <v/>
      </c>
    </row>
    <row r="688" spans="2:9">
      <c r="B688" s="555" t="str">
        <f t="shared" si="57"/>
        <v/>
      </c>
      <c r="C688" s="556" t="str">
        <f t="shared" si="58"/>
        <v/>
      </c>
      <c r="D688" s="557" t="str">
        <f t="shared" si="59"/>
        <v/>
      </c>
      <c r="E688" s="560"/>
      <c r="F688" s="559"/>
      <c r="G688" s="559" t="str">
        <f t="shared" si="60"/>
        <v/>
      </c>
      <c r="H688" s="559" t="str">
        <f t="shared" si="61"/>
        <v/>
      </c>
      <c r="I688" s="559" t="str">
        <f t="shared" si="62"/>
        <v/>
      </c>
    </row>
    <row r="689" spans="2:9">
      <c r="B689" s="555" t="str">
        <f t="shared" si="57"/>
        <v/>
      </c>
      <c r="C689" s="556" t="str">
        <f t="shared" si="58"/>
        <v/>
      </c>
      <c r="D689" s="557" t="str">
        <f t="shared" si="59"/>
        <v/>
      </c>
      <c r="E689" s="560"/>
      <c r="F689" s="559"/>
      <c r="G689" s="559" t="str">
        <f t="shared" si="60"/>
        <v/>
      </c>
      <c r="H689" s="559" t="str">
        <f t="shared" si="61"/>
        <v/>
      </c>
      <c r="I689" s="559" t="str">
        <f t="shared" si="62"/>
        <v/>
      </c>
    </row>
    <row r="690" spans="2:9">
      <c r="B690" s="555" t="str">
        <f t="shared" si="57"/>
        <v/>
      </c>
      <c r="C690" s="556" t="str">
        <f t="shared" si="58"/>
        <v/>
      </c>
      <c r="D690" s="557" t="str">
        <f t="shared" si="59"/>
        <v/>
      </c>
      <c r="E690" s="560"/>
      <c r="F690" s="559"/>
      <c r="G690" s="559" t="str">
        <f t="shared" si="60"/>
        <v/>
      </c>
      <c r="H690" s="559" t="str">
        <f t="shared" si="61"/>
        <v/>
      </c>
      <c r="I690" s="559" t="str">
        <f t="shared" si="62"/>
        <v/>
      </c>
    </row>
    <row r="691" spans="2:9">
      <c r="B691" s="555" t="str">
        <f t="shared" si="57"/>
        <v/>
      </c>
      <c r="C691" s="556" t="str">
        <f t="shared" si="58"/>
        <v/>
      </c>
      <c r="D691" s="557" t="str">
        <f t="shared" si="59"/>
        <v/>
      </c>
      <c r="E691" s="560"/>
      <c r="F691" s="559"/>
      <c r="G691" s="559" t="str">
        <f t="shared" si="60"/>
        <v/>
      </c>
      <c r="H691" s="559" t="str">
        <f t="shared" si="61"/>
        <v/>
      </c>
      <c r="I691" s="559" t="str">
        <f t="shared" si="62"/>
        <v/>
      </c>
    </row>
    <row r="692" spans="2:9">
      <c r="B692" s="555" t="str">
        <f t="shared" si="57"/>
        <v/>
      </c>
      <c r="C692" s="556" t="str">
        <f t="shared" si="58"/>
        <v/>
      </c>
      <c r="D692" s="557" t="str">
        <f t="shared" si="59"/>
        <v/>
      </c>
      <c r="E692" s="560"/>
      <c r="F692" s="559"/>
      <c r="G692" s="559" t="str">
        <f t="shared" si="60"/>
        <v/>
      </c>
      <c r="H692" s="559" t="str">
        <f t="shared" si="61"/>
        <v/>
      </c>
      <c r="I692" s="559" t="str">
        <f t="shared" si="62"/>
        <v/>
      </c>
    </row>
    <row r="693" spans="2:9">
      <c r="B693" s="555" t="str">
        <f t="shared" si="57"/>
        <v/>
      </c>
      <c r="C693" s="556" t="str">
        <f t="shared" si="58"/>
        <v/>
      </c>
      <c r="D693" s="557" t="str">
        <f t="shared" si="59"/>
        <v/>
      </c>
      <c r="E693" s="560"/>
      <c r="F693" s="559"/>
      <c r="G693" s="559" t="str">
        <f t="shared" si="60"/>
        <v/>
      </c>
      <c r="H693" s="559" t="str">
        <f t="shared" si="61"/>
        <v/>
      </c>
      <c r="I693" s="559" t="str">
        <f t="shared" si="62"/>
        <v/>
      </c>
    </row>
    <row r="694" spans="2:9">
      <c r="B694" s="555" t="str">
        <f t="shared" si="57"/>
        <v/>
      </c>
      <c r="C694" s="556" t="str">
        <f t="shared" si="58"/>
        <v/>
      </c>
      <c r="D694" s="557" t="str">
        <f t="shared" si="59"/>
        <v/>
      </c>
      <c r="E694" s="560"/>
      <c r="F694" s="559"/>
      <c r="G694" s="559" t="str">
        <f t="shared" si="60"/>
        <v/>
      </c>
      <c r="H694" s="559" t="str">
        <f t="shared" si="61"/>
        <v/>
      </c>
      <c r="I694" s="559" t="str">
        <f t="shared" si="62"/>
        <v/>
      </c>
    </row>
    <row r="695" spans="2:9">
      <c r="B695" s="555" t="str">
        <f t="shared" si="57"/>
        <v/>
      </c>
      <c r="C695" s="556" t="str">
        <f t="shared" si="58"/>
        <v/>
      </c>
      <c r="D695" s="557" t="str">
        <f t="shared" si="59"/>
        <v/>
      </c>
      <c r="E695" s="560"/>
      <c r="F695" s="559"/>
      <c r="G695" s="559" t="str">
        <f t="shared" si="60"/>
        <v/>
      </c>
      <c r="H695" s="559" t="str">
        <f t="shared" si="61"/>
        <v/>
      </c>
      <c r="I695" s="559" t="str">
        <f t="shared" si="62"/>
        <v/>
      </c>
    </row>
    <row r="696" spans="2:9">
      <c r="B696" s="555" t="str">
        <f t="shared" si="57"/>
        <v/>
      </c>
      <c r="C696" s="556" t="str">
        <f t="shared" si="58"/>
        <v/>
      </c>
      <c r="D696" s="557" t="str">
        <f t="shared" si="59"/>
        <v/>
      </c>
      <c r="E696" s="560"/>
      <c r="F696" s="559"/>
      <c r="G696" s="559" t="str">
        <f t="shared" si="60"/>
        <v/>
      </c>
      <c r="H696" s="559" t="str">
        <f t="shared" si="61"/>
        <v/>
      </c>
      <c r="I696" s="559" t="str">
        <f t="shared" si="62"/>
        <v/>
      </c>
    </row>
    <row r="697" spans="2:9">
      <c r="B697" s="555" t="str">
        <f t="shared" si="57"/>
        <v/>
      </c>
      <c r="C697" s="556" t="str">
        <f t="shared" si="58"/>
        <v/>
      </c>
      <c r="D697" s="557" t="str">
        <f t="shared" si="59"/>
        <v/>
      </c>
      <c r="E697" s="560"/>
      <c r="F697" s="559"/>
      <c r="G697" s="559" t="str">
        <f t="shared" si="60"/>
        <v/>
      </c>
      <c r="H697" s="559" t="str">
        <f t="shared" si="61"/>
        <v/>
      </c>
      <c r="I697" s="559" t="str">
        <f t="shared" si="62"/>
        <v/>
      </c>
    </row>
    <row r="698" spans="2:9">
      <c r="B698" s="555" t="str">
        <f t="shared" si="57"/>
        <v/>
      </c>
      <c r="C698" s="556" t="str">
        <f t="shared" si="58"/>
        <v/>
      </c>
      <c r="D698" s="557" t="str">
        <f t="shared" si="59"/>
        <v/>
      </c>
      <c r="E698" s="560"/>
      <c r="F698" s="559"/>
      <c r="G698" s="559" t="str">
        <f t="shared" si="60"/>
        <v/>
      </c>
      <c r="H698" s="559" t="str">
        <f t="shared" si="61"/>
        <v/>
      </c>
      <c r="I698" s="559" t="str">
        <f t="shared" si="62"/>
        <v/>
      </c>
    </row>
    <row r="699" spans="2:9">
      <c r="B699" s="555" t="str">
        <f t="shared" si="57"/>
        <v/>
      </c>
      <c r="C699" s="556" t="str">
        <f t="shared" si="58"/>
        <v/>
      </c>
      <c r="D699" s="557" t="str">
        <f t="shared" si="59"/>
        <v/>
      </c>
      <c r="E699" s="560"/>
      <c r="F699" s="559"/>
      <c r="G699" s="559" t="str">
        <f t="shared" si="60"/>
        <v/>
      </c>
      <c r="H699" s="559" t="str">
        <f t="shared" si="61"/>
        <v/>
      </c>
      <c r="I699" s="559" t="str">
        <f t="shared" si="62"/>
        <v/>
      </c>
    </row>
    <row r="700" spans="2:9">
      <c r="B700" s="555" t="str">
        <f t="shared" si="57"/>
        <v/>
      </c>
      <c r="C700" s="556" t="str">
        <f t="shared" si="58"/>
        <v/>
      </c>
      <c r="D700" s="557" t="str">
        <f t="shared" si="59"/>
        <v/>
      </c>
      <c r="E700" s="560"/>
      <c r="F700" s="559"/>
      <c r="G700" s="559" t="str">
        <f t="shared" si="60"/>
        <v/>
      </c>
      <c r="H700" s="559" t="str">
        <f t="shared" si="61"/>
        <v/>
      </c>
      <c r="I700" s="559" t="str">
        <f t="shared" si="62"/>
        <v/>
      </c>
    </row>
    <row r="701" spans="2:9">
      <c r="B701" s="555" t="str">
        <f t="shared" ref="B701:B764" si="63">IF(I700="","",IF(roundOpt,IF(OR(B700&gt;=nper,ROUND(I700,2)&lt;=0),"",B700+1),IF(OR(B700&gt;=nper,I700&lt;=0),"",B700+1)))</f>
        <v/>
      </c>
      <c r="C701" s="556" t="str">
        <f t="shared" ref="C701:C764" si="64">IF(B701="","",IF(OR(periods_per_year=26,periods_per_year=52),IF(periods_per_year=26,IF(B701=1,fpdate,C700+14),IF(periods_per_year=52,IF(B701=1,fpdate,C700+7),"n/a")),IF(periods_per_year=24,DATE(YEAR(fpdate),MONTH(fpdate)+(B701-1)/2+IF(AND(DAY(fpdate)&gt;=15,MOD(B701,2)=0),1,0),IF(MOD(B701,2)=0,IF(DAY(fpdate)&gt;=15,DAY(fpdate)-14,DAY(fpdate)+14),DAY(fpdate))),IF(DAY(DATE(YEAR(fpdate),MONTH(fpdate)+(B701-1)*months_per_period,DAY(fpdate)))&lt;&gt;DAY(fpdate),DATE(YEAR(fpdate),MONTH(fpdate)+(B701-1)*months_per_period+1,0),DATE(YEAR(fpdate),MONTH(fpdate)+(B701-1)*months_per_period,DAY(fpdate))))))</f>
        <v/>
      </c>
      <c r="D701" s="557" t="str">
        <f t="shared" ref="D701:D764" si="65">IF(B701="","",IF(roundOpt,IF(OR(B701=nper,payment&gt;ROUND((1+rate)*I700,2)),ROUND((1+rate)*I700,2),payment),IF(OR(B701=nper,payment&gt;(1+rate)*I700),(1+rate)*I700,payment)))</f>
        <v/>
      </c>
      <c r="E701" s="560"/>
      <c r="F701" s="559"/>
      <c r="G701" s="559" t="str">
        <f t="shared" ref="G701:G764" si="66">IF(B701="","",IF(AND(B701=1,pmtType=1),0,IF(roundOpt,ROUND(rate*I700,2),rate*I700)))</f>
        <v/>
      </c>
      <c r="H701" s="559" t="str">
        <f t="shared" ref="H701:H764" si="67">IF(B701="","",D701-G701+E701)</f>
        <v/>
      </c>
      <c r="I701" s="559" t="str">
        <f t="shared" ref="I701:I764" si="68">IF(B701="","",I700-H701)</f>
        <v/>
      </c>
    </row>
    <row r="702" spans="2:9">
      <c r="B702" s="555" t="str">
        <f t="shared" si="63"/>
        <v/>
      </c>
      <c r="C702" s="556" t="str">
        <f t="shared" si="64"/>
        <v/>
      </c>
      <c r="D702" s="557" t="str">
        <f t="shared" si="65"/>
        <v/>
      </c>
      <c r="E702" s="560"/>
      <c r="F702" s="559"/>
      <c r="G702" s="559" t="str">
        <f t="shared" si="66"/>
        <v/>
      </c>
      <c r="H702" s="559" t="str">
        <f t="shared" si="67"/>
        <v/>
      </c>
      <c r="I702" s="559" t="str">
        <f t="shared" si="68"/>
        <v/>
      </c>
    </row>
    <row r="703" spans="2:9">
      <c r="B703" s="555" t="str">
        <f t="shared" si="63"/>
        <v/>
      </c>
      <c r="C703" s="556" t="str">
        <f t="shared" si="64"/>
        <v/>
      </c>
      <c r="D703" s="557" t="str">
        <f t="shared" si="65"/>
        <v/>
      </c>
      <c r="E703" s="560"/>
      <c r="F703" s="559"/>
      <c r="G703" s="559" t="str">
        <f t="shared" si="66"/>
        <v/>
      </c>
      <c r="H703" s="559" t="str">
        <f t="shared" si="67"/>
        <v/>
      </c>
      <c r="I703" s="559" t="str">
        <f t="shared" si="68"/>
        <v/>
      </c>
    </row>
    <row r="704" spans="2:9">
      <c r="B704" s="555" t="str">
        <f t="shared" si="63"/>
        <v/>
      </c>
      <c r="C704" s="556" t="str">
        <f t="shared" si="64"/>
        <v/>
      </c>
      <c r="D704" s="557" t="str">
        <f t="shared" si="65"/>
        <v/>
      </c>
      <c r="E704" s="560"/>
      <c r="F704" s="559"/>
      <c r="G704" s="559" t="str">
        <f t="shared" si="66"/>
        <v/>
      </c>
      <c r="H704" s="559" t="str">
        <f t="shared" si="67"/>
        <v/>
      </c>
      <c r="I704" s="559" t="str">
        <f t="shared" si="68"/>
        <v/>
      </c>
    </row>
    <row r="705" spans="2:9">
      <c r="B705" s="555" t="str">
        <f t="shared" si="63"/>
        <v/>
      </c>
      <c r="C705" s="556" t="str">
        <f t="shared" si="64"/>
        <v/>
      </c>
      <c r="D705" s="557" t="str">
        <f t="shared" si="65"/>
        <v/>
      </c>
      <c r="E705" s="560"/>
      <c r="F705" s="559"/>
      <c r="G705" s="559" t="str">
        <f t="shared" si="66"/>
        <v/>
      </c>
      <c r="H705" s="559" t="str">
        <f t="shared" si="67"/>
        <v/>
      </c>
      <c r="I705" s="559" t="str">
        <f t="shared" si="68"/>
        <v/>
      </c>
    </row>
    <row r="706" spans="2:9">
      <c r="B706" s="555" t="str">
        <f t="shared" si="63"/>
        <v/>
      </c>
      <c r="C706" s="556" t="str">
        <f t="shared" si="64"/>
        <v/>
      </c>
      <c r="D706" s="557" t="str">
        <f t="shared" si="65"/>
        <v/>
      </c>
      <c r="E706" s="560"/>
      <c r="F706" s="559"/>
      <c r="G706" s="559" t="str">
        <f t="shared" si="66"/>
        <v/>
      </c>
      <c r="H706" s="559" t="str">
        <f t="shared" si="67"/>
        <v/>
      </c>
      <c r="I706" s="559" t="str">
        <f t="shared" si="68"/>
        <v/>
      </c>
    </row>
    <row r="707" spans="2:9">
      <c r="B707" s="555" t="str">
        <f t="shared" si="63"/>
        <v/>
      </c>
      <c r="C707" s="556" t="str">
        <f t="shared" si="64"/>
        <v/>
      </c>
      <c r="D707" s="557" t="str">
        <f t="shared" si="65"/>
        <v/>
      </c>
      <c r="E707" s="560"/>
      <c r="F707" s="559"/>
      <c r="G707" s="559" t="str">
        <f t="shared" si="66"/>
        <v/>
      </c>
      <c r="H707" s="559" t="str">
        <f t="shared" si="67"/>
        <v/>
      </c>
      <c r="I707" s="559" t="str">
        <f t="shared" si="68"/>
        <v/>
      </c>
    </row>
    <row r="708" spans="2:9">
      <c r="B708" s="555" t="str">
        <f t="shared" si="63"/>
        <v/>
      </c>
      <c r="C708" s="556" t="str">
        <f t="shared" si="64"/>
        <v/>
      </c>
      <c r="D708" s="557" t="str">
        <f t="shared" si="65"/>
        <v/>
      </c>
      <c r="E708" s="560"/>
      <c r="F708" s="559"/>
      <c r="G708" s="559" t="str">
        <f t="shared" si="66"/>
        <v/>
      </c>
      <c r="H708" s="559" t="str">
        <f t="shared" si="67"/>
        <v/>
      </c>
      <c r="I708" s="559" t="str">
        <f t="shared" si="68"/>
        <v/>
      </c>
    </row>
    <row r="709" spans="2:9">
      <c r="B709" s="555" t="str">
        <f t="shared" si="63"/>
        <v/>
      </c>
      <c r="C709" s="556" t="str">
        <f t="shared" si="64"/>
        <v/>
      </c>
      <c r="D709" s="557" t="str">
        <f t="shared" si="65"/>
        <v/>
      </c>
      <c r="E709" s="560"/>
      <c r="F709" s="559"/>
      <c r="G709" s="559" t="str">
        <f t="shared" si="66"/>
        <v/>
      </c>
      <c r="H709" s="559" t="str">
        <f t="shared" si="67"/>
        <v/>
      </c>
      <c r="I709" s="559" t="str">
        <f t="shared" si="68"/>
        <v/>
      </c>
    </row>
    <row r="710" spans="2:9">
      <c r="B710" s="555" t="str">
        <f t="shared" si="63"/>
        <v/>
      </c>
      <c r="C710" s="556" t="str">
        <f t="shared" si="64"/>
        <v/>
      </c>
      <c r="D710" s="557" t="str">
        <f t="shared" si="65"/>
        <v/>
      </c>
      <c r="E710" s="560"/>
      <c r="F710" s="559"/>
      <c r="G710" s="559" t="str">
        <f t="shared" si="66"/>
        <v/>
      </c>
      <c r="H710" s="559" t="str">
        <f t="shared" si="67"/>
        <v/>
      </c>
      <c r="I710" s="559" t="str">
        <f t="shared" si="68"/>
        <v/>
      </c>
    </row>
    <row r="711" spans="2:9">
      <c r="B711" s="555" t="str">
        <f t="shared" si="63"/>
        <v/>
      </c>
      <c r="C711" s="556" t="str">
        <f t="shared" si="64"/>
        <v/>
      </c>
      <c r="D711" s="557" t="str">
        <f t="shared" si="65"/>
        <v/>
      </c>
      <c r="E711" s="560"/>
      <c r="F711" s="559"/>
      <c r="G711" s="559" t="str">
        <f t="shared" si="66"/>
        <v/>
      </c>
      <c r="H711" s="559" t="str">
        <f t="shared" si="67"/>
        <v/>
      </c>
      <c r="I711" s="559" t="str">
        <f t="shared" si="68"/>
        <v/>
      </c>
    </row>
    <row r="712" spans="2:9">
      <c r="B712" s="555" t="str">
        <f t="shared" si="63"/>
        <v/>
      </c>
      <c r="C712" s="556" t="str">
        <f t="shared" si="64"/>
        <v/>
      </c>
      <c r="D712" s="557" t="str">
        <f t="shared" si="65"/>
        <v/>
      </c>
      <c r="E712" s="560"/>
      <c r="F712" s="559"/>
      <c r="G712" s="559" t="str">
        <f t="shared" si="66"/>
        <v/>
      </c>
      <c r="H712" s="559" t="str">
        <f t="shared" si="67"/>
        <v/>
      </c>
      <c r="I712" s="559" t="str">
        <f t="shared" si="68"/>
        <v/>
      </c>
    </row>
    <row r="713" spans="2:9">
      <c r="B713" s="555" t="str">
        <f t="shared" si="63"/>
        <v/>
      </c>
      <c r="C713" s="556" t="str">
        <f t="shared" si="64"/>
        <v/>
      </c>
      <c r="D713" s="557" t="str">
        <f t="shared" si="65"/>
        <v/>
      </c>
      <c r="E713" s="560"/>
      <c r="F713" s="559"/>
      <c r="G713" s="559" t="str">
        <f t="shared" si="66"/>
        <v/>
      </c>
      <c r="H713" s="559" t="str">
        <f t="shared" si="67"/>
        <v/>
      </c>
      <c r="I713" s="559" t="str">
        <f t="shared" si="68"/>
        <v/>
      </c>
    </row>
    <row r="714" spans="2:9">
      <c r="B714" s="555" t="str">
        <f t="shared" si="63"/>
        <v/>
      </c>
      <c r="C714" s="556" t="str">
        <f t="shared" si="64"/>
        <v/>
      </c>
      <c r="D714" s="557" t="str">
        <f t="shared" si="65"/>
        <v/>
      </c>
      <c r="E714" s="560"/>
      <c r="F714" s="559"/>
      <c r="G714" s="559" t="str">
        <f t="shared" si="66"/>
        <v/>
      </c>
      <c r="H714" s="559" t="str">
        <f t="shared" si="67"/>
        <v/>
      </c>
      <c r="I714" s="559" t="str">
        <f t="shared" si="68"/>
        <v/>
      </c>
    </row>
    <row r="715" spans="2:9">
      <c r="B715" s="555" t="str">
        <f t="shared" si="63"/>
        <v/>
      </c>
      <c r="C715" s="556" t="str">
        <f t="shared" si="64"/>
        <v/>
      </c>
      <c r="D715" s="557" t="str">
        <f t="shared" si="65"/>
        <v/>
      </c>
      <c r="E715" s="560"/>
      <c r="F715" s="559"/>
      <c r="G715" s="559" t="str">
        <f t="shared" si="66"/>
        <v/>
      </c>
      <c r="H715" s="559" t="str">
        <f t="shared" si="67"/>
        <v/>
      </c>
      <c r="I715" s="559" t="str">
        <f t="shared" si="68"/>
        <v/>
      </c>
    </row>
    <row r="716" spans="2:9">
      <c r="B716" s="555" t="str">
        <f t="shared" si="63"/>
        <v/>
      </c>
      <c r="C716" s="556" t="str">
        <f t="shared" si="64"/>
        <v/>
      </c>
      <c r="D716" s="557" t="str">
        <f t="shared" si="65"/>
        <v/>
      </c>
      <c r="E716" s="560"/>
      <c r="F716" s="559"/>
      <c r="G716" s="559" t="str">
        <f t="shared" si="66"/>
        <v/>
      </c>
      <c r="H716" s="559" t="str">
        <f t="shared" si="67"/>
        <v/>
      </c>
      <c r="I716" s="559" t="str">
        <f t="shared" si="68"/>
        <v/>
      </c>
    </row>
    <row r="717" spans="2:9">
      <c r="B717" s="555" t="str">
        <f t="shared" si="63"/>
        <v/>
      </c>
      <c r="C717" s="556" t="str">
        <f t="shared" si="64"/>
        <v/>
      </c>
      <c r="D717" s="557" t="str">
        <f t="shared" si="65"/>
        <v/>
      </c>
      <c r="E717" s="560"/>
      <c r="F717" s="559"/>
      <c r="G717" s="559" t="str">
        <f t="shared" si="66"/>
        <v/>
      </c>
      <c r="H717" s="559" t="str">
        <f t="shared" si="67"/>
        <v/>
      </c>
      <c r="I717" s="559" t="str">
        <f t="shared" si="68"/>
        <v/>
      </c>
    </row>
    <row r="718" spans="2:9">
      <c r="B718" s="555" t="str">
        <f t="shared" si="63"/>
        <v/>
      </c>
      <c r="C718" s="556" t="str">
        <f t="shared" si="64"/>
        <v/>
      </c>
      <c r="D718" s="557" t="str">
        <f t="shared" si="65"/>
        <v/>
      </c>
      <c r="E718" s="560"/>
      <c r="F718" s="559"/>
      <c r="G718" s="559" t="str">
        <f t="shared" si="66"/>
        <v/>
      </c>
      <c r="H718" s="559" t="str">
        <f t="shared" si="67"/>
        <v/>
      </c>
      <c r="I718" s="559" t="str">
        <f t="shared" si="68"/>
        <v/>
      </c>
    </row>
    <row r="719" spans="2:9">
      <c r="B719" s="555" t="str">
        <f t="shared" si="63"/>
        <v/>
      </c>
      <c r="C719" s="556" t="str">
        <f t="shared" si="64"/>
        <v/>
      </c>
      <c r="D719" s="557" t="str">
        <f t="shared" si="65"/>
        <v/>
      </c>
      <c r="E719" s="560"/>
      <c r="F719" s="559"/>
      <c r="G719" s="559" t="str">
        <f t="shared" si="66"/>
        <v/>
      </c>
      <c r="H719" s="559" t="str">
        <f t="shared" si="67"/>
        <v/>
      </c>
      <c r="I719" s="559" t="str">
        <f t="shared" si="68"/>
        <v/>
      </c>
    </row>
    <row r="720" spans="2:9">
      <c r="B720" s="555" t="str">
        <f t="shared" si="63"/>
        <v/>
      </c>
      <c r="C720" s="556" t="str">
        <f t="shared" si="64"/>
        <v/>
      </c>
      <c r="D720" s="557" t="str">
        <f t="shared" si="65"/>
        <v/>
      </c>
      <c r="E720" s="560"/>
      <c r="F720" s="559"/>
      <c r="G720" s="559" t="str">
        <f t="shared" si="66"/>
        <v/>
      </c>
      <c r="H720" s="559" t="str">
        <f t="shared" si="67"/>
        <v/>
      </c>
      <c r="I720" s="559" t="str">
        <f t="shared" si="68"/>
        <v/>
      </c>
    </row>
    <row r="721" spans="2:9">
      <c r="B721" s="555" t="str">
        <f t="shared" si="63"/>
        <v/>
      </c>
      <c r="C721" s="556" t="str">
        <f t="shared" si="64"/>
        <v/>
      </c>
      <c r="D721" s="557" t="str">
        <f t="shared" si="65"/>
        <v/>
      </c>
      <c r="E721" s="560"/>
      <c r="F721" s="559"/>
      <c r="G721" s="559" t="str">
        <f t="shared" si="66"/>
        <v/>
      </c>
      <c r="H721" s="559" t="str">
        <f t="shared" si="67"/>
        <v/>
      </c>
      <c r="I721" s="559" t="str">
        <f t="shared" si="68"/>
        <v/>
      </c>
    </row>
    <row r="722" spans="2:9">
      <c r="B722" s="555" t="str">
        <f t="shared" si="63"/>
        <v/>
      </c>
      <c r="C722" s="556" t="str">
        <f t="shared" si="64"/>
        <v/>
      </c>
      <c r="D722" s="557" t="str">
        <f t="shared" si="65"/>
        <v/>
      </c>
      <c r="E722" s="560"/>
      <c r="F722" s="559"/>
      <c r="G722" s="559" t="str">
        <f t="shared" si="66"/>
        <v/>
      </c>
      <c r="H722" s="559" t="str">
        <f t="shared" si="67"/>
        <v/>
      </c>
      <c r="I722" s="559" t="str">
        <f t="shared" si="68"/>
        <v/>
      </c>
    </row>
    <row r="723" spans="2:9">
      <c r="B723" s="555" t="str">
        <f t="shared" si="63"/>
        <v/>
      </c>
      <c r="C723" s="556" t="str">
        <f t="shared" si="64"/>
        <v/>
      </c>
      <c r="D723" s="557" t="str">
        <f t="shared" si="65"/>
        <v/>
      </c>
      <c r="E723" s="560"/>
      <c r="F723" s="559"/>
      <c r="G723" s="559" t="str">
        <f t="shared" si="66"/>
        <v/>
      </c>
      <c r="H723" s="559" t="str">
        <f t="shared" si="67"/>
        <v/>
      </c>
      <c r="I723" s="559" t="str">
        <f t="shared" si="68"/>
        <v/>
      </c>
    </row>
    <row r="724" spans="2:9">
      <c r="B724" s="555" t="str">
        <f t="shared" si="63"/>
        <v/>
      </c>
      <c r="C724" s="556" t="str">
        <f t="shared" si="64"/>
        <v/>
      </c>
      <c r="D724" s="557" t="str">
        <f t="shared" si="65"/>
        <v/>
      </c>
      <c r="E724" s="560"/>
      <c r="F724" s="559"/>
      <c r="G724" s="559" t="str">
        <f t="shared" si="66"/>
        <v/>
      </c>
      <c r="H724" s="559" t="str">
        <f t="shared" si="67"/>
        <v/>
      </c>
      <c r="I724" s="559" t="str">
        <f t="shared" si="68"/>
        <v/>
      </c>
    </row>
    <row r="725" spans="2:9">
      <c r="B725" s="555" t="str">
        <f t="shared" si="63"/>
        <v/>
      </c>
      <c r="C725" s="556" t="str">
        <f t="shared" si="64"/>
        <v/>
      </c>
      <c r="D725" s="557" t="str">
        <f t="shared" si="65"/>
        <v/>
      </c>
      <c r="E725" s="560"/>
      <c r="F725" s="559"/>
      <c r="G725" s="559" t="str">
        <f t="shared" si="66"/>
        <v/>
      </c>
      <c r="H725" s="559" t="str">
        <f t="shared" si="67"/>
        <v/>
      </c>
      <c r="I725" s="559" t="str">
        <f t="shared" si="68"/>
        <v/>
      </c>
    </row>
    <row r="726" spans="2:9">
      <c r="B726" s="555" t="str">
        <f t="shared" si="63"/>
        <v/>
      </c>
      <c r="C726" s="556" t="str">
        <f t="shared" si="64"/>
        <v/>
      </c>
      <c r="D726" s="557" t="str">
        <f t="shared" si="65"/>
        <v/>
      </c>
      <c r="E726" s="560"/>
      <c r="F726" s="559"/>
      <c r="G726" s="559" t="str">
        <f t="shared" si="66"/>
        <v/>
      </c>
      <c r="H726" s="559" t="str">
        <f t="shared" si="67"/>
        <v/>
      </c>
      <c r="I726" s="559" t="str">
        <f t="shared" si="68"/>
        <v/>
      </c>
    </row>
    <row r="727" spans="2:9">
      <c r="B727" s="555" t="str">
        <f t="shared" si="63"/>
        <v/>
      </c>
      <c r="C727" s="556" t="str">
        <f t="shared" si="64"/>
        <v/>
      </c>
      <c r="D727" s="557" t="str">
        <f t="shared" si="65"/>
        <v/>
      </c>
      <c r="E727" s="560"/>
      <c r="F727" s="559"/>
      <c r="G727" s="559" t="str">
        <f t="shared" si="66"/>
        <v/>
      </c>
      <c r="H727" s="559" t="str">
        <f t="shared" si="67"/>
        <v/>
      </c>
      <c r="I727" s="559" t="str">
        <f t="shared" si="68"/>
        <v/>
      </c>
    </row>
    <row r="728" spans="2:9">
      <c r="B728" s="555" t="str">
        <f t="shared" si="63"/>
        <v/>
      </c>
      <c r="C728" s="556" t="str">
        <f t="shared" si="64"/>
        <v/>
      </c>
      <c r="D728" s="557" t="str">
        <f t="shared" si="65"/>
        <v/>
      </c>
      <c r="E728" s="560"/>
      <c r="F728" s="559"/>
      <c r="G728" s="559" t="str">
        <f t="shared" si="66"/>
        <v/>
      </c>
      <c r="H728" s="559" t="str">
        <f t="shared" si="67"/>
        <v/>
      </c>
      <c r="I728" s="559" t="str">
        <f t="shared" si="68"/>
        <v/>
      </c>
    </row>
    <row r="729" spans="2:9">
      <c r="B729" s="555" t="str">
        <f t="shared" si="63"/>
        <v/>
      </c>
      <c r="C729" s="556" t="str">
        <f t="shared" si="64"/>
        <v/>
      </c>
      <c r="D729" s="557" t="str">
        <f t="shared" si="65"/>
        <v/>
      </c>
      <c r="E729" s="560"/>
      <c r="F729" s="559"/>
      <c r="G729" s="559" t="str">
        <f t="shared" si="66"/>
        <v/>
      </c>
      <c r="H729" s="559" t="str">
        <f t="shared" si="67"/>
        <v/>
      </c>
      <c r="I729" s="559" t="str">
        <f t="shared" si="68"/>
        <v/>
      </c>
    </row>
    <row r="730" spans="2:9">
      <c r="B730" s="555" t="str">
        <f t="shared" si="63"/>
        <v/>
      </c>
      <c r="C730" s="556" t="str">
        <f t="shared" si="64"/>
        <v/>
      </c>
      <c r="D730" s="557" t="str">
        <f t="shared" si="65"/>
        <v/>
      </c>
      <c r="E730" s="560"/>
      <c r="F730" s="559"/>
      <c r="G730" s="559" t="str">
        <f t="shared" si="66"/>
        <v/>
      </c>
      <c r="H730" s="559" t="str">
        <f t="shared" si="67"/>
        <v/>
      </c>
      <c r="I730" s="559" t="str">
        <f t="shared" si="68"/>
        <v/>
      </c>
    </row>
    <row r="731" spans="2:9">
      <c r="B731" s="555" t="str">
        <f t="shared" si="63"/>
        <v/>
      </c>
      <c r="C731" s="556" t="str">
        <f t="shared" si="64"/>
        <v/>
      </c>
      <c r="D731" s="557" t="str">
        <f t="shared" si="65"/>
        <v/>
      </c>
      <c r="E731" s="560"/>
      <c r="F731" s="559"/>
      <c r="G731" s="559" t="str">
        <f t="shared" si="66"/>
        <v/>
      </c>
      <c r="H731" s="559" t="str">
        <f t="shared" si="67"/>
        <v/>
      </c>
      <c r="I731" s="559" t="str">
        <f t="shared" si="68"/>
        <v/>
      </c>
    </row>
    <row r="732" spans="2:9">
      <c r="B732" s="555" t="str">
        <f t="shared" si="63"/>
        <v/>
      </c>
      <c r="C732" s="556" t="str">
        <f t="shared" si="64"/>
        <v/>
      </c>
      <c r="D732" s="557" t="str">
        <f t="shared" si="65"/>
        <v/>
      </c>
      <c r="E732" s="560"/>
      <c r="F732" s="559"/>
      <c r="G732" s="559" t="str">
        <f t="shared" si="66"/>
        <v/>
      </c>
      <c r="H732" s="559" t="str">
        <f t="shared" si="67"/>
        <v/>
      </c>
      <c r="I732" s="559" t="str">
        <f t="shared" si="68"/>
        <v/>
      </c>
    </row>
    <row r="733" spans="2:9">
      <c r="B733" s="555" t="str">
        <f t="shared" si="63"/>
        <v/>
      </c>
      <c r="C733" s="556" t="str">
        <f t="shared" si="64"/>
        <v/>
      </c>
      <c r="D733" s="557" t="str">
        <f t="shared" si="65"/>
        <v/>
      </c>
      <c r="E733" s="560"/>
      <c r="F733" s="559"/>
      <c r="G733" s="559" t="str">
        <f t="shared" si="66"/>
        <v/>
      </c>
      <c r="H733" s="559" t="str">
        <f t="shared" si="67"/>
        <v/>
      </c>
      <c r="I733" s="559" t="str">
        <f t="shared" si="68"/>
        <v/>
      </c>
    </row>
    <row r="734" spans="2:9">
      <c r="B734" s="555" t="str">
        <f t="shared" si="63"/>
        <v/>
      </c>
      <c r="C734" s="556" t="str">
        <f t="shared" si="64"/>
        <v/>
      </c>
      <c r="D734" s="557" t="str">
        <f t="shared" si="65"/>
        <v/>
      </c>
      <c r="E734" s="560"/>
      <c r="F734" s="559"/>
      <c r="G734" s="559" t="str">
        <f t="shared" si="66"/>
        <v/>
      </c>
      <c r="H734" s="559" t="str">
        <f t="shared" si="67"/>
        <v/>
      </c>
      <c r="I734" s="559" t="str">
        <f t="shared" si="68"/>
        <v/>
      </c>
    </row>
    <row r="735" spans="2:9">
      <c r="B735" s="555" t="str">
        <f t="shared" si="63"/>
        <v/>
      </c>
      <c r="C735" s="556" t="str">
        <f t="shared" si="64"/>
        <v/>
      </c>
      <c r="D735" s="557" t="str">
        <f t="shared" si="65"/>
        <v/>
      </c>
      <c r="E735" s="560"/>
      <c r="F735" s="559"/>
      <c r="G735" s="559" t="str">
        <f t="shared" si="66"/>
        <v/>
      </c>
      <c r="H735" s="559" t="str">
        <f t="shared" si="67"/>
        <v/>
      </c>
      <c r="I735" s="559" t="str">
        <f t="shared" si="68"/>
        <v/>
      </c>
    </row>
    <row r="736" spans="2:9">
      <c r="B736" s="555" t="str">
        <f t="shared" si="63"/>
        <v/>
      </c>
      <c r="C736" s="556" t="str">
        <f t="shared" si="64"/>
        <v/>
      </c>
      <c r="D736" s="557" t="str">
        <f t="shared" si="65"/>
        <v/>
      </c>
      <c r="E736" s="560"/>
      <c r="F736" s="559"/>
      <c r="G736" s="559" t="str">
        <f t="shared" si="66"/>
        <v/>
      </c>
      <c r="H736" s="559" t="str">
        <f t="shared" si="67"/>
        <v/>
      </c>
      <c r="I736" s="559" t="str">
        <f t="shared" si="68"/>
        <v/>
      </c>
    </row>
    <row r="737" spans="2:9">
      <c r="B737" s="555" t="str">
        <f t="shared" si="63"/>
        <v/>
      </c>
      <c r="C737" s="556" t="str">
        <f t="shared" si="64"/>
        <v/>
      </c>
      <c r="D737" s="557" t="str">
        <f t="shared" si="65"/>
        <v/>
      </c>
      <c r="E737" s="560"/>
      <c r="F737" s="559"/>
      <c r="G737" s="559" t="str">
        <f t="shared" si="66"/>
        <v/>
      </c>
      <c r="H737" s="559" t="str">
        <f t="shared" si="67"/>
        <v/>
      </c>
      <c r="I737" s="559" t="str">
        <f t="shared" si="68"/>
        <v/>
      </c>
    </row>
    <row r="738" spans="2:9">
      <c r="B738" s="555" t="str">
        <f t="shared" si="63"/>
        <v/>
      </c>
      <c r="C738" s="556" t="str">
        <f t="shared" si="64"/>
        <v/>
      </c>
      <c r="D738" s="557" t="str">
        <f t="shared" si="65"/>
        <v/>
      </c>
      <c r="E738" s="560"/>
      <c r="F738" s="559"/>
      <c r="G738" s="559" t="str">
        <f t="shared" si="66"/>
        <v/>
      </c>
      <c r="H738" s="559" t="str">
        <f t="shared" si="67"/>
        <v/>
      </c>
      <c r="I738" s="559" t="str">
        <f t="shared" si="68"/>
        <v/>
      </c>
    </row>
    <row r="739" spans="2:9">
      <c r="B739" s="555" t="str">
        <f t="shared" si="63"/>
        <v/>
      </c>
      <c r="C739" s="556" t="str">
        <f t="shared" si="64"/>
        <v/>
      </c>
      <c r="D739" s="557" t="str">
        <f t="shared" si="65"/>
        <v/>
      </c>
      <c r="E739" s="560"/>
      <c r="F739" s="559"/>
      <c r="G739" s="559" t="str">
        <f t="shared" si="66"/>
        <v/>
      </c>
      <c r="H739" s="559" t="str">
        <f t="shared" si="67"/>
        <v/>
      </c>
      <c r="I739" s="559" t="str">
        <f t="shared" si="68"/>
        <v/>
      </c>
    </row>
    <row r="740" spans="2:9">
      <c r="B740" s="555" t="str">
        <f t="shared" si="63"/>
        <v/>
      </c>
      <c r="C740" s="556" t="str">
        <f t="shared" si="64"/>
        <v/>
      </c>
      <c r="D740" s="557" t="str">
        <f t="shared" si="65"/>
        <v/>
      </c>
      <c r="E740" s="560"/>
      <c r="F740" s="559"/>
      <c r="G740" s="559" t="str">
        <f t="shared" si="66"/>
        <v/>
      </c>
      <c r="H740" s="559" t="str">
        <f t="shared" si="67"/>
        <v/>
      </c>
      <c r="I740" s="559" t="str">
        <f t="shared" si="68"/>
        <v/>
      </c>
    </row>
    <row r="741" spans="2:9">
      <c r="B741" s="555" t="str">
        <f t="shared" si="63"/>
        <v/>
      </c>
      <c r="C741" s="556" t="str">
        <f t="shared" si="64"/>
        <v/>
      </c>
      <c r="D741" s="557" t="str">
        <f t="shared" si="65"/>
        <v/>
      </c>
      <c r="E741" s="560"/>
      <c r="F741" s="559"/>
      <c r="G741" s="559" t="str">
        <f t="shared" si="66"/>
        <v/>
      </c>
      <c r="H741" s="559" t="str">
        <f t="shared" si="67"/>
        <v/>
      </c>
      <c r="I741" s="559" t="str">
        <f t="shared" si="68"/>
        <v/>
      </c>
    </row>
    <row r="742" spans="2:9">
      <c r="B742" s="555" t="str">
        <f t="shared" si="63"/>
        <v/>
      </c>
      <c r="C742" s="556" t="str">
        <f t="shared" si="64"/>
        <v/>
      </c>
      <c r="D742" s="557" t="str">
        <f t="shared" si="65"/>
        <v/>
      </c>
      <c r="E742" s="560"/>
      <c r="F742" s="559"/>
      <c r="G742" s="559" t="str">
        <f t="shared" si="66"/>
        <v/>
      </c>
      <c r="H742" s="559" t="str">
        <f t="shared" si="67"/>
        <v/>
      </c>
      <c r="I742" s="559" t="str">
        <f t="shared" si="68"/>
        <v/>
      </c>
    </row>
    <row r="743" spans="2:9">
      <c r="B743" s="555" t="str">
        <f t="shared" si="63"/>
        <v/>
      </c>
      <c r="C743" s="556" t="str">
        <f t="shared" si="64"/>
        <v/>
      </c>
      <c r="D743" s="557" t="str">
        <f t="shared" si="65"/>
        <v/>
      </c>
      <c r="E743" s="560"/>
      <c r="F743" s="559"/>
      <c r="G743" s="559" t="str">
        <f t="shared" si="66"/>
        <v/>
      </c>
      <c r="H743" s="559" t="str">
        <f t="shared" si="67"/>
        <v/>
      </c>
      <c r="I743" s="559" t="str">
        <f t="shared" si="68"/>
        <v/>
      </c>
    </row>
    <row r="744" spans="2:9">
      <c r="B744" s="555" t="str">
        <f t="shared" si="63"/>
        <v/>
      </c>
      <c r="C744" s="556" t="str">
        <f t="shared" si="64"/>
        <v/>
      </c>
      <c r="D744" s="557" t="str">
        <f t="shared" si="65"/>
        <v/>
      </c>
      <c r="E744" s="560"/>
      <c r="F744" s="559"/>
      <c r="G744" s="559" t="str">
        <f t="shared" si="66"/>
        <v/>
      </c>
      <c r="H744" s="559" t="str">
        <f t="shared" si="67"/>
        <v/>
      </c>
      <c r="I744" s="559" t="str">
        <f t="shared" si="68"/>
        <v/>
      </c>
    </row>
    <row r="745" spans="2:9">
      <c r="B745" s="555" t="str">
        <f t="shared" si="63"/>
        <v/>
      </c>
      <c r="C745" s="556" t="str">
        <f t="shared" si="64"/>
        <v/>
      </c>
      <c r="D745" s="557" t="str">
        <f t="shared" si="65"/>
        <v/>
      </c>
      <c r="E745" s="560"/>
      <c r="F745" s="559"/>
      <c r="G745" s="559" t="str">
        <f t="shared" si="66"/>
        <v/>
      </c>
      <c r="H745" s="559" t="str">
        <f t="shared" si="67"/>
        <v/>
      </c>
      <c r="I745" s="559" t="str">
        <f t="shared" si="68"/>
        <v/>
      </c>
    </row>
    <row r="746" spans="2:9">
      <c r="B746" s="555" t="str">
        <f t="shared" si="63"/>
        <v/>
      </c>
      <c r="C746" s="556" t="str">
        <f t="shared" si="64"/>
        <v/>
      </c>
      <c r="D746" s="557" t="str">
        <f t="shared" si="65"/>
        <v/>
      </c>
      <c r="E746" s="560"/>
      <c r="F746" s="559"/>
      <c r="G746" s="559" t="str">
        <f t="shared" si="66"/>
        <v/>
      </c>
      <c r="H746" s="559" t="str">
        <f t="shared" si="67"/>
        <v/>
      </c>
      <c r="I746" s="559" t="str">
        <f t="shared" si="68"/>
        <v/>
      </c>
    </row>
    <row r="747" spans="2:9">
      <c r="B747" s="555" t="str">
        <f t="shared" si="63"/>
        <v/>
      </c>
      <c r="C747" s="556" t="str">
        <f t="shared" si="64"/>
        <v/>
      </c>
      <c r="D747" s="557" t="str">
        <f t="shared" si="65"/>
        <v/>
      </c>
      <c r="E747" s="560"/>
      <c r="F747" s="559"/>
      <c r="G747" s="559" t="str">
        <f t="shared" si="66"/>
        <v/>
      </c>
      <c r="H747" s="559" t="str">
        <f t="shared" si="67"/>
        <v/>
      </c>
      <c r="I747" s="559" t="str">
        <f t="shared" si="68"/>
        <v/>
      </c>
    </row>
    <row r="748" spans="2:9">
      <c r="B748" s="555" t="str">
        <f t="shared" si="63"/>
        <v/>
      </c>
      <c r="C748" s="556" t="str">
        <f t="shared" si="64"/>
        <v/>
      </c>
      <c r="D748" s="557" t="str">
        <f t="shared" si="65"/>
        <v/>
      </c>
      <c r="E748" s="560"/>
      <c r="F748" s="559"/>
      <c r="G748" s="559" t="str">
        <f t="shared" si="66"/>
        <v/>
      </c>
      <c r="H748" s="559" t="str">
        <f t="shared" si="67"/>
        <v/>
      </c>
      <c r="I748" s="559" t="str">
        <f t="shared" si="68"/>
        <v/>
      </c>
    </row>
    <row r="749" spans="2:9">
      <c r="B749" s="555" t="str">
        <f t="shared" si="63"/>
        <v/>
      </c>
      <c r="C749" s="556" t="str">
        <f t="shared" si="64"/>
        <v/>
      </c>
      <c r="D749" s="557" t="str">
        <f t="shared" si="65"/>
        <v/>
      </c>
      <c r="E749" s="560"/>
      <c r="F749" s="559"/>
      <c r="G749" s="559" t="str">
        <f t="shared" si="66"/>
        <v/>
      </c>
      <c r="H749" s="559" t="str">
        <f t="shared" si="67"/>
        <v/>
      </c>
      <c r="I749" s="559" t="str">
        <f t="shared" si="68"/>
        <v/>
      </c>
    </row>
    <row r="750" spans="2:9">
      <c r="B750" s="555" t="str">
        <f t="shared" si="63"/>
        <v/>
      </c>
      <c r="C750" s="556" t="str">
        <f t="shared" si="64"/>
        <v/>
      </c>
      <c r="D750" s="557" t="str">
        <f t="shared" si="65"/>
        <v/>
      </c>
      <c r="E750" s="560"/>
      <c r="F750" s="559"/>
      <c r="G750" s="559" t="str">
        <f t="shared" si="66"/>
        <v/>
      </c>
      <c r="H750" s="559" t="str">
        <f t="shared" si="67"/>
        <v/>
      </c>
      <c r="I750" s="559" t="str">
        <f t="shared" si="68"/>
        <v/>
      </c>
    </row>
    <row r="751" spans="2:9">
      <c r="B751" s="555" t="str">
        <f t="shared" si="63"/>
        <v/>
      </c>
      <c r="C751" s="556" t="str">
        <f t="shared" si="64"/>
        <v/>
      </c>
      <c r="D751" s="557" t="str">
        <f t="shared" si="65"/>
        <v/>
      </c>
      <c r="E751" s="560"/>
      <c r="F751" s="559"/>
      <c r="G751" s="559" t="str">
        <f t="shared" si="66"/>
        <v/>
      </c>
      <c r="H751" s="559" t="str">
        <f t="shared" si="67"/>
        <v/>
      </c>
      <c r="I751" s="559" t="str">
        <f t="shared" si="68"/>
        <v/>
      </c>
    </row>
    <row r="752" spans="2:9">
      <c r="B752" s="555" t="str">
        <f t="shared" si="63"/>
        <v/>
      </c>
      <c r="C752" s="556" t="str">
        <f t="shared" si="64"/>
        <v/>
      </c>
      <c r="D752" s="557" t="str">
        <f t="shared" si="65"/>
        <v/>
      </c>
      <c r="E752" s="560"/>
      <c r="F752" s="559"/>
      <c r="G752" s="559" t="str">
        <f t="shared" si="66"/>
        <v/>
      </c>
      <c r="H752" s="559" t="str">
        <f t="shared" si="67"/>
        <v/>
      </c>
      <c r="I752" s="559" t="str">
        <f t="shared" si="68"/>
        <v/>
      </c>
    </row>
    <row r="753" spans="2:9">
      <c r="B753" s="555" t="str">
        <f t="shared" si="63"/>
        <v/>
      </c>
      <c r="C753" s="556" t="str">
        <f t="shared" si="64"/>
        <v/>
      </c>
      <c r="D753" s="557" t="str">
        <f t="shared" si="65"/>
        <v/>
      </c>
      <c r="E753" s="560"/>
      <c r="F753" s="559"/>
      <c r="G753" s="559" t="str">
        <f t="shared" si="66"/>
        <v/>
      </c>
      <c r="H753" s="559" t="str">
        <f t="shared" si="67"/>
        <v/>
      </c>
      <c r="I753" s="559" t="str">
        <f t="shared" si="68"/>
        <v/>
      </c>
    </row>
    <row r="754" spans="2:9">
      <c r="B754" s="555" t="str">
        <f t="shared" si="63"/>
        <v/>
      </c>
      <c r="C754" s="556" t="str">
        <f t="shared" si="64"/>
        <v/>
      </c>
      <c r="D754" s="557" t="str">
        <f t="shared" si="65"/>
        <v/>
      </c>
      <c r="E754" s="560"/>
      <c r="F754" s="559"/>
      <c r="G754" s="559" t="str">
        <f t="shared" si="66"/>
        <v/>
      </c>
      <c r="H754" s="559" t="str">
        <f t="shared" si="67"/>
        <v/>
      </c>
      <c r="I754" s="559" t="str">
        <f t="shared" si="68"/>
        <v/>
      </c>
    </row>
    <row r="755" spans="2:9">
      <c r="B755" s="555" t="str">
        <f t="shared" si="63"/>
        <v/>
      </c>
      <c r="C755" s="556" t="str">
        <f t="shared" si="64"/>
        <v/>
      </c>
      <c r="D755" s="557" t="str">
        <f t="shared" si="65"/>
        <v/>
      </c>
      <c r="E755" s="560"/>
      <c r="F755" s="559"/>
      <c r="G755" s="559" t="str">
        <f t="shared" si="66"/>
        <v/>
      </c>
      <c r="H755" s="559" t="str">
        <f t="shared" si="67"/>
        <v/>
      </c>
      <c r="I755" s="559" t="str">
        <f t="shared" si="68"/>
        <v/>
      </c>
    </row>
    <row r="756" spans="2:9">
      <c r="B756" s="555" t="str">
        <f t="shared" si="63"/>
        <v/>
      </c>
      <c r="C756" s="556" t="str">
        <f t="shared" si="64"/>
        <v/>
      </c>
      <c r="D756" s="557" t="str">
        <f t="shared" si="65"/>
        <v/>
      </c>
      <c r="E756" s="560"/>
      <c r="F756" s="559"/>
      <c r="G756" s="559" t="str">
        <f t="shared" si="66"/>
        <v/>
      </c>
      <c r="H756" s="559" t="str">
        <f t="shared" si="67"/>
        <v/>
      </c>
      <c r="I756" s="559" t="str">
        <f t="shared" si="68"/>
        <v/>
      </c>
    </row>
    <row r="757" spans="2:9">
      <c r="B757" s="555" t="str">
        <f t="shared" si="63"/>
        <v/>
      </c>
      <c r="C757" s="556" t="str">
        <f t="shared" si="64"/>
        <v/>
      </c>
      <c r="D757" s="557" t="str">
        <f t="shared" si="65"/>
        <v/>
      </c>
      <c r="E757" s="560"/>
      <c r="F757" s="559"/>
      <c r="G757" s="559" t="str">
        <f t="shared" si="66"/>
        <v/>
      </c>
      <c r="H757" s="559" t="str">
        <f t="shared" si="67"/>
        <v/>
      </c>
      <c r="I757" s="559" t="str">
        <f t="shared" si="68"/>
        <v/>
      </c>
    </row>
    <row r="758" spans="2:9">
      <c r="B758" s="555" t="str">
        <f t="shared" si="63"/>
        <v/>
      </c>
      <c r="C758" s="556" t="str">
        <f t="shared" si="64"/>
        <v/>
      </c>
      <c r="D758" s="557" t="str">
        <f t="shared" si="65"/>
        <v/>
      </c>
      <c r="E758" s="560"/>
      <c r="F758" s="559"/>
      <c r="G758" s="559" t="str">
        <f t="shared" si="66"/>
        <v/>
      </c>
      <c r="H758" s="559" t="str">
        <f t="shared" si="67"/>
        <v/>
      </c>
      <c r="I758" s="559" t="str">
        <f t="shared" si="68"/>
        <v/>
      </c>
    </row>
    <row r="759" spans="2:9">
      <c r="B759" s="555" t="str">
        <f t="shared" si="63"/>
        <v/>
      </c>
      <c r="C759" s="556" t="str">
        <f t="shared" si="64"/>
        <v/>
      </c>
      <c r="D759" s="557" t="str">
        <f t="shared" si="65"/>
        <v/>
      </c>
      <c r="E759" s="560"/>
      <c r="F759" s="559"/>
      <c r="G759" s="559" t="str">
        <f t="shared" si="66"/>
        <v/>
      </c>
      <c r="H759" s="559" t="str">
        <f t="shared" si="67"/>
        <v/>
      </c>
      <c r="I759" s="559" t="str">
        <f t="shared" si="68"/>
        <v/>
      </c>
    </row>
    <row r="760" spans="2:9">
      <c r="B760" s="555" t="str">
        <f t="shared" si="63"/>
        <v/>
      </c>
      <c r="C760" s="556" t="str">
        <f t="shared" si="64"/>
        <v/>
      </c>
      <c r="D760" s="557" t="str">
        <f t="shared" si="65"/>
        <v/>
      </c>
      <c r="E760" s="560"/>
      <c r="F760" s="559"/>
      <c r="G760" s="559" t="str">
        <f t="shared" si="66"/>
        <v/>
      </c>
      <c r="H760" s="559" t="str">
        <f t="shared" si="67"/>
        <v/>
      </c>
      <c r="I760" s="559" t="str">
        <f t="shared" si="68"/>
        <v/>
      </c>
    </row>
    <row r="761" spans="2:9">
      <c r="B761" s="555" t="str">
        <f t="shared" si="63"/>
        <v/>
      </c>
      <c r="C761" s="556" t="str">
        <f t="shared" si="64"/>
        <v/>
      </c>
      <c r="D761" s="557" t="str">
        <f t="shared" si="65"/>
        <v/>
      </c>
      <c r="E761" s="560"/>
      <c r="F761" s="559"/>
      <c r="G761" s="559" t="str">
        <f t="shared" si="66"/>
        <v/>
      </c>
      <c r="H761" s="559" t="str">
        <f t="shared" si="67"/>
        <v/>
      </c>
      <c r="I761" s="559" t="str">
        <f t="shared" si="68"/>
        <v/>
      </c>
    </row>
    <row r="762" spans="2:9">
      <c r="B762" s="555" t="str">
        <f t="shared" si="63"/>
        <v/>
      </c>
      <c r="C762" s="556" t="str">
        <f t="shared" si="64"/>
        <v/>
      </c>
      <c r="D762" s="557" t="str">
        <f t="shared" si="65"/>
        <v/>
      </c>
      <c r="E762" s="560"/>
      <c r="F762" s="559"/>
      <c r="G762" s="559" t="str">
        <f t="shared" si="66"/>
        <v/>
      </c>
      <c r="H762" s="559" t="str">
        <f t="shared" si="67"/>
        <v/>
      </c>
      <c r="I762" s="559" t="str">
        <f t="shared" si="68"/>
        <v/>
      </c>
    </row>
    <row r="763" spans="2:9">
      <c r="B763" s="555" t="str">
        <f t="shared" si="63"/>
        <v/>
      </c>
      <c r="C763" s="556" t="str">
        <f t="shared" si="64"/>
        <v/>
      </c>
      <c r="D763" s="557" t="str">
        <f t="shared" si="65"/>
        <v/>
      </c>
      <c r="E763" s="560"/>
      <c r="F763" s="559"/>
      <c r="G763" s="559" t="str">
        <f t="shared" si="66"/>
        <v/>
      </c>
      <c r="H763" s="559" t="str">
        <f t="shared" si="67"/>
        <v/>
      </c>
      <c r="I763" s="559" t="str">
        <f t="shared" si="68"/>
        <v/>
      </c>
    </row>
    <row r="764" spans="2:9">
      <c r="B764" s="555" t="str">
        <f t="shared" si="63"/>
        <v/>
      </c>
      <c r="C764" s="556" t="str">
        <f t="shared" si="64"/>
        <v/>
      </c>
      <c r="D764" s="557" t="str">
        <f t="shared" si="65"/>
        <v/>
      </c>
      <c r="E764" s="560"/>
      <c r="F764" s="559"/>
      <c r="G764" s="559" t="str">
        <f t="shared" si="66"/>
        <v/>
      </c>
      <c r="H764" s="559" t="str">
        <f t="shared" si="67"/>
        <v/>
      </c>
      <c r="I764" s="559" t="str">
        <f t="shared" si="68"/>
        <v/>
      </c>
    </row>
    <row r="765" spans="2:9">
      <c r="B765" s="555" t="str">
        <f t="shared" ref="B765:B828" si="69">IF(I764="","",IF(roundOpt,IF(OR(B764&gt;=nper,ROUND(I764,2)&lt;=0),"",B764+1),IF(OR(B764&gt;=nper,I764&lt;=0),"",B764+1)))</f>
        <v/>
      </c>
      <c r="C765" s="556" t="str">
        <f t="shared" ref="C765:C828" si="70">IF(B765="","",IF(OR(periods_per_year=26,periods_per_year=52),IF(periods_per_year=26,IF(B765=1,fpdate,C764+14),IF(periods_per_year=52,IF(B765=1,fpdate,C764+7),"n/a")),IF(periods_per_year=24,DATE(YEAR(fpdate),MONTH(fpdate)+(B765-1)/2+IF(AND(DAY(fpdate)&gt;=15,MOD(B765,2)=0),1,0),IF(MOD(B765,2)=0,IF(DAY(fpdate)&gt;=15,DAY(fpdate)-14,DAY(fpdate)+14),DAY(fpdate))),IF(DAY(DATE(YEAR(fpdate),MONTH(fpdate)+(B765-1)*months_per_period,DAY(fpdate)))&lt;&gt;DAY(fpdate),DATE(YEAR(fpdate),MONTH(fpdate)+(B765-1)*months_per_period+1,0),DATE(YEAR(fpdate),MONTH(fpdate)+(B765-1)*months_per_period,DAY(fpdate))))))</f>
        <v/>
      </c>
      <c r="D765" s="557" t="str">
        <f t="shared" ref="D765:D828" si="71">IF(B765="","",IF(roundOpt,IF(OR(B765=nper,payment&gt;ROUND((1+rate)*I764,2)),ROUND((1+rate)*I764,2),payment),IF(OR(B765=nper,payment&gt;(1+rate)*I764),(1+rate)*I764,payment)))</f>
        <v/>
      </c>
      <c r="E765" s="560"/>
      <c r="F765" s="559"/>
      <c r="G765" s="559" t="str">
        <f t="shared" ref="G765:G828" si="72">IF(B765="","",IF(AND(B765=1,pmtType=1),0,IF(roundOpt,ROUND(rate*I764,2),rate*I764)))</f>
        <v/>
      </c>
      <c r="H765" s="559" t="str">
        <f t="shared" ref="H765:H828" si="73">IF(B765="","",D765-G765+E765)</f>
        <v/>
      </c>
      <c r="I765" s="559" t="str">
        <f t="shared" ref="I765:I828" si="74">IF(B765="","",I764-H765)</f>
        <v/>
      </c>
    </row>
    <row r="766" spans="2:9">
      <c r="B766" s="555" t="str">
        <f t="shared" si="69"/>
        <v/>
      </c>
      <c r="C766" s="556" t="str">
        <f t="shared" si="70"/>
        <v/>
      </c>
      <c r="D766" s="557" t="str">
        <f t="shared" si="71"/>
        <v/>
      </c>
      <c r="E766" s="560"/>
      <c r="F766" s="559"/>
      <c r="G766" s="559" t="str">
        <f t="shared" si="72"/>
        <v/>
      </c>
      <c r="H766" s="559" t="str">
        <f t="shared" si="73"/>
        <v/>
      </c>
      <c r="I766" s="559" t="str">
        <f t="shared" si="74"/>
        <v/>
      </c>
    </row>
    <row r="767" spans="2:9">
      <c r="B767" s="555" t="str">
        <f t="shared" si="69"/>
        <v/>
      </c>
      <c r="C767" s="556" t="str">
        <f t="shared" si="70"/>
        <v/>
      </c>
      <c r="D767" s="557" t="str">
        <f t="shared" si="71"/>
        <v/>
      </c>
      <c r="E767" s="560"/>
      <c r="F767" s="559"/>
      <c r="G767" s="559" t="str">
        <f t="shared" si="72"/>
        <v/>
      </c>
      <c r="H767" s="559" t="str">
        <f t="shared" si="73"/>
        <v/>
      </c>
      <c r="I767" s="559" t="str">
        <f t="shared" si="74"/>
        <v/>
      </c>
    </row>
    <row r="768" spans="2:9">
      <c r="B768" s="555" t="str">
        <f t="shared" si="69"/>
        <v/>
      </c>
      <c r="C768" s="556" t="str">
        <f t="shared" si="70"/>
        <v/>
      </c>
      <c r="D768" s="557" t="str">
        <f t="shared" si="71"/>
        <v/>
      </c>
      <c r="E768" s="560"/>
      <c r="F768" s="559"/>
      <c r="G768" s="559" t="str">
        <f t="shared" si="72"/>
        <v/>
      </c>
      <c r="H768" s="559" t="str">
        <f t="shared" si="73"/>
        <v/>
      </c>
      <c r="I768" s="559" t="str">
        <f t="shared" si="74"/>
        <v/>
      </c>
    </row>
    <row r="769" spans="2:9">
      <c r="B769" s="555" t="str">
        <f t="shared" si="69"/>
        <v/>
      </c>
      <c r="C769" s="556" t="str">
        <f t="shared" si="70"/>
        <v/>
      </c>
      <c r="D769" s="557" t="str">
        <f t="shared" si="71"/>
        <v/>
      </c>
      <c r="E769" s="560"/>
      <c r="F769" s="559"/>
      <c r="G769" s="559" t="str">
        <f t="shared" si="72"/>
        <v/>
      </c>
      <c r="H769" s="559" t="str">
        <f t="shared" si="73"/>
        <v/>
      </c>
      <c r="I769" s="559" t="str">
        <f t="shared" si="74"/>
        <v/>
      </c>
    </row>
    <row r="770" spans="2:9">
      <c r="B770" s="555" t="str">
        <f t="shared" si="69"/>
        <v/>
      </c>
      <c r="C770" s="556" t="str">
        <f t="shared" si="70"/>
        <v/>
      </c>
      <c r="D770" s="557" t="str">
        <f t="shared" si="71"/>
        <v/>
      </c>
      <c r="E770" s="560"/>
      <c r="F770" s="559"/>
      <c r="G770" s="559" t="str">
        <f t="shared" si="72"/>
        <v/>
      </c>
      <c r="H770" s="559" t="str">
        <f t="shared" si="73"/>
        <v/>
      </c>
      <c r="I770" s="559" t="str">
        <f t="shared" si="74"/>
        <v/>
      </c>
    </row>
    <row r="771" spans="2:9">
      <c r="B771" s="555" t="str">
        <f t="shared" si="69"/>
        <v/>
      </c>
      <c r="C771" s="556" t="str">
        <f t="shared" si="70"/>
        <v/>
      </c>
      <c r="D771" s="557" t="str">
        <f t="shared" si="71"/>
        <v/>
      </c>
      <c r="E771" s="560"/>
      <c r="F771" s="559"/>
      <c r="G771" s="559" t="str">
        <f t="shared" si="72"/>
        <v/>
      </c>
      <c r="H771" s="559" t="str">
        <f t="shared" si="73"/>
        <v/>
      </c>
      <c r="I771" s="559" t="str">
        <f t="shared" si="74"/>
        <v/>
      </c>
    </row>
    <row r="772" spans="2:9">
      <c r="B772" s="555" t="str">
        <f t="shared" si="69"/>
        <v/>
      </c>
      <c r="C772" s="556" t="str">
        <f t="shared" si="70"/>
        <v/>
      </c>
      <c r="D772" s="557" t="str">
        <f t="shared" si="71"/>
        <v/>
      </c>
      <c r="E772" s="560"/>
      <c r="F772" s="559"/>
      <c r="G772" s="559" t="str">
        <f t="shared" si="72"/>
        <v/>
      </c>
      <c r="H772" s="559" t="str">
        <f t="shared" si="73"/>
        <v/>
      </c>
      <c r="I772" s="559" t="str">
        <f t="shared" si="74"/>
        <v/>
      </c>
    </row>
    <row r="773" spans="2:9">
      <c r="B773" s="555" t="str">
        <f t="shared" si="69"/>
        <v/>
      </c>
      <c r="C773" s="556" t="str">
        <f t="shared" si="70"/>
        <v/>
      </c>
      <c r="D773" s="557" t="str">
        <f t="shared" si="71"/>
        <v/>
      </c>
      <c r="E773" s="560"/>
      <c r="F773" s="559"/>
      <c r="G773" s="559" t="str">
        <f t="shared" si="72"/>
        <v/>
      </c>
      <c r="H773" s="559" t="str">
        <f t="shared" si="73"/>
        <v/>
      </c>
      <c r="I773" s="559" t="str">
        <f t="shared" si="74"/>
        <v/>
      </c>
    </row>
    <row r="774" spans="2:9">
      <c r="B774" s="555" t="str">
        <f t="shared" si="69"/>
        <v/>
      </c>
      <c r="C774" s="556" t="str">
        <f t="shared" si="70"/>
        <v/>
      </c>
      <c r="D774" s="557" t="str">
        <f t="shared" si="71"/>
        <v/>
      </c>
      <c r="E774" s="560"/>
      <c r="F774" s="559"/>
      <c r="G774" s="559" t="str">
        <f t="shared" si="72"/>
        <v/>
      </c>
      <c r="H774" s="559" t="str">
        <f t="shared" si="73"/>
        <v/>
      </c>
      <c r="I774" s="559" t="str">
        <f t="shared" si="74"/>
        <v/>
      </c>
    </row>
    <row r="775" spans="2:9">
      <c r="B775" s="555" t="str">
        <f t="shared" si="69"/>
        <v/>
      </c>
      <c r="C775" s="556" t="str">
        <f t="shared" si="70"/>
        <v/>
      </c>
      <c r="D775" s="557" t="str">
        <f t="shared" si="71"/>
        <v/>
      </c>
      <c r="E775" s="560"/>
      <c r="F775" s="559"/>
      <c r="G775" s="559" t="str">
        <f t="shared" si="72"/>
        <v/>
      </c>
      <c r="H775" s="559" t="str">
        <f t="shared" si="73"/>
        <v/>
      </c>
      <c r="I775" s="559" t="str">
        <f t="shared" si="74"/>
        <v/>
      </c>
    </row>
    <row r="776" spans="2:9">
      <c r="B776" s="555" t="str">
        <f t="shared" si="69"/>
        <v/>
      </c>
      <c r="C776" s="556" t="str">
        <f t="shared" si="70"/>
        <v/>
      </c>
      <c r="D776" s="557" t="str">
        <f t="shared" si="71"/>
        <v/>
      </c>
      <c r="E776" s="560"/>
      <c r="F776" s="559"/>
      <c r="G776" s="559" t="str">
        <f t="shared" si="72"/>
        <v/>
      </c>
      <c r="H776" s="559" t="str">
        <f t="shared" si="73"/>
        <v/>
      </c>
      <c r="I776" s="559" t="str">
        <f t="shared" si="74"/>
        <v/>
      </c>
    </row>
    <row r="777" spans="2:9">
      <c r="B777" s="555" t="str">
        <f t="shared" si="69"/>
        <v/>
      </c>
      <c r="C777" s="556" t="str">
        <f t="shared" si="70"/>
        <v/>
      </c>
      <c r="D777" s="557" t="str">
        <f t="shared" si="71"/>
        <v/>
      </c>
      <c r="E777" s="560"/>
      <c r="F777" s="559"/>
      <c r="G777" s="559" t="str">
        <f t="shared" si="72"/>
        <v/>
      </c>
      <c r="H777" s="559" t="str">
        <f t="shared" si="73"/>
        <v/>
      </c>
      <c r="I777" s="559" t="str">
        <f t="shared" si="74"/>
        <v/>
      </c>
    </row>
    <row r="778" spans="2:9">
      <c r="B778" s="555" t="str">
        <f t="shared" si="69"/>
        <v/>
      </c>
      <c r="C778" s="556" t="str">
        <f t="shared" si="70"/>
        <v/>
      </c>
      <c r="D778" s="557" t="str">
        <f t="shared" si="71"/>
        <v/>
      </c>
      <c r="E778" s="560"/>
      <c r="F778" s="559"/>
      <c r="G778" s="559" t="str">
        <f t="shared" si="72"/>
        <v/>
      </c>
      <c r="H778" s="559" t="str">
        <f t="shared" si="73"/>
        <v/>
      </c>
      <c r="I778" s="559" t="str">
        <f t="shared" si="74"/>
        <v/>
      </c>
    </row>
    <row r="779" spans="2:9">
      <c r="B779" s="555" t="str">
        <f t="shared" si="69"/>
        <v/>
      </c>
      <c r="C779" s="556" t="str">
        <f t="shared" si="70"/>
        <v/>
      </c>
      <c r="D779" s="557" t="str">
        <f t="shared" si="71"/>
        <v/>
      </c>
      <c r="E779" s="560"/>
      <c r="F779" s="559"/>
      <c r="G779" s="559" t="str">
        <f t="shared" si="72"/>
        <v/>
      </c>
      <c r="H779" s="559" t="str">
        <f t="shared" si="73"/>
        <v/>
      </c>
      <c r="I779" s="559" t="str">
        <f t="shared" si="74"/>
        <v/>
      </c>
    </row>
    <row r="780" spans="2:9">
      <c r="B780" s="555" t="str">
        <f t="shared" si="69"/>
        <v/>
      </c>
      <c r="C780" s="556" t="str">
        <f t="shared" si="70"/>
        <v/>
      </c>
      <c r="D780" s="557" t="str">
        <f t="shared" si="71"/>
        <v/>
      </c>
      <c r="E780" s="560"/>
      <c r="F780" s="559"/>
      <c r="G780" s="559" t="str">
        <f t="shared" si="72"/>
        <v/>
      </c>
      <c r="H780" s="559" t="str">
        <f t="shared" si="73"/>
        <v/>
      </c>
      <c r="I780" s="559" t="str">
        <f t="shared" si="74"/>
        <v/>
      </c>
    </row>
    <row r="781" spans="2:9">
      <c r="B781" s="555" t="str">
        <f t="shared" si="69"/>
        <v/>
      </c>
      <c r="C781" s="556" t="str">
        <f t="shared" si="70"/>
        <v/>
      </c>
      <c r="D781" s="557" t="str">
        <f t="shared" si="71"/>
        <v/>
      </c>
      <c r="E781" s="560"/>
      <c r="F781" s="559"/>
      <c r="G781" s="559" t="str">
        <f t="shared" si="72"/>
        <v/>
      </c>
      <c r="H781" s="559" t="str">
        <f t="shared" si="73"/>
        <v/>
      </c>
      <c r="I781" s="559" t="str">
        <f t="shared" si="74"/>
        <v/>
      </c>
    </row>
    <row r="782" spans="2:9">
      <c r="B782" s="555" t="str">
        <f t="shared" si="69"/>
        <v/>
      </c>
      <c r="C782" s="556" t="str">
        <f t="shared" si="70"/>
        <v/>
      </c>
      <c r="D782" s="557" t="str">
        <f t="shared" si="71"/>
        <v/>
      </c>
      <c r="E782" s="560"/>
      <c r="F782" s="559"/>
      <c r="G782" s="559" t="str">
        <f t="shared" si="72"/>
        <v/>
      </c>
      <c r="H782" s="559" t="str">
        <f t="shared" si="73"/>
        <v/>
      </c>
      <c r="I782" s="559" t="str">
        <f t="shared" si="74"/>
        <v/>
      </c>
    </row>
    <row r="783" spans="2:9">
      <c r="B783" s="555" t="str">
        <f t="shared" si="69"/>
        <v/>
      </c>
      <c r="C783" s="556" t="str">
        <f t="shared" si="70"/>
        <v/>
      </c>
      <c r="D783" s="557" t="str">
        <f t="shared" si="71"/>
        <v/>
      </c>
      <c r="E783" s="560"/>
      <c r="F783" s="559"/>
      <c r="G783" s="559" t="str">
        <f t="shared" si="72"/>
        <v/>
      </c>
      <c r="H783" s="559" t="str">
        <f t="shared" si="73"/>
        <v/>
      </c>
      <c r="I783" s="559" t="str">
        <f t="shared" si="74"/>
        <v/>
      </c>
    </row>
    <row r="784" spans="2:9">
      <c r="B784" s="555" t="str">
        <f t="shared" si="69"/>
        <v/>
      </c>
      <c r="C784" s="556" t="str">
        <f t="shared" si="70"/>
        <v/>
      </c>
      <c r="D784" s="557" t="str">
        <f t="shared" si="71"/>
        <v/>
      </c>
      <c r="E784" s="560"/>
      <c r="F784" s="559"/>
      <c r="G784" s="559" t="str">
        <f t="shared" si="72"/>
        <v/>
      </c>
      <c r="H784" s="559" t="str">
        <f t="shared" si="73"/>
        <v/>
      </c>
      <c r="I784" s="559" t="str">
        <f t="shared" si="74"/>
        <v/>
      </c>
    </row>
    <row r="785" spans="2:9">
      <c r="B785" s="555" t="str">
        <f t="shared" si="69"/>
        <v/>
      </c>
      <c r="C785" s="556" t="str">
        <f t="shared" si="70"/>
        <v/>
      </c>
      <c r="D785" s="557" t="str">
        <f t="shared" si="71"/>
        <v/>
      </c>
      <c r="E785" s="560"/>
      <c r="F785" s="559"/>
      <c r="G785" s="559" t="str">
        <f t="shared" si="72"/>
        <v/>
      </c>
      <c r="H785" s="559" t="str">
        <f t="shared" si="73"/>
        <v/>
      </c>
      <c r="I785" s="559" t="str">
        <f t="shared" si="74"/>
        <v/>
      </c>
    </row>
    <row r="786" spans="2:9">
      <c r="B786" s="555" t="str">
        <f t="shared" si="69"/>
        <v/>
      </c>
      <c r="C786" s="556" t="str">
        <f t="shared" si="70"/>
        <v/>
      </c>
      <c r="D786" s="557" t="str">
        <f t="shared" si="71"/>
        <v/>
      </c>
      <c r="E786" s="560"/>
      <c r="F786" s="559"/>
      <c r="G786" s="559" t="str">
        <f t="shared" si="72"/>
        <v/>
      </c>
      <c r="H786" s="559" t="str">
        <f t="shared" si="73"/>
        <v/>
      </c>
      <c r="I786" s="559" t="str">
        <f t="shared" si="74"/>
        <v/>
      </c>
    </row>
    <row r="787" spans="2:9">
      <c r="B787" s="555" t="str">
        <f t="shared" si="69"/>
        <v/>
      </c>
      <c r="C787" s="556" t="str">
        <f t="shared" si="70"/>
        <v/>
      </c>
      <c r="D787" s="557" t="str">
        <f t="shared" si="71"/>
        <v/>
      </c>
      <c r="E787" s="560"/>
      <c r="F787" s="559"/>
      <c r="G787" s="559" t="str">
        <f t="shared" si="72"/>
        <v/>
      </c>
      <c r="H787" s="559" t="str">
        <f t="shared" si="73"/>
        <v/>
      </c>
      <c r="I787" s="559" t="str">
        <f t="shared" si="74"/>
        <v/>
      </c>
    </row>
    <row r="788" spans="2:9">
      <c r="B788" s="555" t="str">
        <f t="shared" si="69"/>
        <v/>
      </c>
      <c r="C788" s="556" t="str">
        <f t="shared" si="70"/>
        <v/>
      </c>
      <c r="D788" s="557" t="str">
        <f t="shared" si="71"/>
        <v/>
      </c>
      <c r="E788" s="560"/>
      <c r="F788" s="559"/>
      <c r="G788" s="559" t="str">
        <f t="shared" si="72"/>
        <v/>
      </c>
      <c r="H788" s="559" t="str">
        <f t="shared" si="73"/>
        <v/>
      </c>
      <c r="I788" s="559" t="str">
        <f t="shared" si="74"/>
        <v/>
      </c>
    </row>
    <row r="789" spans="2:9">
      <c r="B789" s="555" t="str">
        <f t="shared" si="69"/>
        <v/>
      </c>
      <c r="C789" s="556" t="str">
        <f t="shared" si="70"/>
        <v/>
      </c>
      <c r="D789" s="557" t="str">
        <f t="shared" si="71"/>
        <v/>
      </c>
      <c r="E789" s="560"/>
      <c r="F789" s="559"/>
      <c r="G789" s="559" t="str">
        <f t="shared" si="72"/>
        <v/>
      </c>
      <c r="H789" s="559" t="str">
        <f t="shared" si="73"/>
        <v/>
      </c>
      <c r="I789" s="559" t="str">
        <f t="shared" si="74"/>
        <v/>
      </c>
    </row>
    <row r="790" spans="2:9">
      <c r="B790" s="555" t="str">
        <f t="shared" si="69"/>
        <v/>
      </c>
      <c r="C790" s="556" t="str">
        <f t="shared" si="70"/>
        <v/>
      </c>
      <c r="D790" s="557" t="str">
        <f t="shared" si="71"/>
        <v/>
      </c>
      <c r="E790" s="560"/>
      <c r="F790" s="559"/>
      <c r="G790" s="559" t="str">
        <f t="shared" si="72"/>
        <v/>
      </c>
      <c r="H790" s="559" t="str">
        <f t="shared" si="73"/>
        <v/>
      </c>
      <c r="I790" s="559" t="str">
        <f t="shared" si="74"/>
        <v/>
      </c>
    </row>
    <row r="791" spans="2:9">
      <c r="B791" s="555" t="str">
        <f t="shared" si="69"/>
        <v/>
      </c>
      <c r="C791" s="556" t="str">
        <f t="shared" si="70"/>
        <v/>
      </c>
      <c r="D791" s="557" t="str">
        <f t="shared" si="71"/>
        <v/>
      </c>
      <c r="E791" s="560"/>
      <c r="F791" s="559"/>
      <c r="G791" s="559" t="str">
        <f t="shared" si="72"/>
        <v/>
      </c>
      <c r="H791" s="559" t="str">
        <f t="shared" si="73"/>
        <v/>
      </c>
      <c r="I791" s="559" t="str">
        <f t="shared" si="74"/>
        <v/>
      </c>
    </row>
    <row r="792" spans="2:9">
      <c r="B792" s="555" t="str">
        <f t="shared" si="69"/>
        <v/>
      </c>
      <c r="C792" s="556" t="str">
        <f t="shared" si="70"/>
        <v/>
      </c>
      <c r="D792" s="557" t="str">
        <f t="shared" si="71"/>
        <v/>
      </c>
      <c r="E792" s="560"/>
      <c r="F792" s="559"/>
      <c r="G792" s="559" t="str">
        <f t="shared" si="72"/>
        <v/>
      </c>
      <c r="H792" s="559" t="str">
        <f t="shared" si="73"/>
        <v/>
      </c>
      <c r="I792" s="559" t="str">
        <f t="shared" si="74"/>
        <v/>
      </c>
    </row>
    <row r="793" spans="2:9">
      <c r="B793" s="555" t="str">
        <f t="shared" si="69"/>
        <v/>
      </c>
      <c r="C793" s="556" t="str">
        <f t="shared" si="70"/>
        <v/>
      </c>
      <c r="D793" s="557" t="str">
        <f t="shared" si="71"/>
        <v/>
      </c>
      <c r="E793" s="560"/>
      <c r="F793" s="559"/>
      <c r="G793" s="559" t="str">
        <f t="shared" si="72"/>
        <v/>
      </c>
      <c r="H793" s="559" t="str">
        <f t="shared" si="73"/>
        <v/>
      </c>
      <c r="I793" s="559" t="str">
        <f t="shared" si="74"/>
        <v/>
      </c>
    </row>
    <row r="794" spans="2:9">
      <c r="B794" s="555" t="str">
        <f t="shared" si="69"/>
        <v/>
      </c>
      <c r="C794" s="556" t="str">
        <f t="shared" si="70"/>
        <v/>
      </c>
      <c r="D794" s="557" t="str">
        <f t="shared" si="71"/>
        <v/>
      </c>
      <c r="E794" s="560"/>
      <c r="F794" s="559"/>
      <c r="G794" s="559" t="str">
        <f t="shared" si="72"/>
        <v/>
      </c>
      <c r="H794" s="559" t="str">
        <f t="shared" si="73"/>
        <v/>
      </c>
      <c r="I794" s="559" t="str">
        <f t="shared" si="74"/>
        <v/>
      </c>
    </row>
    <row r="795" spans="2:9">
      <c r="B795" s="555" t="str">
        <f t="shared" si="69"/>
        <v/>
      </c>
      <c r="C795" s="556" t="str">
        <f t="shared" si="70"/>
        <v/>
      </c>
      <c r="D795" s="557" t="str">
        <f t="shared" si="71"/>
        <v/>
      </c>
      <c r="E795" s="560"/>
      <c r="F795" s="559"/>
      <c r="G795" s="559" t="str">
        <f t="shared" si="72"/>
        <v/>
      </c>
      <c r="H795" s="559" t="str">
        <f t="shared" si="73"/>
        <v/>
      </c>
      <c r="I795" s="559" t="str">
        <f t="shared" si="74"/>
        <v/>
      </c>
    </row>
    <row r="796" spans="2:9">
      <c r="B796" s="555" t="str">
        <f t="shared" si="69"/>
        <v/>
      </c>
      <c r="C796" s="556" t="str">
        <f t="shared" si="70"/>
        <v/>
      </c>
      <c r="D796" s="557" t="str">
        <f t="shared" si="71"/>
        <v/>
      </c>
      <c r="E796" s="560"/>
      <c r="F796" s="559"/>
      <c r="G796" s="559" t="str">
        <f t="shared" si="72"/>
        <v/>
      </c>
      <c r="H796" s="559" t="str">
        <f t="shared" si="73"/>
        <v/>
      </c>
      <c r="I796" s="559" t="str">
        <f t="shared" si="74"/>
        <v/>
      </c>
    </row>
    <row r="797" spans="2:9">
      <c r="B797" s="555" t="str">
        <f t="shared" si="69"/>
        <v/>
      </c>
      <c r="C797" s="556" t="str">
        <f t="shared" si="70"/>
        <v/>
      </c>
      <c r="D797" s="557" t="str">
        <f t="shared" si="71"/>
        <v/>
      </c>
      <c r="E797" s="560"/>
      <c r="F797" s="559"/>
      <c r="G797" s="559" t="str">
        <f t="shared" si="72"/>
        <v/>
      </c>
      <c r="H797" s="559" t="str">
        <f t="shared" si="73"/>
        <v/>
      </c>
      <c r="I797" s="559" t="str">
        <f t="shared" si="74"/>
        <v/>
      </c>
    </row>
    <row r="798" spans="2:9">
      <c r="B798" s="555" t="str">
        <f t="shared" si="69"/>
        <v/>
      </c>
      <c r="C798" s="556" t="str">
        <f t="shared" si="70"/>
        <v/>
      </c>
      <c r="D798" s="557" t="str">
        <f t="shared" si="71"/>
        <v/>
      </c>
      <c r="E798" s="560"/>
      <c r="F798" s="559"/>
      <c r="G798" s="559" t="str">
        <f t="shared" si="72"/>
        <v/>
      </c>
      <c r="H798" s="559" t="str">
        <f t="shared" si="73"/>
        <v/>
      </c>
      <c r="I798" s="559" t="str">
        <f t="shared" si="74"/>
        <v/>
      </c>
    </row>
    <row r="799" spans="2:9">
      <c r="B799" s="555" t="str">
        <f t="shared" si="69"/>
        <v/>
      </c>
      <c r="C799" s="556" t="str">
        <f t="shared" si="70"/>
        <v/>
      </c>
      <c r="D799" s="557" t="str">
        <f t="shared" si="71"/>
        <v/>
      </c>
      <c r="E799" s="560"/>
      <c r="F799" s="559"/>
      <c r="G799" s="559" t="str">
        <f t="shared" si="72"/>
        <v/>
      </c>
      <c r="H799" s="559" t="str">
        <f t="shared" si="73"/>
        <v/>
      </c>
      <c r="I799" s="559" t="str">
        <f t="shared" si="74"/>
        <v/>
      </c>
    </row>
    <row r="800" spans="2:9">
      <c r="B800" s="555" t="str">
        <f t="shared" si="69"/>
        <v/>
      </c>
      <c r="C800" s="556" t="str">
        <f t="shared" si="70"/>
        <v/>
      </c>
      <c r="D800" s="557" t="str">
        <f t="shared" si="71"/>
        <v/>
      </c>
      <c r="E800" s="560"/>
      <c r="F800" s="559"/>
      <c r="G800" s="559" t="str">
        <f t="shared" si="72"/>
        <v/>
      </c>
      <c r="H800" s="559" t="str">
        <f t="shared" si="73"/>
        <v/>
      </c>
      <c r="I800" s="559" t="str">
        <f t="shared" si="74"/>
        <v/>
      </c>
    </row>
    <row r="801" spans="2:9">
      <c r="B801" s="555" t="str">
        <f t="shared" si="69"/>
        <v/>
      </c>
      <c r="C801" s="556" t="str">
        <f t="shared" si="70"/>
        <v/>
      </c>
      <c r="D801" s="557" t="str">
        <f t="shared" si="71"/>
        <v/>
      </c>
      <c r="E801" s="560"/>
      <c r="F801" s="559"/>
      <c r="G801" s="559" t="str">
        <f t="shared" si="72"/>
        <v/>
      </c>
      <c r="H801" s="559" t="str">
        <f t="shared" si="73"/>
        <v/>
      </c>
      <c r="I801" s="559" t="str">
        <f t="shared" si="74"/>
        <v/>
      </c>
    </row>
    <row r="802" spans="2:9">
      <c r="B802" s="555" t="str">
        <f t="shared" si="69"/>
        <v/>
      </c>
      <c r="C802" s="556" t="str">
        <f t="shared" si="70"/>
        <v/>
      </c>
      <c r="D802" s="557" t="str">
        <f t="shared" si="71"/>
        <v/>
      </c>
      <c r="E802" s="560"/>
      <c r="F802" s="559"/>
      <c r="G802" s="559" t="str">
        <f t="shared" si="72"/>
        <v/>
      </c>
      <c r="H802" s="559" t="str">
        <f t="shared" si="73"/>
        <v/>
      </c>
      <c r="I802" s="559" t="str">
        <f t="shared" si="74"/>
        <v/>
      </c>
    </row>
    <row r="803" spans="2:9">
      <c r="B803" s="555" t="str">
        <f t="shared" si="69"/>
        <v/>
      </c>
      <c r="C803" s="556" t="str">
        <f t="shared" si="70"/>
        <v/>
      </c>
      <c r="D803" s="557" t="str">
        <f t="shared" si="71"/>
        <v/>
      </c>
      <c r="E803" s="560"/>
      <c r="F803" s="559"/>
      <c r="G803" s="559" t="str">
        <f t="shared" si="72"/>
        <v/>
      </c>
      <c r="H803" s="559" t="str">
        <f t="shared" si="73"/>
        <v/>
      </c>
      <c r="I803" s="559" t="str">
        <f t="shared" si="74"/>
        <v/>
      </c>
    </row>
    <row r="804" spans="2:9">
      <c r="B804" s="555" t="str">
        <f t="shared" si="69"/>
        <v/>
      </c>
      <c r="C804" s="556" t="str">
        <f t="shared" si="70"/>
        <v/>
      </c>
      <c r="D804" s="557" t="str">
        <f t="shared" si="71"/>
        <v/>
      </c>
      <c r="E804" s="560"/>
      <c r="F804" s="559"/>
      <c r="G804" s="559" t="str">
        <f t="shared" si="72"/>
        <v/>
      </c>
      <c r="H804" s="559" t="str">
        <f t="shared" si="73"/>
        <v/>
      </c>
      <c r="I804" s="559" t="str">
        <f t="shared" si="74"/>
        <v/>
      </c>
    </row>
    <row r="805" spans="2:9">
      <c r="B805" s="555" t="str">
        <f t="shared" si="69"/>
        <v/>
      </c>
      <c r="C805" s="556" t="str">
        <f t="shared" si="70"/>
        <v/>
      </c>
      <c r="D805" s="557" t="str">
        <f t="shared" si="71"/>
        <v/>
      </c>
      <c r="E805" s="560"/>
      <c r="F805" s="559"/>
      <c r="G805" s="559" t="str">
        <f t="shared" si="72"/>
        <v/>
      </c>
      <c r="H805" s="559" t="str">
        <f t="shared" si="73"/>
        <v/>
      </c>
      <c r="I805" s="559" t="str">
        <f t="shared" si="74"/>
        <v/>
      </c>
    </row>
    <row r="806" spans="2:9">
      <c r="B806" s="555" t="str">
        <f t="shared" si="69"/>
        <v/>
      </c>
      <c r="C806" s="556" t="str">
        <f t="shared" si="70"/>
        <v/>
      </c>
      <c r="D806" s="557" t="str">
        <f t="shared" si="71"/>
        <v/>
      </c>
      <c r="E806" s="560"/>
      <c r="F806" s="559"/>
      <c r="G806" s="559" t="str">
        <f t="shared" si="72"/>
        <v/>
      </c>
      <c r="H806" s="559" t="str">
        <f t="shared" si="73"/>
        <v/>
      </c>
      <c r="I806" s="559" t="str">
        <f t="shared" si="74"/>
        <v/>
      </c>
    </row>
    <row r="807" spans="2:9">
      <c r="B807" s="555" t="str">
        <f t="shared" si="69"/>
        <v/>
      </c>
      <c r="C807" s="556" t="str">
        <f t="shared" si="70"/>
        <v/>
      </c>
      <c r="D807" s="557" t="str">
        <f t="shared" si="71"/>
        <v/>
      </c>
      <c r="E807" s="560"/>
      <c r="F807" s="559"/>
      <c r="G807" s="559" t="str">
        <f t="shared" si="72"/>
        <v/>
      </c>
      <c r="H807" s="559" t="str">
        <f t="shared" si="73"/>
        <v/>
      </c>
      <c r="I807" s="559" t="str">
        <f t="shared" si="74"/>
        <v/>
      </c>
    </row>
    <row r="808" spans="2:9">
      <c r="B808" s="555" t="str">
        <f t="shared" si="69"/>
        <v/>
      </c>
      <c r="C808" s="556" t="str">
        <f t="shared" si="70"/>
        <v/>
      </c>
      <c r="D808" s="557" t="str">
        <f t="shared" si="71"/>
        <v/>
      </c>
      <c r="E808" s="560"/>
      <c r="F808" s="559"/>
      <c r="G808" s="559" t="str">
        <f t="shared" si="72"/>
        <v/>
      </c>
      <c r="H808" s="559" t="str">
        <f t="shared" si="73"/>
        <v/>
      </c>
      <c r="I808" s="559" t="str">
        <f t="shared" si="74"/>
        <v/>
      </c>
    </row>
    <row r="809" spans="2:9">
      <c r="B809" s="555" t="str">
        <f t="shared" si="69"/>
        <v/>
      </c>
      <c r="C809" s="556" t="str">
        <f t="shared" si="70"/>
        <v/>
      </c>
      <c r="D809" s="557" t="str">
        <f t="shared" si="71"/>
        <v/>
      </c>
      <c r="E809" s="560"/>
      <c r="F809" s="559"/>
      <c r="G809" s="559" t="str">
        <f t="shared" si="72"/>
        <v/>
      </c>
      <c r="H809" s="559" t="str">
        <f t="shared" si="73"/>
        <v/>
      </c>
      <c r="I809" s="559" t="str">
        <f t="shared" si="74"/>
        <v/>
      </c>
    </row>
    <row r="810" spans="2:9">
      <c r="B810" s="555" t="str">
        <f t="shared" si="69"/>
        <v/>
      </c>
      <c r="C810" s="556" t="str">
        <f t="shared" si="70"/>
        <v/>
      </c>
      <c r="D810" s="557" t="str">
        <f t="shared" si="71"/>
        <v/>
      </c>
      <c r="E810" s="560"/>
      <c r="F810" s="559"/>
      <c r="G810" s="559" t="str">
        <f t="shared" si="72"/>
        <v/>
      </c>
      <c r="H810" s="559" t="str">
        <f t="shared" si="73"/>
        <v/>
      </c>
      <c r="I810" s="559" t="str">
        <f t="shared" si="74"/>
        <v/>
      </c>
    </row>
    <row r="811" spans="2:9">
      <c r="B811" s="555" t="str">
        <f t="shared" si="69"/>
        <v/>
      </c>
      <c r="C811" s="556" t="str">
        <f t="shared" si="70"/>
        <v/>
      </c>
      <c r="D811" s="557" t="str">
        <f t="shared" si="71"/>
        <v/>
      </c>
      <c r="E811" s="560"/>
      <c r="F811" s="559"/>
      <c r="G811" s="559" t="str">
        <f t="shared" si="72"/>
        <v/>
      </c>
      <c r="H811" s="559" t="str">
        <f t="shared" si="73"/>
        <v/>
      </c>
      <c r="I811" s="559" t="str">
        <f t="shared" si="74"/>
        <v/>
      </c>
    </row>
    <row r="812" spans="2:9">
      <c r="B812" s="555" t="str">
        <f t="shared" si="69"/>
        <v/>
      </c>
      <c r="C812" s="556" t="str">
        <f t="shared" si="70"/>
        <v/>
      </c>
      <c r="D812" s="557" t="str">
        <f t="shared" si="71"/>
        <v/>
      </c>
      <c r="E812" s="560"/>
      <c r="F812" s="559"/>
      <c r="G812" s="559" t="str">
        <f t="shared" si="72"/>
        <v/>
      </c>
      <c r="H812" s="559" t="str">
        <f t="shared" si="73"/>
        <v/>
      </c>
      <c r="I812" s="559" t="str">
        <f t="shared" si="74"/>
        <v/>
      </c>
    </row>
    <row r="813" spans="2:9">
      <c r="B813" s="555" t="str">
        <f t="shared" si="69"/>
        <v/>
      </c>
      <c r="C813" s="556" t="str">
        <f t="shared" si="70"/>
        <v/>
      </c>
      <c r="D813" s="557" t="str">
        <f t="shared" si="71"/>
        <v/>
      </c>
      <c r="E813" s="560"/>
      <c r="F813" s="559"/>
      <c r="G813" s="559" t="str">
        <f t="shared" si="72"/>
        <v/>
      </c>
      <c r="H813" s="559" t="str">
        <f t="shared" si="73"/>
        <v/>
      </c>
      <c r="I813" s="559" t="str">
        <f t="shared" si="74"/>
        <v/>
      </c>
    </row>
    <row r="814" spans="2:9">
      <c r="B814" s="555" t="str">
        <f t="shared" si="69"/>
        <v/>
      </c>
      <c r="C814" s="556" t="str">
        <f t="shared" si="70"/>
        <v/>
      </c>
      <c r="D814" s="557" t="str">
        <f t="shared" si="71"/>
        <v/>
      </c>
      <c r="E814" s="560"/>
      <c r="F814" s="559"/>
      <c r="G814" s="559" t="str">
        <f t="shared" si="72"/>
        <v/>
      </c>
      <c r="H814" s="559" t="str">
        <f t="shared" si="73"/>
        <v/>
      </c>
      <c r="I814" s="559" t="str">
        <f t="shared" si="74"/>
        <v/>
      </c>
    </row>
    <row r="815" spans="2:9">
      <c r="B815" s="555" t="str">
        <f t="shared" si="69"/>
        <v/>
      </c>
      <c r="C815" s="556" t="str">
        <f t="shared" si="70"/>
        <v/>
      </c>
      <c r="D815" s="557" t="str">
        <f t="shared" si="71"/>
        <v/>
      </c>
      <c r="E815" s="560"/>
      <c r="F815" s="559"/>
      <c r="G815" s="559" t="str">
        <f t="shared" si="72"/>
        <v/>
      </c>
      <c r="H815" s="559" t="str">
        <f t="shared" si="73"/>
        <v/>
      </c>
      <c r="I815" s="559" t="str">
        <f t="shared" si="74"/>
        <v/>
      </c>
    </row>
    <row r="816" spans="2:9">
      <c r="B816" s="555" t="str">
        <f t="shared" si="69"/>
        <v/>
      </c>
      <c r="C816" s="556" t="str">
        <f t="shared" si="70"/>
        <v/>
      </c>
      <c r="D816" s="557" t="str">
        <f t="shared" si="71"/>
        <v/>
      </c>
      <c r="E816" s="560"/>
      <c r="F816" s="559"/>
      <c r="G816" s="559" t="str">
        <f t="shared" si="72"/>
        <v/>
      </c>
      <c r="H816" s="559" t="str">
        <f t="shared" si="73"/>
        <v/>
      </c>
      <c r="I816" s="559" t="str">
        <f t="shared" si="74"/>
        <v/>
      </c>
    </row>
    <row r="817" spans="2:9">
      <c r="B817" s="555" t="str">
        <f t="shared" si="69"/>
        <v/>
      </c>
      <c r="C817" s="556" t="str">
        <f t="shared" si="70"/>
        <v/>
      </c>
      <c r="D817" s="557" t="str">
        <f t="shared" si="71"/>
        <v/>
      </c>
      <c r="E817" s="560"/>
      <c r="F817" s="559"/>
      <c r="G817" s="559" t="str">
        <f t="shared" si="72"/>
        <v/>
      </c>
      <c r="H817" s="559" t="str">
        <f t="shared" si="73"/>
        <v/>
      </c>
      <c r="I817" s="559" t="str">
        <f t="shared" si="74"/>
        <v/>
      </c>
    </row>
    <row r="818" spans="2:9">
      <c r="B818" s="555" t="str">
        <f t="shared" si="69"/>
        <v/>
      </c>
      <c r="C818" s="556" t="str">
        <f t="shared" si="70"/>
        <v/>
      </c>
      <c r="D818" s="557" t="str">
        <f t="shared" si="71"/>
        <v/>
      </c>
      <c r="E818" s="560"/>
      <c r="F818" s="559"/>
      <c r="G818" s="559" t="str">
        <f t="shared" si="72"/>
        <v/>
      </c>
      <c r="H818" s="559" t="str">
        <f t="shared" si="73"/>
        <v/>
      </c>
      <c r="I818" s="559" t="str">
        <f t="shared" si="74"/>
        <v/>
      </c>
    </row>
    <row r="819" spans="2:9">
      <c r="B819" s="555" t="str">
        <f t="shared" si="69"/>
        <v/>
      </c>
      <c r="C819" s="556" t="str">
        <f t="shared" si="70"/>
        <v/>
      </c>
      <c r="D819" s="557" t="str">
        <f t="shared" si="71"/>
        <v/>
      </c>
      <c r="E819" s="560"/>
      <c r="F819" s="559"/>
      <c r="G819" s="559" t="str">
        <f t="shared" si="72"/>
        <v/>
      </c>
      <c r="H819" s="559" t="str">
        <f t="shared" si="73"/>
        <v/>
      </c>
      <c r="I819" s="559" t="str">
        <f t="shared" si="74"/>
        <v/>
      </c>
    </row>
    <row r="820" spans="2:9">
      <c r="B820" s="555" t="str">
        <f t="shared" si="69"/>
        <v/>
      </c>
      <c r="C820" s="556" t="str">
        <f t="shared" si="70"/>
        <v/>
      </c>
      <c r="D820" s="557" t="str">
        <f t="shared" si="71"/>
        <v/>
      </c>
      <c r="E820" s="560"/>
      <c r="F820" s="559"/>
      <c r="G820" s="559" t="str">
        <f t="shared" si="72"/>
        <v/>
      </c>
      <c r="H820" s="559" t="str">
        <f t="shared" si="73"/>
        <v/>
      </c>
      <c r="I820" s="559" t="str">
        <f t="shared" si="74"/>
        <v/>
      </c>
    </row>
    <row r="821" spans="2:9">
      <c r="B821" s="555" t="str">
        <f t="shared" si="69"/>
        <v/>
      </c>
      <c r="C821" s="556" t="str">
        <f t="shared" si="70"/>
        <v/>
      </c>
      <c r="D821" s="557" t="str">
        <f t="shared" si="71"/>
        <v/>
      </c>
      <c r="E821" s="560"/>
      <c r="F821" s="559"/>
      <c r="G821" s="559" t="str">
        <f t="shared" si="72"/>
        <v/>
      </c>
      <c r="H821" s="559" t="str">
        <f t="shared" si="73"/>
        <v/>
      </c>
      <c r="I821" s="559" t="str">
        <f t="shared" si="74"/>
        <v/>
      </c>
    </row>
    <row r="822" spans="2:9">
      <c r="B822" s="555" t="str">
        <f t="shared" si="69"/>
        <v/>
      </c>
      <c r="C822" s="556" t="str">
        <f t="shared" si="70"/>
        <v/>
      </c>
      <c r="D822" s="557" t="str">
        <f t="shared" si="71"/>
        <v/>
      </c>
      <c r="E822" s="560"/>
      <c r="F822" s="559"/>
      <c r="G822" s="559" t="str">
        <f t="shared" si="72"/>
        <v/>
      </c>
      <c r="H822" s="559" t="str">
        <f t="shared" si="73"/>
        <v/>
      </c>
      <c r="I822" s="559" t="str">
        <f t="shared" si="74"/>
        <v/>
      </c>
    </row>
    <row r="823" spans="2:9">
      <c r="B823" s="555" t="str">
        <f t="shared" si="69"/>
        <v/>
      </c>
      <c r="C823" s="556" t="str">
        <f t="shared" si="70"/>
        <v/>
      </c>
      <c r="D823" s="557" t="str">
        <f t="shared" si="71"/>
        <v/>
      </c>
      <c r="E823" s="560"/>
      <c r="F823" s="559"/>
      <c r="G823" s="559" t="str">
        <f t="shared" si="72"/>
        <v/>
      </c>
      <c r="H823" s="559" t="str">
        <f t="shared" si="73"/>
        <v/>
      </c>
      <c r="I823" s="559" t="str">
        <f t="shared" si="74"/>
        <v/>
      </c>
    </row>
    <row r="824" spans="2:9">
      <c r="B824" s="555" t="str">
        <f t="shared" si="69"/>
        <v/>
      </c>
      <c r="C824" s="556" t="str">
        <f t="shared" si="70"/>
        <v/>
      </c>
      <c r="D824" s="557" t="str">
        <f t="shared" si="71"/>
        <v/>
      </c>
      <c r="E824" s="560"/>
      <c r="F824" s="559"/>
      <c r="G824" s="559" t="str">
        <f t="shared" si="72"/>
        <v/>
      </c>
      <c r="H824" s="559" t="str">
        <f t="shared" si="73"/>
        <v/>
      </c>
      <c r="I824" s="559" t="str">
        <f t="shared" si="74"/>
        <v/>
      </c>
    </row>
    <row r="825" spans="2:9">
      <c r="B825" s="555" t="str">
        <f t="shared" si="69"/>
        <v/>
      </c>
      <c r="C825" s="556" t="str">
        <f t="shared" si="70"/>
        <v/>
      </c>
      <c r="D825" s="557" t="str">
        <f t="shared" si="71"/>
        <v/>
      </c>
      <c r="E825" s="560"/>
      <c r="F825" s="559"/>
      <c r="G825" s="559" t="str">
        <f t="shared" si="72"/>
        <v/>
      </c>
      <c r="H825" s="559" t="str">
        <f t="shared" si="73"/>
        <v/>
      </c>
      <c r="I825" s="559" t="str">
        <f t="shared" si="74"/>
        <v/>
      </c>
    </row>
    <row r="826" spans="2:9">
      <c r="B826" s="555" t="str">
        <f t="shared" si="69"/>
        <v/>
      </c>
      <c r="C826" s="556" t="str">
        <f t="shared" si="70"/>
        <v/>
      </c>
      <c r="D826" s="557" t="str">
        <f t="shared" si="71"/>
        <v/>
      </c>
      <c r="E826" s="560"/>
      <c r="F826" s="559"/>
      <c r="G826" s="559" t="str">
        <f t="shared" si="72"/>
        <v/>
      </c>
      <c r="H826" s="559" t="str">
        <f t="shared" si="73"/>
        <v/>
      </c>
      <c r="I826" s="559" t="str">
        <f t="shared" si="74"/>
        <v/>
      </c>
    </row>
    <row r="827" spans="2:9">
      <c r="B827" s="555" t="str">
        <f t="shared" si="69"/>
        <v/>
      </c>
      <c r="C827" s="556" t="str">
        <f t="shared" si="70"/>
        <v/>
      </c>
      <c r="D827" s="557" t="str">
        <f t="shared" si="71"/>
        <v/>
      </c>
      <c r="E827" s="560"/>
      <c r="F827" s="559"/>
      <c r="G827" s="559" t="str">
        <f t="shared" si="72"/>
        <v/>
      </c>
      <c r="H827" s="559" t="str">
        <f t="shared" si="73"/>
        <v/>
      </c>
      <c r="I827" s="559" t="str">
        <f t="shared" si="74"/>
        <v/>
      </c>
    </row>
    <row r="828" spans="2:9">
      <c r="B828" s="555" t="str">
        <f t="shared" si="69"/>
        <v/>
      </c>
      <c r="C828" s="556" t="str">
        <f t="shared" si="70"/>
        <v/>
      </c>
      <c r="D828" s="557" t="str">
        <f t="shared" si="71"/>
        <v/>
      </c>
      <c r="E828" s="560"/>
      <c r="F828" s="559"/>
      <c r="G828" s="559" t="str">
        <f t="shared" si="72"/>
        <v/>
      </c>
      <c r="H828" s="559" t="str">
        <f t="shared" si="73"/>
        <v/>
      </c>
      <c r="I828" s="559" t="str">
        <f t="shared" si="74"/>
        <v/>
      </c>
    </row>
    <row r="829" spans="2:9">
      <c r="B829" s="555" t="str">
        <f t="shared" ref="B829:B840" si="75">IF(I828="","",IF(roundOpt,IF(OR(B828&gt;=nper,ROUND(I828,2)&lt;=0),"",B828+1),IF(OR(B828&gt;=nper,I828&lt;=0),"",B828+1)))</f>
        <v/>
      </c>
      <c r="C829" s="556" t="str">
        <f t="shared" ref="C829:C840" si="76">IF(B829="","",IF(OR(periods_per_year=26,periods_per_year=52),IF(periods_per_year=26,IF(B829=1,fpdate,C828+14),IF(periods_per_year=52,IF(B829=1,fpdate,C828+7),"n/a")),IF(periods_per_year=24,DATE(YEAR(fpdate),MONTH(fpdate)+(B829-1)/2+IF(AND(DAY(fpdate)&gt;=15,MOD(B829,2)=0),1,0),IF(MOD(B829,2)=0,IF(DAY(fpdate)&gt;=15,DAY(fpdate)-14,DAY(fpdate)+14),DAY(fpdate))),IF(DAY(DATE(YEAR(fpdate),MONTH(fpdate)+(B829-1)*months_per_period,DAY(fpdate)))&lt;&gt;DAY(fpdate),DATE(YEAR(fpdate),MONTH(fpdate)+(B829-1)*months_per_period+1,0),DATE(YEAR(fpdate),MONTH(fpdate)+(B829-1)*months_per_period,DAY(fpdate))))))</f>
        <v/>
      </c>
      <c r="D829" s="557" t="str">
        <f t="shared" ref="D829:D840" si="77">IF(B829="","",IF(roundOpt,IF(OR(B829=nper,payment&gt;ROUND((1+rate)*I828,2)),ROUND((1+rate)*I828,2),payment),IF(OR(B829=nper,payment&gt;(1+rate)*I828),(1+rate)*I828,payment)))</f>
        <v/>
      </c>
      <c r="E829" s="560"/>
      <c r="F829" s="559"/>
      <c r="G829" s="559" t="str">
        <f t="shared" ref="G829:G840" si="78">IF(B829="","",IF(AND(B829=1,pmtType=1),0,IF(roundOpt,ROUND(rate*I828,2),rate*I828)))</f>
        <v/>
      </c>
      <c r="H829" s="559" t="str">
        <f t="shared" ref="H829:H840" si="79">IF(B829="","",D829-G829+E829)</f>
        <v/>
      </c>
      <c r="I829" s="559" t="str">
        <f t="shared" ref="I829:I840" si="80">IF(B829="","",I828-H829)</f>
        <v/>
      </c>
    </row>
    <row r="830" spans="2:9">
      <c r="B830" s="555" t="str">
        <f t="shared" si="75"/>
        <v/>
      </c>
      <c r="C830" s="556" t="str">
        <f t="shared" si="76"/>
        <v/>
      </c>
      <c r="D830" s="557" t="str">
        <f t="shared" si="77"/>
        <v/>
      </c>
      <c r="E830" s="560"/>
      <c r="F830" s="559"/>
      <c r="G830" s="559" t="str">
        <f t="shared" si="78"/>
        <v/>
      </c>
      <c r="H830" s="559" t="str">
        <f t="shared" si="79"/>
        <v/>
      </c>
      <c r="I830" s="559" t="str">
        <f t="shared" si="80"/>
        <v/>
      </c>
    </row>
    <row r="831" spans="2:9">
      <c r="B831" s="555" t="str">
        <f t="shared" si="75"/>
        <v/>
      </c>
      <c r="C831" s="556" t="str">
        <f t="shared" si="76"/>
        <v/>
      </c>
      <c r="D831" s="557" t="str">
        <f t="shared" si="77"/>
        <v/>
      </c>
      <c r="E831" s="560"/>
      <c r="F831" s="559"/>
      <c r="G831" s="559" t="str">
        <f t="shared" si="78"/>
        <v/>
      </c>
      <c r="H831" s="559" t="str">
        <f t="shared" si="79"/>
        <v/>
      </c>
      <c r="I831" s="559" t="str">
        <f t="shared" si="80"/>
        <v/>
      </c>
    </row>
    <row r="832" spans="2:9">
      <c r="B832" s="555" t="str">
        <f t="shared" si="75"/>
        <v/>
      </c>
      <c r="C832" s="556" t="str">
        <f t="shared" si="76"/>
        <v/>
      </c>
      <c r="D832" s="557" t="str">
        <f t="shared" si="77"/>
        <v/>
      </c>
      <c r="E832" s="560"/>
      <c r="F832" s="559"/>
      <c r="G832" s="559" t="str">
        <f t="shared" si="78"/>
        <v/>
      </c>
      <c r="H832" s="559" t="str">
        <f t="shared" si="79"/>
        <v/>
      </c>
      <c r="I832" s="559" t="str">
        <f t="shared" si="80"/>
        <v/>
      </c>
    </row>
    <row r="833" spans="2:9">
      <c r="B833" s="555" t="str">
        <f t="shared" si="75"/>
        <v/>
      </c>
      <c r="C833" s="556" t="str">
        <f t="shared" si="76"/>
        <v/>
      </c>
      <c r="D833" s="557" t="str">
        <f t="shared" si="77"/>
        <v/>
      </c>
      <c r="E833" s="560"/>
      <c r="F833" s="559"/>
      <c r="G833" s="559" t="str">
        <f t="shared" si="78"/>
        <v/>
      </c>
      <c r="H833" s="559" t="str">
        <f t="shared" si="79"/>
        <v/>
      </c>
      <c r="I833" s="559" t="str">
        <f t="shared" si="80"/>
        <v/>
      </c>
    </row>
    <row r="834" spans="2:9">
      <c r="B834" s="555" t="str">
        <f t="shared" si="75"/>
        <v/>
      </c>
      <c r="C834" s="556" t="str">
        <f t="shared" si="76"/>
        <v/>
      </c>
      <c r="D834" s="557" t="str">
        <f t="shared" si="77"/>
        <v/>
      </c>
      <c r="E834" s="560"/>
      <c r="F834" s="559"/>
      <c r="G834" s="559" t="str">
        <f t="shared" si="78"/>
        <v/>
      </c>
      <c r="H834" s="559" t="str">
        <f t="shared" si="79"/>
        <v/>
      </c>
      <c r="I834" s="559" t="str">
        <f t="shared" si="80"/>
        <v/>
      </c>
    </row>
    <row r="835" spans="2:9">
      <c r="B835" s="555" t="str">
        <f t="shared" si="75"/>
        <v/>
      </c>
      <c r="C835" s="556" t="str">
        <f t="shared" si="76"/>
        <v/>
      </c>
      <c r="D835" s="557" t="str">
        <f t="shared" si="77"/>
        <v/>
      </c>
      <c r="E835" s="560"/>
      <c r="F835" s="559"/>
      <c r="G835" s="559" t="str">
        <f t="shared" si="78"/>
        <v/>
      </c>
      <c r="H835" s="559" t="str">
        <f t="shared" si="79"/>
        <v/>
      </c>
      <c r="I835" s="559" t="str">
        <f t="shared" si="80"/>
        <v/>
      </c>
    </row>
    <row r="836" spans="2:9">
      <c r="B836" s="555" t="str">
        <f t="shared" si="75"/>
        <v/>
      </c>
      <c r="C836" s="556" t="str">
        <f t="shared" si="76"/>
        <v/>
      </c>
      <c r="D836" s="557" t="str">
        <f t="shared" si="77"/>
        <v/>
      </c>
      <c r="E836" s="560"/>
      <c r="F836" s="559"/>
      <c r="G836" s="559" t="str">
        <f t="shared" si="78"/>
        <v/>
      </c>
      <c r="H836" s="559" t="str">
        <f t="shared" si="79"/>
        <v/>
      </c>
      <c r="I836" s="559" t="str">
        <f t="shared" si="80"/>
        <v/>
      </c>
    </row>
    <row r="837" spans="2:9">
      <c r="B837" s="555" t="str">
        <f t="shared" si="75"/>
        <v/>
      </c>
      <c r="C837" s="556" t="str">
        <f t="shared" si="76"/>
        <v/>
      </c>
      <c r="D837" s="557" t="str">
        <f t="shared" si="77"/>
        <v/>
      </c>
      <c r="E837" s="560"/>
      <c r="F837" s="559"/>
      <c r="G837" s="559" t="str">
        <f t="shared" si="78"/>
        <v/>
      </c>
      <c r="H837" s="559" t="str">
        <f t="shared" si="79"/>
        <v/>
      </c>
      <c r="I837" s="559" t="str">
        <f t="shared" si="80"/>
        <v/>
      </c>
    </row>
    <row r="838" spans="2:9">
      <c r="B838" s="555" t="str">
        <f t="shared" si="75"/>
        <v/>
      </c>
      <c r="C838" s="556" t="str">
        <f t="shared" si="76"/>
        <v/>
      </c>
      <c r="D838" s="557" t="str">
        <f t="shared" si="77"/>
        <v/>
      </c>
      <c r="E838" s="560"/>
      <c r="F838" s="559"/>
      <c r="G838" s="559" t="str">
        <f t="shared" si="78"/>
        <v/>
      </c>
      <c r="H838" s="559" t="str">
        <f t="shared" si="79"/>
        <v/>
      </c>
      <c r="I838" s="559" t="str">
        <f t="shared" si="80"/>
        <v/>
      </c>
    </row>
    <row r="839" spans="2:9">
      <c r="B839" s="555" t="str">
        <f t="shared" si="75"/>
        <v/>
      </c>
      <c r="C839" s="556" t="str">
        <f t="shared" si="76"/>
        <v/>
      </c>
      <c r="D839" s="557" t="str">
        <f t="shared" si="77"/>
        <v/>
      </c>
      <c r="E839" s="560"/>
      <c r="F839" s="559"/>
      <c r="G839" s="559" t="str">
        <f t="shared" si="78"/>
        <v/>
      </c>
      <c r="H839" s="559" t="str">
        <f t="shared" si="79"/>
        <v/>
      </c>
      <c r="I839" s="559" t="str">
        <f t="shared" si="80"/>
        <v/>
      </c>
    </row>
    <row r="840" spans="2:9">
      <c r="B840" s="555" t="str">
        <f t="shared" si="75"/>
        <v/>
      </c>
      <c r="C840" s="556" t="str">
        <f t="shared" si="76"/>
        <v/>
      </c>
      <c r="D840" s="557" t="str">
        <f t="shared" si="77"/>
        <v/>
      </c>
      <c r="E840" s="563"/>
      <c r="F840" s="559"/>
      <c r="G840" s="559" t="str">
        <f t="shared" si="78"/>
        <v/>
      </c>
      <c r="H840" s="559" t="str">
        <f t="shared" si="79"/>
        <v/>
      </c>
      <c r="I840" s="559" t="str">
        <f t="shared" si="80"/>
        <v/>
      </c>
    </row>
    <row r="841" spans="2:9">
      <c r="B841" s="564"/>
      <c r="C841" s="565"/>
      <c r="D841" s="565"/>
      <c r="E841" s="565" t="s">
        <v>712</v>
      </c>
      <c r="F841" s="565"/>
      <c r="G841" s="564"/>
      <c r="H841" s="564"/>
      <c r="I841" s="564"/>
    </row>
  </sheetData>
  <sheetProtection algorithmName="SHA-512" hashValue="Z0pDw/O+zPDEGgx+Azgdnuoa+vJJK115owyxSKy6QyiWH2PHCmPOSJEexLCHSapcrkfihZAv7zDD6kSaEdtsaw==" saltValue="2jrhriIla5sKvifYK/Oymw==" spinCount="100000" sheet="1" formatCells="0" formatColumns="0" formatRows="0"/>
  <conditionalFormatting sqref="B61:I840">
    <cfRule type="expression" dxfId="7" priority="1" stopIfTrue="1">
      <formula>MOD($B61,periods_per_year)=0</formula>
    </cfRule>
  </conditionalFormatting>
  <conditionalFormatting sqref="E11">
    <cfRule type="expression" dxfId="6" priority="2" stopIfTrue="1">
      <formula>compound_period&gt;periods_per_year</formula>
    </cfRule>
  </conditionalFormatting>
  <dataValidations count="3">
    <dataValidation type="list" showInputMessage="1" showErrorMessage="1" sqref="E10:E11">
      <formula1>$J$6:$J$13</formula1>
    </dataValidation>
    <dataValidation type="list" showInputMessage="1" showErrorMessage="1" sqref="E13">
      <formula1>"On,Off"</formula1>
    </dataValidation>
    <dataValidation type="list" showInputMessage="1" showErrorMessage="1" sqref="E12">
      <formula1>"End of Period, Beginning of Period"</formula1>
    </dataValidation>
  </dataValidations>
  <printOptions horizontalCentered="1" headings="1" gridLines="1"/>
  <pageMargins left="0.5" right="0.5" top="0.85" bottom="0.5" header="0.5" footer="0.5"/>
  <pageSetup scale="52" fitToHeight="0" orientation="portrait" cellComments="asDisplayed" r:id="rId1"/>
  <headerFooter>
    <oddHeader>&amp;L&amp;F&amp;RPage &amp;P of &amp;N</oddHeader>
    <oddFooter>&amp;L&amp;A&amp;R&amp;D &amp;T</oddFooter>
    <firstFooter>&amp;R&amp;8Page &amp;P of &amp;N</firstFooter>
  </headerFooter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1"/>
  <sheetViews>
    <sheetView view="pageBreakPreview" zoomScaleSheetLayoutView="100" workbookViewId="0"/>
  </sheetViews>
  <sheetFormatPr defaultColWidth="8.85546875" defaultRowHeight="15"/>
  <cols>
    <col min="1" max="1" width="17.140625" style="573" customWidth="1"/>
    <col min="2" max="3" width="16.5703125" style="573" customWidth="1"/>
    <col min="4" max="4" width="14.5703125" style="573" customWidth="1"/>
    <col min="5" max="5" width="16.5703125" style="573" customWidth="1"/>
    <col min="6" max="6" width="12.7109375" style="573" customWidth="1"/>
    <col min="7" max="7" width="16.5703125" style="573" customWidth="1"/>
    <col min="8" max="16384" width="8.85546875" style="573"/>
  </cols>
  <sheetData>
    <row r="1" spans="1:7" ht="15.75">
      <c r="A1" s="570" t="s">
        <v>733</v>
      </c>
      <c r="B1" s="570"/>
      <c r="C1" s="570"/>
      <c r="D1" s="570"/>
      <c r="E1" s="571"/>
      <c r="F1" s="572"/>
    </row>
    <row r="2" spans="1:7" ht="15.75">
      <c r="A2" s="574" t="s">
        <v>39</v>
      </c>
      <c r="B2" s="575">
        <f>Dashboard!K28</f>
        <v>0</v>
      </c>
      <c r="C2" s="576"/>
      <c r="D2" s="576"/>
      <c r="E2" s="576"/>
      <c r="F2" s="572"/>
    </row>
    <row r="3" spans="1:7" ht="15.75">
      <c r="A3" s="574" t="s">
        <v>40</v>
      </c>
      <c r="B3" s="577">
        <f>Dashboard!F13</f>
        <v>3.7499999999999999E-2</v>
      </c>
      <c r="C3" s="571"/>
      <c r="D3" s="571"/>
      <c r="E3" s="571"/>
      <c r="F3" s="572"/>
    </row>
    <row r="4" spans="1:7" ht="15.75">
      <c r="A4" s="574" t="s">
        <v>41</v>
      </c>
      <c r="B4" s="575">
        <f>Dashboard!K31</f>
        <v>0</v>
      </c>
      <c r="C4" s="578"/>
      <c r="D4" s="571"/>
      <c r="E4" s="571"/>
      <c r="F4" s="572"/>
    </row>
    <row r="5" spans="1:7" ht="15.75">
      <c r="A5" s="579" t="s">
        <v>42</v>
      </c>
      <c r="B5" s="579" t="s">
        <v>43</v>
      </c>
      <c r="C5" s="579" t="s">
        <v>44</v>
      </c>
      <c r="D5" s="580" t="s">
        <v>45</v>
      </c>
      <c r="E5" s="580" t="s">
        <v>46</v>
      </c>
      <c r="F5" s="581" t="s">
        <v>47</v>
      </c>
    </row>
    <row r="6" spans="1:7" ht="15.75">
      <c r="A6" s="581">
        <v>1</v>
      </c>
      <c r="B6" s="582">
        <f>B2</f>
        <v>0</v>
      </c>
      <c r="C6" s="582"/>
      <c r="D6" s="582">
        <f>+B6*$B$3*0.5</f>
        <v>0</v>
      </c>
      <c r="E6" s="583"/>
      <c r="F6" s="584">
        <f>Dashboard!E13</f>
        <v>2030</v>
      </c>
    </row>
    <row r="7" spans="1:7" ht="15.75">
      <c r="A7" s="581"/>
      <c r="B7" s="571">
        <f t="shared" ref="B7:B67" si="0">B6-C6</f>
        <v>0</v>
      </c>
      <c r="C7" s="571" t="e">
        <f>+B6/$B$4</f>
        <v>#DIV/0!</v>
      </c>
      <c r="D7" s="571">
        <f>+D6</f>
        <v>0</v>
      </c>
      <c r="E7" s="571" t="e">
        <f>SUM(C6:D7)</f>
        <v>#DIV/0!</v>
      </c>
      <c r="F7" s="585">
        <f>+F6</f>
        <v>2030</v>
      </c>
    </row>
    <row r="8" spans="1:7" ht="15.75">
      <c r="A8" s="581">
        <v>2</v>
      </c>
      <c r="B8" s="582" t="e">
        <f>B7-C7</f>
        <v>#DIV/0!</v>
      </c>
      <c r="C8" s="582"/>
      <c r="D8" s="582" t="e">
        <f>+B8*$B$3*0.5</f>
        <v>#DIV/0!</v>
      </c>
      <c r="E8" s="583"/>
      <c r="F8" s="586">
        <f>+F6+1</f>
        <v>2031</v>
      </c>
    </row>
    <row r="9" spans="1:7" ht="15.75">
      <c r="A9" s="581"/>
      <c r="B9" s="571" t="e">
        <f>B8-C8</f>
        <v>#DIV/0!</v>
      </c>
      <c r="C9" s="571" t="e">
        <f>+C7</f>
        <v>#DIV/0!</v>
      </c>
      <c r="D9" s="571" t="e">
        <f>+D8</f>
        <v>#DIV/0!</v>
      </c>
      <c r="E9" s="571">
        <f>IF($B$4&gt;1,SUM(C8:D9),0)</f>
        <v>0</v>
      </c>
      <c r="F9" s="585">
        <f>+F8</f>
        <v>2031</v>
      </c>
    </row>
    <row r="10" spans="1:7" ht="15.75">
      <c r="A10" s="581">
        <v>3</v>
      </c>
      <c r="B10" s="582" t="e">
        <f t="shared" si="0"/>
        <v>#DIV/0!</v>
      </c>
      <c r="C10" s="582"/>
      <c r="D10" s="582" t="e">
        <f>+B10*$B$3*0.5</f>
        <v>#DIV/0!</v>
      </c>
      <c r="E10" s="583"/>
      <c r="F10" s="586">
        <f>+F8+1</f>
        <v>2032</v>
      </c>
      <c r="G10" s="603" t="s">
        <v>719</v>
      </c>
    </row>
    <row r="11" spans="1:7" ht="15.75">
      <c r="A11" s="581"/>
      <c r="B11" s="571" t="e">
        <f t="shared" si="0"/>
        <v>#DIV/0!</v>
      </c>
      <c r="C11" s="571" t="e">
        <f>+C9</f>
        <v>#DIV/0!</v>
      </c>
      <c r="D11" s="571" t="e">
        <f>+D10</f>
        <v>#DIV/0!</v>
      </c>
      <c r="E11" s="571">
        <f>IF($B$4&gt;2,SUM(C10:D11),0)</f>
        <v>0</v>
      </c>
      <c r="F11" s="585">
        <f>+F10</f>
        <v>2032</v>
      </c>
      <c r="G11" s="602" t="e">
        <f>SUM(E7:E11)</f>
        <v>#DIV/0!</v>
      </c>
    </row>
    <row r="12" spans="1:7" ht="15.75">
      <c r="A12" s="581">
        <v>4</v>
      </c>
      <c r="B12" s="582" t="e">
        <f t="shared" si="0"/>
        <v>#DIV/0!</v>
      </c>
      <c r="C12" s="582"/>
      <c r="D12" s="582" t="e">
        <f>+B12*$B$3*0.5</f>
        <v>#DIV/0!</v>
      </c>
      <c r="E12" s="583"/>
      <c r="F12" s="586">
        <f>+F10+1</f>
        <v>2033</v>
      </c>
    </row>
    <row r="13" spans="1:7" ht="15.75">
      <c r="A13" s="581"/>
      <c r="B13" s="571" t="e">
        <f t="shared" si="0"/>
        <v>#DIV/0!</v>
      </c>
      <c r="C13" s="571" t="e">
        <f t="shared" ref="C13:C43" si="1">C11</f>
        <v>#DIV/0!</v>
      </c>
      <c r="D13" s="571" t="e">
        <f>+D12</f>
        <v>#DIV/0!</v>
      </c>
      <c r="E13" s="571">
        <f>IF($B$4&gt;3,SUM(C12:D13),0)</f>
        <v>0</v>
      </c>
      <c r="F13" s="585">
        <f>+F12</f>
        <v>2033</v>
      </c>
    </row>
    <row r="14" spans="1:7" ht="15.75">
      <c r="A14" s="581">
        <v>5</v>
      </c>
      <c r="B14" s="582" t="e">
        <f t="shared" si="0"/>
        <v>#DIV/0!</v>
      </c>
      <c r="C14" s="582"/>
      <c r="D14" s="582" t="e">
        <f>+B14*$B$3*0.5</f>
        <v>#DIV/0!</v>
      </c>
      <c r="E14" s="583"/>
      <c r="F14" s="586">
        <f>+F12+1</f>
        <v>2034</v>
      </c>
    </row>
    <row r="15" spans="1:7" ht="15.75">
      <c r="A15" s="581"/>
      <c r="B15" s="571" t="e">
        <f t="shared" si="0"/>
        <v>#DIV/0!</v>
      </c>
      <c r="C15" s="571" t="e">
        <f t="shared" si="1"/>
        <v>#DIV/0!</v>
      </c>
      <c r="D15" s="571" t="e">
        <f>+D14</f>
        <v>#DIV/0!</v>
      </c>
      <c r="E15" s="571">
        <f>IF($B$4&gt;4,SUM(C14:D15),0)</f>
        <v>0</v>
      </c>
      <c r="F15" s="585">
        <f>+F14</f>
        <v>2034</v>
      </c>
    </row>
    <row r="16" spans="1:7" ht="15.75">
      <c r="A16" s="581">
        <v>6</v>
      </c>
      <c r="B16" s="582" t="e">
        <f t="shared" si="0"/>
        <v>#DIV/0!</v>
      </c>
      <c r="C16" s="582"/>
      <c r="D16" s="582" t="e">
        <f>+B16*$B$3*0.5</f>
        <v>#DIV/0!</v>
      </c>
      <c r="E16" s="583"/>
      <c r="F16" s="586">
        <f>+F14+1</f>
        <v>2035</v>
      </c>
    </row>
    <row r="17" spans="1:6" ht="15.75">
      <c r="A17" s="581"/>
      <c r="B17" s="571" t="e">
        <f t="shared" si="0"/>
        <v>#DIV/0!</v>
      </c>
      <c r="C17" s="571" t="e">
        <f t="shared" si="1"/>
        <v>#DIV/0!</v>
      </c>
      <c r="D17" s="571" t="e">
        <f>+D16</f>
        <v>#DIV/0!</v>
      </c>
      <c r="E17" s="571">
        <f>IF($B$4&gt;5,SUM(C16:D17),0)</f>
        <v>0</v>
      </c>
      <c r="F17" s="585">
        <f>+F16</f>
        <v>2035</v>
      </c>
    </row>
    <row r="18" spans="1:6" ht="15.75">
      <c r="A18" s="581">
        <v>7</v>
      </c>
      <c r="B18" s="582" t="e">
        <f t="shared" si="0"/>
        <v>#DIV/0!</v>
      </c>
      <c r="C18" s="582"/>
      <c r="D18" s="582" t="e">
        <f>+B18*$B$3*0.5</f>
        <v>#DIV/0!</v>
      </c>
      <c r="E18" s="583"/>
      <c r="F18" s="586">
        <f>+F16+1</f>
        <v>2036</v>
      </c>
    </row>
    <row r="19" spans="1:6" ht="15.75">
      <c r="A19" s="581"/>
      <c r="B19" s="571" t="e">
        <f t="shared" si="0"/>
        <v>#DIV/0!</v>
      </c>
      <c r="C19" s="571" t="e">
        <f t="shared" si="1"/>
        <v>#DIV/0!</v>
      </c>
      <c r="D19" s="571" t="e">
        <f>+D18</f>
        <v>#DIV/0!</v>
      </c>
      <c r="E19" s="571">
        <f>IF($B$4&gt;6,SUM(C18:D19),0)</f>
        <v>0</v>
      </c>
      <c r="F19" s="585">
        <f>+F18</f>
        <v>2036</v>
      </c>
    </row>
    <row r="20" spans="1:6" ht="15.75">
      <c r="A20" s="581">
        <v>8</v>
      </c>
      <c r="B20" s="582" t="e">
        <f t="shared" si="0"/>
        <v>#DIV/0!</v>
      </c>
      <c r="C20" s="582"/>
      <c r="D20" s="582" t="e">
        <f>+B20*$B$3*0.5</f>
        <v>#DIV/0!</v>
      </c>
      <c r="E20" s="583"/>
      <c r="F20" s="586">
        <f>+F18+1</f>
        <v>2037</v>
      </c>
    </row>
    <row r="21" spans="1:6" ht="15.75">
      <c r="A21" s="581"/>
      <c r="B21" s="571" t="e">
        <f t="shared" si="0"/>
        <v>#DIV/0!</v>
      </c>
      <c r="C21" s="571" t="e">
        <f t="shared" si="1"/>
        <v>#DIV/0!</v>
      </c>
      <c r="D21" s="571" t="e">
        <f>+D20</f>
        <v>#DIV/0!</v>
      </c>
      <c r="E21" s="571">
        <f>IF($B$4&gt;7,SUM(C20:D21),0)</f>
        <v>0</v>
      </c>
      <c r="F21" s="585">
        <f>+F20</f>
        <v>2037</v>
      </c>
    </row>
    <row r="22" spans="1:6" ht="15.75">
      <c r="A22" s="581">
        <v>9</v>
      </c>
      <c r="B22" s="582" t="e">
        <f t="shared" si="0"/>
        <v>#DIV/0!</v>
      </c>
      <c r="C22" s="582"/>
      <c r="D22" s="582" t="e">
        <f>+B22*$B$3*0.5</f>
        <v>#DIV/0!</v>
      </c>
      <c r="E22" s="583"/>
      <c r="F22" s="586">
        <f>+F20+1</f>
        <v>2038</v>
      </c>
    </row>
    <row r="23" spans="1:6" ht="15.75">
      <c r="A23" s="581"/>
      <c r="B23" s="571" t="e">
        <f t="shared" si="0"/>
        <v>#DIV/0!</v>
      </c>
      <c r="C23" s="571" t="e">
        <f t="shared" si="1"/>
        <v>#DIV/0!</v>
      </c>
      <c r="D23" s="571" t="e">
        <f>+D22</f>
        <v>#DIV/0!</v>
      </c>
      <c r="E23" s="571">
        <f>IF($B$4&gt;8,SUM(C22:D23),0)</f>
        <v>0</v>
      </c>
      <c r="F23" s="585">
        <f>+F22</f>
        <v>2038</v>
      </c>
    </row>
    <row r="24" spans="1:6" ht="15.75">
      <c r="A24" s="581">
        <v>10</v>
      </c>
      <c r="B24" s="582" t="e">
        <f t="shared" si="0"/>
        <v>#DIV/0!</v>
      </c>
      <c r="C24" s="582"/>
      <c r="D24" s="582" t="e">
        <f>+B24*$B$3*0.5</f>
        <v>#DIV/0!</v>
      </c>
      <c r="E24" s="583"/>
      <c r="F24" s="586">
        <f>+F22+1</f>
        <v>2039</v>
      </c>
    </row>
    <row r="25" spans="1:6" ht="15.75">
      <c r="A25" s="581"/>
      <c r="B25" s="571" t="e">
        <f t="shared" si="0"/>
        <v>#DIV/0!</v>
      </c>
      <c r="C25" s="571" t="e">
        <f t="shared" si="1"/>
        <v>#DIV/0!</v>
      </c>
      <c r="D25" s="571" t="e">
        <f>+D24</f>
        <v>#DIV/0!</v>
      </c>
      <c r="E25" s="571">
        <f>IF($B$4&gt;9,SUM(C24:D25),0)</f>
        <v>0</v>
      </c>
      <c r="F25" s="585">
        <f>+F24</f>
        <v>2039</v>
      </c>
    </row>
    <row r="26" spans="1:6" ht="15.75">
      <c r="A26" s="581">
        <v>11</v>
      </c>
      <c r="B26" s="582" t="e">
        <f t="shared" si="0"/>
        <v>#DIV/0!</v>
      </c>
      <c r="C26" s="582"/>
      <c r="D26" s="582" t="e">
        <f>+B26*$B$3*0.5</f>
        <v>#DIV/0!</v>
      </c>
      <c r="E26" s="583"/>
      <c r="F26" s="586">
        <f>+F24+1</f>
        <v>2040</v>
      </c>
    </row>
    <row r="27" spans="1:6" ht="15.75">
      <c r="A27" s="581"/>
      <c r="B27" s="571" t="e">
        <f t="shared" si="0"/>
        <v>#DIV/0!</v>
      </c>
      <c r="C27" s="571" t="e">
        <f t="shared" si="1"/>
        <v>#DIV/0!</v>
      </c>
      <c r="D27" s="571" t="e">
        <f>+D26</f>
        <v>#DIV/0!</v>
      </c>
      <c r="E27" s="571">
        <f>IF($B$4&gt;10,SUM(C26:D27),0)</f>
        <v>0</v>
      </c>
      <c r="F27" s="585">
        <f>+F26</f>
        <v>2040</v>
      </c>
    </row>
    <row r="28" spans="1:6" ht="15.75">
      <c r="A28" s="581">
        <v>12</v>
      </c>
      <c r="B28" s="582" t="e">
        <f t="shared" si="0"/>
        <v>#DIV/0!</v>
      </c>
      <c r="C28" s="582"/>
      <c r="D28" s="582" t="e">
        <f>+B28*$B$3*0.5</f>
        <v>#DIV/0!</v>
      </c>
      <c r="E28" s="583"/>
      <c r="F28" s="586">
        <f>+F26+1</f>
        <v>2041</v>
      </c>
    </row>
    <row r="29" spans="1:6" ht="15.75">
      <c r="A29" s="581"/>
      <c r="B29" s="571" t="e">
        <f t="shared" si="0"/>
        <v>#DIV/0!</v>
      </c>
      <c r="C29" s="571" t="e">
        <f>+C27</f>
        <v>#DIV/0!</v>
      </c>
      <c r="D29" s="571" t="e">
        <f>+D28</f>
        <v>#DIV/0!</v>
      </c>
      <c r="E29" s="571">
        <f>IF($B$4&gt;11,SUM(C28:D29),0)</f>
        <v>0</v>
      </c>
      <c r="F29" s="585">
        <f>+F28</f>
        <v>2041</v>
      </c>
    </row>
    <row r="30" spans="1:6" ht="15.75">
      <c r="A30" s="581">
        <v>13</v>
      </c>
      <c r="B30" s="582" t="e">
        <f t="shared" si="0"/>
        <v>#DIV/0!</v>
      </c>
      <c r="C30" s="582"/>
      <c r="D30" s="582" t="e">
        <f>+B30*$B$3*0.5</f>
        <v>#DIV/0!</v>
      </c>
      <c r="E30" s="583"/>
      <c r="F30" s="586">
        <f>+F28+1</f>
        <v>2042</v>
      </c>
    </row>
    <row r="31" spans="1:6" ht="15.75">
      <c r="A31" s="581"/>
      <c r="B31" s="571" t="e">
        <f t="shared" si="0"/>
        <v>#DIV/0!</v>
      </c>
      <c r="C31" s="571" t="e">
        <f t="shared" si="1"/>
        <v>#DIV/0!</v>
      </c>
      <c r="D31" s="571" t="e">
        <f>+D30</f>
        <v>#DIV/0!</v>
      </c>
      <c r="E31" s="571">
        <f>IF($B$4&gt;12,SUM(C30:D31),0)</f>
        <v>0</v>
      </c>
      <c r="F31" s="585">
        <f>+F30</f>
        <v>2042</v>
      </c>
    </row>
    <row r="32" spans="1:6" ht="15.75">
      <c r="A32" s="581">
        <v>14</v>
      </c>
      <c r="B32" s="582" t="e">
        <f t="shared" si="0"/>
        <v>#DIV/0!</v>
      </c>
      <c r="C32" s="582"/>
      <c r="D32" s="582" t="e">
        <f>+B32*$B$3*0.5</f>
        <v>#DIV/0!</v>
      </c>
      <c r="E32" s="583"/>
      <c r="F32" s="586">
        <f>+F30+1</f>
        <v>2043</v>
      </c>
    </row>
    <row r="33" spans="1:7" ht="15.75">
      <c r="A33" s="581"/>
      <c r="B33" s="571" t="e">
        <f t="shared" si="0"/>
        <v>#DIV/0!</v>
      </c>
      <c r="C33" s="571" t="e">
        <f>+C31</f>
        <v>#DIV/0!</v>
      </c>
      <c r="D33" s="571" t="e">
        <f>+D32</f>
        <v>#DIV/0!</v>
      </c>
      <c r="E33" s="571">
        <f>IF($B$4&gt;13,SUM(C32:D33),0)</f>
        <v>0</v>
      </c>
      <c r="F33" s="585">
        <f>+F32</f>
        <v>2043</v>
      </c>
    </row>
    <row r="34" spans="1:7" ht="15.75">
      <c r="A34" s="581">
        <v>15</v>
      </c>
      <c r="B34" s="582" t="e">
        <f t="shared" si="0"/>
        <v>#DIV/0!</v>
      </c>
      <c r="C34" s="582"/>
      <c r="D34" s="582" t="e">
        <f>+B34*$B$3*0.5</f>
        <v>#DIV/0!</v>
      </c>
      <c r="E34" s="583"/>
      <c r="F34" s="586">
        <f>+F32+1</f>
        <v>2044</v>
      </c>
    </row>
    <row r="35" spans="1:7" ht="15.75">
      <c r="A35" s="581"/>
      <c r="B35" s="571" t="e">
        <f t="shared" si="0"/>
        <v>#DIV/0!</v>
      </c>
      <c r="C35" s="571" t="e">
        <f t="shared" si="1"/>
        <v>#DIV/0!</v>
      </c>
      <c r="D35" s="571" t="e">
        <f>+D34</f>
        <v>#DIV/0!</v>
      </c>
      <c r="E35" s="571">
        <f>IF($B$4&gt;14,SUM(C34:D35),0)</f>
        <v>0</v>
      </c>
      <c r="F35" s="585">
        <f>+F34</f>
        <v>2044</v>
      </c>
    </row>
    <row r="36" spans="1:7" ht="15.75">
      <c r="A36" s="581">
        <v>16</v>
      </c>
      <c r="B36" s="582" t="e">
        <f t="shared" si="0"/>
        <v>#DIV/0!</v>
      </c>
      <c r="C36" s="582"/>
      <c r="D36" s="582" t="e">
        <f>+B36*$B$3*0.5</f>
        <v>#DIV/0!</v>
      </c>
      <c r="E36" s="583"/>
      <c r="F36" s="586">
        <f>+F34+1</f>
        <v>2045</v>
      </c>
    </row>
    <row r="37" spans="1:7" ht="15.75">
      <c r="A37" s="581"/>
      <c r="B37" s="571" t="e">
        <f t="shared" si="0"/>
        <v>#DIV/0!</v>
      </c>
      <c r="C37" s="571" t="e">
        <f>+C35</f>
        <v>#DIV/0!</v>
      </c>
      <c r="D37" s="571" t="e">
        <f>+D36</f>
        <v>#DIV/0!</v>
      </c>
      <c r="E37" s="571">
        <f>IF($B$4&gt;15,SUM(C36:D37),0)</f>
        <v>0</v>
      </c>
      <c r="F37" s="585">
        <f>+F36</f>
        <v>2045</v>
      </c>
    </row>
    <row r="38" spans="1:7" ht="15.75">
      <c r="A38" s="581">
        <v>17</v>
      </c>
      <c r="B38" s="582" t="e">
        <f t="shared" si="0"/>
        <v>#DIV/0!</v>
      </c>
      <c r="C38" s="582"/>
      <c r="D38" s="582" t="e">
        <f>+B38*$B$3*0.5</f>
        <v>#DIV/0!</v>
      </c>
      <c r="E38" s="583"/>
      <c r="F38" s="586">
        <f>+F36+1</f>
        <v>2046</v>
      </c>
    </row>
    <row r="39" spans="1:7" ht="15.75">
      <c r="A39" s="581"/>
      <c r="B39" s="571" t="e">
        <f t="shared" si="0"/>
        <v>#DIV/0!</v>
      </c>
      <c r="C39" s="571" t="e">
        <f t="shared" si="1"/>
        <v>#DIV/0!</v>
      </c>
      <c r="D39" s="571" t="e">
        <f>+D38</f>
        <v>#DIV/0!</v>
      </c>
      <c r="E39" s="571">
        <f>IF($B$4&gt;16,SUM(C38:D39),0)</f>
        <v>0</v>
      </c>
      <c r="F39" s="585">
        <f>+F38</f>
        <v>2046</v>
      </c>
    </row>
    <row r="40" spans="1:7" ht="15.75">
      <c r="A40" s="581">
        <v>18</v>
      </c>
      <c r="B40" s="582" t="e">
        <f t="shared" si="0"/>
        <v>#DIV/0!</v>
      </c>
      <c r="C40" s="582"/>
      <c r="D40" s="582" t="e">
        <f>+B40*$B$3*0.5</f>
        <v>#DIV/0!</v>
      </c>
      <c r="E40" s="583"/>
      <c r="F40" s="586">
        <f>+F38+1</f>
        <v>2047</v>
      </c>
    </row>
    <row r="41" spans="1:7" ht="15.75">
      <c r="A41" s="581"/>
      <c r="B41" s="571" t="e">
        <f t="shared" si="0"/>
        <v>#DIV/0!</v>
      </c>
      <c r="C41" s="571" t="e">
        <f t="shared" si="1"/>
        <v>#DIV/0!</v>
      </c>
      <c r="D41" s="571" t="e">
        <f>+D40</f>
        <v>#DIV/0!</v>
      </c>
      <c r="E41" s="571">
        <f>IF($B$4&gt;17,SUM(C40:D41),0)</f>
        <v>0</v>
      </c>
      <c r="F41" s="585">
        <f>+F40</f>
        <v>2047</v>
      </c>
    </row>
    <row r="42" spans="1:7" ht="15.75">
      <c r="A42" s="581">
        <v>19</v>
      </c>
      <c r="B42" s="582" t="e">
        <f t="shared" si="0"/>
        <v>#DIV/0!</v>
      </c>
      <c r="C42" s="582"/>
      <c r="D42" s="582" t="e">
        <f>+B42*$B$3*0.5</f>
        <v>#DIV/0!</v>
      </c>
      <c r="E42" s="583"/>
      <c r="F42" s="586">
        <f>+F40+1</f>
        <v>2048</v>
      </c>
    </row>
    <row r="43" spans="1:7" ht="15.75">
      <c r="A43" s="581"/>
      <c r="B43" s="571" t="e">
        <f t="shared" si="0"/>
        <v>#DIV/0!</v>
      </c>
      <c r="C43" s="571" t="e">
        <f t="shared" si="1"/>
        <v>#DIV/0!</v>
      </c>
      <c r="D43" s="571" t="e">
        <f>+D42</f>
        <v>#DIV/0!</v>
      </c>
      <c r="E43" s="571">
        <f>IF($B$4&gt;18,SUM(C42:D43),0)</f>
        <v>0</v>
      </c>
      <c r="F43" s="585">
        <f>+F42</f>
        <v>2048</v>
      </c>
    </row>
    <row r="44" spans="1:7" ht="15.75">
      <c r="A44" s="581">
        <v>20</v>
      </c>
      <c r="B44" s="582" t="e">
        <f t="shared" si="0"/>
        <v>#DIV/0!</v>
      </c>
      <c r="C44" s="582"/>
      <c r="D44" s="582" t="e">
        <f>+B44*$B$3*0.5</f>
        <v>#DIV/0!</v>
      </c>
      <c r="E44" s="583"/>
      <c r="F44" s="586">
        <f>+F42+1</f>
        <v>2049</v>
      </c>
    </row>
    <row r="45" spans="1:7" ht="15.75">
      <c r="A45" s="581"/>
      <c r="B45" s="571" t="e">
        <f>ROUND(B44-C44,0)</f>
        <v>#DIV/0!</v>
      </c>
      <c r="C45" s="571" t="e">
        <f>ROUND(C43,0)</f>
        <v>#DIV/0!</v>
      </c>
      <c r="D45" s="571" t="e">
        <f>+D44</f>
        <v>#DIV/0!</v>
      </c>
      <c r="E45" s="571">
        <f>IF($B$4&gt;19,SUM(C44:D45),0)</f>
        <v>0</v>
      </c>
      <c r="F45" s="585">
        <f>+F44</f>
        <v>2049</v>
      </c>
      <c r="G45" s="587"/>
    </row>
    <row r="46" spans="1:7" ht="15.75">
      <c r="A46" s="581">
        <v>21</v>
      </c>
      <c r="B46" s="582" t="e">
        <f t="shared" si="0"/>
        <v>#DIV/0!</v>
      </c>
      <c r="C46" s="582"/>
      <c r="D46" s="582" t="e">
        <f>+B46*$B$3*0.5</f>
        <v>#DIV/0!</v>
      </c>
      <c r="E46" s="583"/>
      <c r="F46" s="586">
        <f>+F44+1</f>
        <v>2050</v>
      </c>
    </row>
    <row r="47" spans="1:7" ht="15.75">
      <c r="A47" s="571"/>
      <c r="B47" s="571" t="e">
        <f t="shared" si="0"/>
        <v>#DIV/0!</v>
      </c>
      <c r="C47" s="571" t="e">
        <f>IF($B$4=20,0,+C45)</f>
        <v>#DIV/0!</v>
      </c>
      <c r="D47" s="571" t="e">
        <f>+D46</f>
        <v>#DIV/0!</v>
      </c>
      <c r="E47" s="571">
        <f>IF($B$4&gt;20,SUM(C46:D47),0)</f>
        <v>0</v>
      </c>
      <c r="F47" s="585">
        <f>+F46</f>
        <v>2050</v>
      </c>
    </row>
    <row r="48" spans="1:7" ht="15.75">
      <c r="A48" s="581">
        <v>22</v>
      </c>
      <c r="B48" s="582" t="e">
        <f t="shared" si="0"/>
        <v>#DIV/0!</v>
      </c>
      <c r="C48" s="582"/>
      <c r="D48" s="582" t="e">
        <f>+B48*$B$3*0.5</f>
        <v>#DIV/0!</v>
      </c>
      <c r="E48" s="583"/>
      <c r="F48" s="586">
        <f>+F46+1</f>
        <v>2051</v>
      </c>
    </row>
    <row r="49" spans="1:6" ht="15.75">
      <c r="A49" s="571"/>
      <c r="B49" s="571" t="e">
        <f t="shared" si="0"/>
        <v>#DIV/0!</v>
      </c>
      <c r="C49" s="571" t="e">
        <f>+C47</f>
        <v>#DIV/0!</v>
      </c>
      <c r="D49" s="571" t="e">
        <f>+D48</f>
        <v>#DIV/0!</v>
      </c>
      <c r="E49" s="571">
        <f>IF($B$4&gt;21,SUM(C48:D49),0)</f>
        <v>0</v>
      </c>
      <c r="F49" s="585">
        <f>+F48</f>
        <v>2051</v>
      </c>
    </row>
    <row r="50" spans="1:6" ht="15.75">
      <c r="A50" s="581">
        <v>23</v>
      </c>
      <c r="B50" s="582" t="e">
        <f t="shared" si="0"/>
        <v>#DIV/0!</v>
      </c>
      <c r="C50" s="582"/>
      <c r="D50" s="582" t="e">
        <f>+B50*$B$3*0.5</f>
        <v>#DIV/0!</v>
      </c>
      <c r="E50" s="583"/>
      <c r="F50" s="586">
        <f>+F48+1</f>
        <v>2052</v>
      </c>
    </row>
    <row r="51" spans="1:6" ht="15.75">
      <c r="A51" s="571"/>
      <c r="B51" s="571" t="e">
        <f t="shared" si="0"/>
        <v>#DIV/0!</v>
      </c>
      <c r="C51" s="571" t="e">
        <f>+C49</f>
        <v>#DIV/0!</v>
      </c>
      <c r="D51" s="571" t="e">
        <f>+D50</f>
        <v>#DIV/0!</v>
      </c>
      <c r="E51" s="571">
        <f>IF($B$4&gt;22,SUM(C50:D51),0)</f>
        <v>0</v>
      </c>
      <c r="F51" s="585">
        <f>+F50</f>
        <v>2052</v>
      </c>
    </row>
    <row r="52" spans="1:6" ht="15.75">
      <c r="A52" s="581">
        <v>24</v>
      </c>
      <c r="B52" s="582" t="e">
        <f t="shared" si="0"/>
        <v>#DIV/0!</v>
      </c>
      <c r="C52" s="582"/>
      <c r="D52" s="582" t="e">
        <f>+B52*$B$3*0.5</f>
        <v>#DIV/0!</v>
      </c>
      <c r="E52" s="583"/>
      <c r="F52" s="586">
        <f>+F50+1</f>
        <v>2053</v>
      </c>
    </row>
    <row r="53" spans="1:6" ht="15.75">
      <c r="A53" s="571"/>
      <c r="B53" s="571" t="e">
        <f t="shared" si="0"/>
        <v>#DIV/0!</v>
      </c>
      <c r="C53" s="571" t="e">
        <f>+C51</f>
        <v>#DIV/0!</v>
      </c>
      <c r="D53" s="571" t="e">
        <f>+D52</f>
        <v>#DIV/0!</v>
      </c>
      <c r="E53" s="571">
        <f>IF($B$4&gt;23,SUM(C52:D53),0)</f>
        <v>0</v>
      </c>
      <c r="F53" s="585">
        <f>+F52</f>
        <v>2053</v>
      </c>
    </row>
    <row r="54" spans="1:6" ht="15.75">
      <c r="A54" s="581">
        <v>25</v>
      </c>
      <c r="B54" s="582" t="e">
        <f t="shared" si="0"/>
        <v>#DIV/0!</v>
      </c>
      <c r="C54" s="582"/>
      <c r="D54" s="582" t="e">
        <f>+B54*$B$3*0.5</f>
        <v>#DIV/0!</v>
      </c>
      <c r="E54" s="583"/>
      <c r="F54" s="586">
        <f>+F52+1</f>
        <v>2054</v>
      </c>
    </row>
    <row r="55" spans="1:6" ht="15.75">
      <c r="A55" s="571"/>
      <c r="B55" s="571" t="e">
        <f t="shared" si="0"/>
        <v>#DIV/0!</v>
      </c>
      <c r="C55" s="571" t="e">
        <f>+C53</f>
        <v>#DIV/0!</v>
      </c>
      <c r="D55" s="571" t="e">
        <f>+D54</f>
        <v>#DIV/0!</v>
      </c>
      <c r="E55" s="571">
        <f>IF($B$4&gt;24,SUM(C54:D55),0)</f>
        <v>0</v>
      </c>
      <c r="F55" s="585">
        <f>+F54</f>
        <v>2054</v>
      </c>
    </row>
    <row r="56" spans="1:6" ht="15.75">
      <c r="A56" s="581">
        <v>26</v>
      </c>
      <c r="B56" s="582" t="e">
        <f t="shared" si="0"/>
        <v>#DIV/0!</v>
      </c>
      <c r="C56" s="582"/>
      <c r="D56" s="582" t="e">
        <f>+B56*$B$3*0.5</f>
        <v>#DIV/0!</v>
      </c>
      <c r="E56" s="583"/>
      <c r="F56" s="586">
        <f>+F54+1</f>
        <v>2055</v>
      </c>
    </row>
    <row r="57" spans="1:6" ht="15.75">
      <c r="A57" s="571"/>
      <c r="B57" s="571" t="e">
        <f t="shared" si="0"/>
        <v>#DIV/0!</v>
      </c>
      <c r="C57" s="571" t="e">
        <f>+C55</f>
        <v>#DIV/0!</v>
      </c>
      <c r="D57" s="571" t="e">
        <f>+D56</f>
        <v>#DIV/0!</v>
      </c>
      <c r="E57" s="571">
        <f>IF($B$4&gt;25,SUM(C56:D57),0)</f>
        <v>0</v>
      </c>
      <c r="F57" s="585">
        <f>+F56</f>
        <v>2055</v>
      </c>
    </row>
    <row r="58" spans="1:6" ht="15.75">
      <c r="A58" s="581">
        <v>27</v>
      </c>
      <c r="B58" s="582" t="e">
        <f>B57-C57</f>
        <v>#DIV/0!</v>
      </c>
      <c r="C58" s="582"/>
      <c r="D58" s="582" t="e">
        <f>+B58*$B$3*0.5</f>
        <v>#DIV/0!</v>
      </c>
      <c r="E58" s="583"/>
      <c r="F58" s="586">
        <f>+F56+1</f>
        <v>2056</v>
      </c>
    </row>
    <row r="59" spans="1:6" ht="15.75">
      <c r="A59" s="571"/>
      <c r="B59" s="571" t="e">
        <f t="shared" si="0"/>
        <v>#DIV/0!</v>
      </c>
      <c r="C59" s="571" t="e">
        <f>+C57</f>
        <v>#DIV/0!</v>
      </c>
      <c r="D59" s="571" t="e">
        <f>+D58</f>
        <v>#DIV/0!</v>
      </c>
      <c r="E59" s="571">
        <f>IF($B$4&gt;26,SUM(C58:D59),0)</f>
        <v>0</v>
      </c>
      <c r="F59" s="585">
        <f>+F58</f>
        <v>2056</v>
      </c>
    </row>
    <row r="60" spans="1:6" ht="15.75">
      <c r="A60" s="581">
        <v>28</v>
      </c>
      <c r="B60" s="582" t="e">
        <f t="shared" si="0"/>
        <v>#DIV/0!</v>
      </c>
      <c r="C60" s="582"/>
      <c r="D60" s="582" t="e">
        <f>+B60*$B$3*0.5</f>
        <v>#DIV/0!</v>
      </c>
      <c r="E60" s="583"/>
      <c r="F60" s="586">
        <f>+F58+1</f>
        <v>2057</v>
      </c>
    </row>
    <row r="61" spans="1:6" ht="15.75">
      <c r="A61" s="571"/>
      <c r="B61" s="571" t="e">
        <f t="shared" si="0"/>
        <v>#DIV/0!</v>
      </c>
      <c r="C61" s="571" t="e">
        <f>+C59</f>
        <v>#DIV/0!</v>
      </c>
      <c r="D61" s="571" t="e">
        <f>+D60</f>
        <v>#DIV/0!</v>
      </c>
      <c r="E61" s="571">
        <f>IF($B$4&gt;27,SUM(C60:D61),0)</f>
        <v>0</v>
      </c>
      <c r="F61" s="585">
        <f>+F60</f>
        <v>2057</v>
      </c>
    </row>
    <row r="62" spans="1:6" ht="15.75">
      <c r="A62" s="581">
        <v>29</v>
      </c>
      <c r="B62" s="582" t="e">
        <f t="shared" si="0"/>
        <v>#DIV/0!</v>
      </c>
      <c r="C62" s="582"/>
      <c r="D62" s="582" t="e">
        <f>+B62*$B$3*0.5</f>
        <v>#DIV/0!</v>
      </c>
      <c r="E62" s="583"/>
      <c r="F62" s="586">
        <f>+F60+1</f>
        <v>2058</v>
      </c>
    </row>
    <row r="63" spans="1:6" ht="15.75">
      <c r="A63" s="571"/>
      <c r="B63" s="571" t="e">
        <f t="shared" si="0"/>
        <v>#DIV/0!</v>
      </c>
      <c r="C63" s="571" t="e">
        <f>+C61</f>
        <v>#DIV/0!</v>
      </c>
      <c r="D63" s="571" t="e">
        <f>+D62</f>
        <v>#DIV/0!</v>
      </c>
      <c r="E63" s="571">
        <f>IF($B$4&gt;28,SUM(C62:D63),0)</f>
        <v>0</v>
      </c>
      <c r="F63" s="585">
        <f>+F62</f>
        <v>2058</v>
      </c>
    </row>
    <row r="64" spans="1:6" ht="15.75">
      <c r="A64" s="581">
        <v>30</v>
      </c>
      <c r="B64" s="582" t="e">
        <f>IF($B$4=29,0,B63-C63)</f>
        <v>#DIV/0!</v>
      </c>
      <c r="C64" s="582"/>
      <c r="D64" s="582" t="e">
        <f>+B64*$B$3*0.5</f>
        <v>#DIV/0!</v>
      </c>
      <c r="E64" s="583"/>
      <c r="F64" s="586">
        <f>+F62+1</f>
        <v>2059</v>
      </c>
    </row>
    <row r="65" spans="1:7" ht="15.75">
      <c r="A65" s="571"/>
      <c r="B65" s="571" t="e">
        <f>B64-C64</f>
        <v>#DIV/0!</v>
      </c>
      <c r="C65" s="571" t="e">
        <f>IF($B$4=29,0,C63)</f>
        <v>#DIV/0!</v>
      </c>
      <c r="D65" s="571" t="e">
        <f>+D64</f>
        <v>#DIV/0!</v>
      </c>
      <c r="E65" s="571">
        <f>IF($B$4&gt;29,SUM(C64:D65),0)</f>
        <v>0</v>
      </c>
      <c r="F65" s="585">
        <f>+F64</f>
        <v>2059</v>
      </c>
    </row>
    <row r="66" spans="1:7" ht="15.75">
      <c r="A66" s="581">
        <v>31</v>
      </c>
      <c r="B66" s="582" t="e">
        <f>B65-C65</f>
        <v>#DIV/0!</v>
      </c>
      <c r="C66" s="582"/>
      <c r="D66" s="582" t="e">
        <f>+B66*$B$3*0.5</f>
        <v>#DIV/0!</v>
      </c>
      <c r="E66" s="583"/>
      <c r="F66" s="586">
        <f>+F64+1</f>
        <v>2060</v>
      </c>
    </row>
    <row r="67" spans="1:7" ht="15.75">
      <c r="A67" s="571"/>
      <c r="B67" s="588" t="e">
        <f t="shared" si="0"/>
        <v>#DIV/0!</v>
      </c>
      <c r="C67" s="588"/>
      <c r="D67" s="588" t="e">
        <f>+D66</f>
        <v>#DIV/0!</v>
      </c>
      <c r="E67" s="588">
        <f>IF($B$4&gt;30,SUM(C66:D67),0)</f>
        <v>0</v>
      </c>
      <c r="F67" s="589">
        <f>+F66</f>
        <v>2060</v>
      </c>
      <c r="G67" s="590"/>
    </row>
    <row r="68" spans="1:7" ht="15.75">
      <c r="A68" s="571"/>
      <c r="B68" s="571"/>
      <c r="C68" s="570" t="e">
        <f>SUM(C6:C67)</f>
        <v>#DIV/0!</v>
      </c>
      <c r="D68" s="570" t="e">
        <f>SUM(D6:D67)</f>
        <v>#DIV/0!</v>
      </c>
      <c r="E68" s="598">
        <f>SUM(E26:E65)</f>
        <v>0</v>
      </c>
      <c r="F68" s="571"/>
    </row>
    <row r="69" spans="1:7" ht="15.75">
      <c r="A69" s="571"/>
      <c r="B69" s="571"/>
      <c r="C69" s="570"/>
      <c r="D69" s="570"/>
      <c r="E69" s="598"/>
      <c r="F69" s="571"/>
    </row>
    <row r="70" spans="1:7" ht="18.75">
      <c r="C70" s="599"/>
      <c r="D70" s="600" t="s">
        <v>718</v>
      </c>
      <c r="E70" s="601">
        <f>SUM(E12:E67)</f>
        <v>0</v>
      </c>
    </row>
    <row r="71" spans="1:7">
      <c r="D71" s="591"/>
      <c r="E71" s="592"/>
    </row>
  </sheetData>
  <sheetProtection algorithmName="SHA-512" hashValue="YNHcfPF/JimpvMkRMvFRX3pbvzW2Jq3ipbQNn5ChrYmgPBHYPB+FjvjTFtOULxygaiOAhwQ/JqzOdSG/Q1LYpg==" saltValue="Ma5/h1YVzEyfIS7hLIZotQ==" spinCount="100000" sheet="1" objects="1" scenarios="1"/>
  <printOptions headings="1" gridLines="1"/>
  <pageMargins left="0.7" right="0.7" top="0.75" bottom="0.75" header="0.3" footer="0.3"/>
  <pageSetup scale="79" orientation="portrait" r:id="rId1"/>
  <headerFooter>
    <oddHeader>&amp;L&amp;F&amp;RPage &amp;P of &amp;N</oddHeader>
    <oddFooter>&amp;L&amp;A&amp;R&amp;D &amp;T</oddFooter>
  </headerFooter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58"/>
  <sheetViews>
    <sheetView view="pageBreakPreview" zoomScale="65" zoomScaleNormal="75" zoomScaleSheetLayoutView="65" workbookViewId="0">
      <selection activeCell="N7" sqref="N7"/>
    </sheetView>
  </sheetViews>
  <sheetFormatPr defaultColWidth="8.7109375" defaultRowHeight="15"/>
  <cols>
    <col min="1" max="1" width="3.7109375" customWidth="1"/>
    <col min="2" max="2" width="99.28515625" customWidth="1"/>
    <col min="3" max="3" width="16.28515625" customWidth="1"/>
    <col min="4" max="13" width="15.7109375" customWidth="1"/>
    <col min="14" max="14" width="19.5703125" customWidth="1"/>
    <col min="15" max="15" width="3.7109375" customWidth="1"/>
  </cols>
  <sheetData>
    <row r="1" spans="1:15" ht="21.75" thickBot="1">
      <c r="A1" s="19"/>
      <c r="B1" s="745" t="s">
        <v>656</v>
      </c>
      <c r="C1" s="745"/>
      <c r="D1" s="745"/>
      <c r="E1" s="745"/>
      <c r="F1" s="745"/>
      <c r="G1" s="745"/>
      <c r="H1" s="745"/>
      <c r="I1" s="745"/>
      <c r="J1" s="745"/>
      <c r="K1" s="745"/>
      <c r="L1" s="745"/>
      <c r="M1" s="745"/>
      <c r="N1" s="745"/>
      <c r="O1" s="19"/>
    </row>
    <row r="2" spans="1:15" ht="22.15" customHeight="1" thickTop="1" thickBot="1">
      <c r="A2" s="19"/>
      <c r="B2" s="742" t="s">
        <v>520</v>
      </c>
      <c r="C2" s="743"/>
      <c r="D2" s="743"/>
      <c r="E2" s="743"/>
      <c r="F2" s="743"/>
      <c r="G2" s="743"/>
      <c r="H2" s="743"/>
      <c r="I2" s="743"/>
      <c r="J2" s="743"/>
      <c r="K2" s="743"/>
      <c r="L2" s="743"/>
      <c r="M2" s="743"/>
      <c r="N2" s="744"/>
      <c r="O2" s="19"/>
    </row>
    <row r="3" spans="1:15" ht="22.15" customHeight="1" thickTop="1">
      <c r="A3" s="19"/>
      <c r="B3" s="457" t="s">
        <v>651</v>
      </c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3"/>
      <c r="O3" s="19"/>
    </row>
    <row r="4" spans="1:15" ht="5.45" customHeight="1" thickBot="1">
      <c r="A4" s="19"/>
      <c r="B4" s="20"/>
      <c r="C4" s="21"/>
      <c r="D4" s="22"/>
      <c r="E4" s="23"/>
      <c r="F4" s="23"/>
      <c r="G4" s="23"/>
      <c r="H4" s="23"/>
      <c r="I4" s="23"/>
      <c r="J4" s="23"/>
      <c r="K4" s="23"/>
      <c r="L4" s="23"/>
      <c r="M4" s="23"/>
      <c r="N4" s="24"/>
      <c r="O4" s="19"/>
    </row>
    <row r="5" spans="1:15" ht="150.6" customHeight="1" thickBot="1">
      <c r="A5" s="19"/>
      <c r="B5" s="636" t="s">
        <v>736</v>
      </c>
      <c r="C5" s="26" t="s">
        <v>650</v>
      </c>
      <c r="D5" s="470"/>
      <c r="E5" s="462" t="s">
        <v>528</v>
      </c>
      <c r="F5" s="26" t="s">
        <v>529</v>
      </c>
      <c r="H5" s="394" t="s">
        <v>90</v>
      </c>
      <c r="I5" s="620" t="s">
        <v>91</v>
      </c>
      <c r="K5" s="394" t="s">
        <v>597</v>
      </c>
      <c r="L5" s="620" t="s">
        <v>91</v>
      </c>
      <c r="N5" s="621" t="s">
        <v>790</v>
      </c>
      <c r="O5" s="19"/>
    </row>
    <row r="6" spans="1:15" ht="17.25" thickTop="1" thickBot="1">
      <c r="A6" s="19"/>
      <c r="B6" s="25">
        <f>2023</f>
        <v>2023</v>
      </c>
      <c r="C6" s="667">
        <f>D$28</f>
        <v>0</v>
      </c>
      <c r="D6" s="471"/>
      <c r="E6" s="27">
        <f t="shared" ref="E6:E15" si="0">B6</f>
        <v>2023</v>
      </c>
      <c r="F6" s="654">
        <v>0.03</v>
      </c>
      <c r="H6" s="32">
        <f t="shared" ref="H6:H16" si="1">B6</f>
        <v>2023</v>
      </c>
      <c r="I6" s="672">
        <v>0</v>
      </c>
      <c r="K6" s="32">
        <f>E6</f>
        <v>2023</v>
      </c>
      <c r="L6" s="648">
        <v>2827048</v>
      </c>
      <c r="N6" s="637">
        <v>1</v>
      </c>
      <c r="O6" s="19"/>
    </row>
    <row r="7" spans="1:15" ht="17.25" thickTop="1" thickBot="1">
      <c r="A7" s="19"/>
      <c r="B7" s="28">
        <f>B6+1</f>
        <v>2024</v>
      </c>
      <c r="C7" s="668">
        <f>E$28</f>
        <v>12000000</v>
      </c>
      <c r="D7" s="471"/>
      <c r="E7" s="27">
        <f t="shared" si="0"/>
        <v>2024</v>
      </c>
      <c r="F7" s="655">
        <v>3.2500000000000001E-2</v>
      </c>
      <c r="H7" s="32">
        <f t="shared" si="1"/>
        <v>2024</v>
      </c>
      <c r="I7" s="673">
        <v>5500000</v>
      </c>
      <c r="K7" s="32">
        <f>E7</f>
        <v>2024</v>
      </c>
      <c r="L7" s="649">
        <v>0</v>
      </c>
      <c r="M7" s="23"/>
      <c r="N7" s="24"/>
      <c r="O7" s="19"/>
    </row>
    <row r="8" spans="1:15" ht="16.5" thickBot="1">
      <c r="A8" s="19"/>
      <c r="B8" s="28">
        <f t="shared" ref="B8:B15" si="2">B7+1</f>
        <v>2025</v>
      </c>
      <c r="C8" s="668">
        <f>F$28</f>
        <v>0</v>
      </c>
      <c r="D8" s="471"/>
      <c r="E8" s="27">
        <f t="shared" si="0"/>
        <v>2025</v>
      </c>
      <c r="F8" s="655">
        <v>3.2500000000000001E-2</v>
      </c>
      <c r="H8" s="32">
        <f t="shared" si="1"/>
        <v>2025</v>
      </c>
      <c r="I8" s="673">
        <v>0</v>
      </c>
      <c r="K8" s="32">
        <f>E8</f>
        <v>2025</v>
      </c>
      <c r="L8" s="649">
        <v>0</v>
      </c>
      <c r="M8" s="23"/>
      <c r="N8" s="751" t="s">
        <v>775</v>
      </c>
      <c r="O8" s="19"/>
    </row>
    <row r="9" spans="1:15" ht="16.5" thickBot="1">
      <c r="A9" s="19"/>
      <c r="B9" s="28">
        <f t="shared" si="2"/>
        <v>2026</v>
      </c>
      <c r="C9" s="668">
        <f>G$28</f>
        <v>150000000</v>
      </c>
      <c r="D9" s="471"/>
      <c r="E9" s="27">
        <f t="shared" si="0"/>
        <v>2026</v>
      </c>
      <c r="F9" s="655">
        <v>3.2500000000000001E-2</v>
      </c>
      <c r="H9" s="32">
        <f t="shared" si="1"/>
        <v>2026</v>
      </c>
      <c r="I9" s="673">
        <v>0</v>
      </c>
      <c r="K9" s="32">
        <f>E9</f>
        <v>2026</v>
      </c>
      <c r="L9" s="649">
        <v>0</v>
      </c>
      <c r="M9" s="23"/>
      <c r="N9" s="752"/>
      <c r="O9" s="19"/>
    </row>
    <row r="10" spans="1:15" ht="17.25" thickTop="1" thickBot="1">
      <c r="A10" s="19"/>
      <c r="B10" s="28">
        <f t="shared" si="2"/>
        <v>2027</v>
      </c>
      <c r="C10" s="668">
        <f>H$28</f>
        <v>10000000</v>
      </c>
      <c r="D10" s="471"/>
      <c r="E10" s="27">
        <f t="shared" si="0"/>
        <v>2027</v>
      </c>
      <c r="F10" s="655">
        <v>3.5000000000000003E-2</v>
      </c>
      <c r="H10" s="32">
        <f t="shared" si="1"/>
        <v>2027</v>
      </c>
      <c r="I10" s="673">
        <v>0</v>
      </c>
      <c r="K10" s="32">
        <f>E10</f>
        <v>2027</v>
      </c>
      <c r="L10" s="650">
        <v>0</v>
      </c>
      <c r="M10" s="23"/>
      <c r="N10" s="731">
        <f>Model!C97</f>
        <v>703600</v>
      </c>
      <c r="O10" s="19"/>
    </row>
    <row r="11" spans="1:15" ht="16.5" thickTop="1">
      <c r="A11" s="19"/>
      <c r="B11" s="28">
        <f t="shared" si="2"/>
        <v>2028</v>
      </c>
      <c r="C11" s="668">
        <f>I$28</f>
        <v>0</v>
      </c>
      <c r="D11" s="471"/>
      <c r="E11" s="27">
        <f t="shared" si="0"/>
        <v>2028</v>
      </c>
      <c r="F11" s="655">
        <v>3.5000000000000003E-2</v>
      </c>
      <c r="H11" s="32">
        <f t="shared" si="1"/>
        <v>2028</v>
      </c>
      <c r="I11" s="673">
        <v>0</v>
      </c>
      <c r="K11" s="27"/>
      <c r="L11" s="652"/>
      <c r="M11" s="23"/>
      <c r="N11" s="24"/>
      <c r="O11" s="19"/>
    </row>
    <row r="12" spans="1:15" ht="15.75">
      <c r="A12" s="19"/>
      <c r="B12" s="28">
        <f t="shared" si="2"/>
        <v>2029</v>
      </c>
      <c r="C12" s="668">
        <f>J$28</f>
        <v>0</v>
      </c>
      <c r="D12" s="471"/>
      <c r="E12" s="27">
        <f t="shared" si="0"/>
        <v>2029</v>
      </c>
      <c r="F12" s="655">
        <v>3.5000000000000003E-2</v>
      </c>
      <c r="H12" s="32">
        <f t="shared" si="1"/>
        <v>2029</v>
      </c>
      <c r="I12" s="673">
        <v>0</v>
      </c>
      <c r="K12" s="27"/>
      <c r="L12" s="652"/>
      <c r="M12" s="23"/>
      <c r="N12" s="24"/>
      <c r="O12" s="19"/>
    </row>
    <row r="13" spans="1:15" ht="15.75">
      <c r="A13" s="19"/>
      <c r="B13" s="28">
        <f t="shared" si="2"/>
        <v>2030</v>
      </c>
      <c r="C13" s="668">
        <f>K$28</f>
        <v>0</v>
      </c>
      <c r="D13" s="471"/>
      <c r="E13" s="27">
        <f t="shared" si="0"/>
        <v>2030</v>
      </c>
      <c r="F13" s="655">
        <v>3.7499999999999999E-2</v>
      </c>
      <c r="H13" s="32">
        <f t="shared" si="1"/>
        <v>2030</v>
      </c>
      <c r="I13" s="673">
        <v>0</v>
      </c>
      <c r="K13" s="27"/>
      <c r="L13" s="652"/>
      <c r="M13" s="23"/>
      <c r="N13" s="24"/>
      <c r="O13" s="19"/>
    </row>
    <row r="14" spans="1:15" ht="15.75">
      <c r="A14" s="19"/>
      <c r="B14" s="28">
        <f t="shared" si="2"/>
        <v>2031</v>
      </c>
      <c r="C14" s="668">
        <f>L$28</f>
        <v>0</v>
      </c>
      <c r="D14" s="471"/>
      <c r="E14" s="27">
        <f t="shared" si="0"/>
        <v>2031</v>
      </c>
      <c r="F14" s="655">
        <v>3.7499999999999999E-2</v>
      </c>
      <c r="H14" s="32">
        <f t="shared" si="1"/>
        <v>2031</v>
      </c>
      <c r="I14" s="673">
        <v>0</v>
      </c>
      <c r="K14" s="27"/>
      <c r="L14" s="652"/>
      <c r="M14" s="23"/>
      <c r="N14" s="24"/>
      <c r="O14" s="19"/>
    </row>
    <row r="15" spans="1:15" ht="16.5" thickBot="1">
      <c r="A15" s="19"/>
      <c r="B15" s="28">
        <f t="shared" si="2"/>
        <v>2032</v>
      </c>
      <c r="C15" s="669">
        <f>M$28</f>
        <v>0</v>
      </c>
      <c r="D15" s="471"/>
      <c r="E15" s="27">
        <f t="shared" si="0"/>
        <v>2032</v>
      </c>
      <c r="F15" s="656">
        <v>3.7499999999999999E-2</v>
      </c>
      <c r="H15" s="32">
        <f t="shared" si="1"/>
        <v>2032</v>
      </c>
      <c r="I15" s="674">
        <v>0</v>
      </c>
      <c r="K15" s="27"/>
      <c r="L15" s="653"/>
      <c r="M15" s="23"/>
      <c r="N15" s="24"/>
      <c r="O15" s="19"/>
    </row>
    <row r="16" spans="1:15" ht="16.149999999999999" customHeight="1" thickBot="1">
      <c r="A16" s="19"/>
      <c r="B16" s="28" t="s">
        <v>49</v>
      </c>
      <c r="C16" s="651">
        <f>SUM(C6:C15)</f>
        <v>172000000</v>
      </c>
      <c r="D16" s="31"/>
      <c r="H16" s="27" t="str">
        <f t="shared" si="1"/>
        <v>TOTAL</v>
      </c>
      <c r="I16" s="651">
        <f>SUM(I6:I15)</f>
        <v>5500000</v>
      </c>
      <c r="J16" s="19"/>
      <c r="K16" s="27" t="s">
        <v>49</v>
      </c>
      <c r="L16" s="651">
        <f>SUM(L6:L10)</f>
        <v>2827048</v>
      </c>
      <c r="M16" s="23"/>
      <c r="N16" s="24"/>
      <c r="O16" s="19"/>
    </row>
    <row r="17" spans="1:15" ht="16.5" customHeight="1">
      <c r="A17" s="19"/>
      <c r="B17" s="30"/>
      <c r="C17" s="31"/>
      <c r="D17" s="31"/>
      <c r="E17" s="32"/>
      <c r="F17" s="31"/>
      <c r="H17" s="29"/>
      <c r="I17" s="23"/>
      <c r="J17" s="19"/>
      <c r="K17" s="32"/>
      <c r="L17" s="31"/>
      <c r="M17" s="23"/>
      <c r="N17" s="24"/>
      <c r="O17" s="19"/>
    </row>
    <row r="18" spans="1:15" ht="22.15" customHeight="1">
      <c r="A18" s="19"/>
      <c r="B18" s="457" t="s">
        <v>652</v>
      </c>
      <c r="C18" s="246"/>
      <c r="D18" s="246"/>
      <c r="E18" s="246"/>
      <c r="F18" s="246"/>
      <c r="G18" s="246"/>
      <c r="H18" s="246"/>
      <c r="I18" s="246"/>
      <c r="J18" s="246"/>
      <c r="K18" s="246"/>
      <c r="L18" s="246"/>
      <c r="M18" s="246"/>
      <c r="N18" s="463"/>
      <c r="O18" s="19"/>
    </row>
    <row r="19" spans="1:15" ht="16.149999999999999" customHeight="1" thickBot="1">
      <c r="A19" s="19"/>
      <c r="B19" s="457"/>
      <c r="C19" s="246"/>
      <c r="D19" s="246"/>
      <c r="E19" s="246"/>
      <c r="F19" s="246"/>
      <c r="G19" s="246"/>
      <c r="H19" s="246"/>
      <c r="I19" s="246"/>
      <c r="J19" s="246"/>
      <c r="K19" s="246"/>
      <c r="L19" s="246"/>
      <c r="M19" s="246"/>
      <c r="N19" s="463"/>
      <c r="O19" s="19"/>
    </row>
    <row r="20" spans="1:15" ht="16.149999999999999" customHeight="1">
      <c r="A20" s="19"/>
      <c r="B20" s="458"/>
      <c r="C20" s="454" t="s">
        <v>47</v>
      </c>
      <c r="D20" s="455">
        <f>B6</f>
        <v>2023</v>
      </c>
      <c r="E20" s="456">
        <f>D20+1</f>
        <v>2024</v>
      </c>
      <c r="F20" s="456">
        <f t="shared" ref="F20:M20" si="3">E20+1</f>
        <v>2025</v>
      </c>
      <c r="G20" s="456">
        <f t="shared" si="3"/>
        <v>2026</v>
      </c>
      <c r="H20" s="456">
        <f t="shared" si="3"/>
        <v>2027</v>
      </c>
      <c r="I20" s="456">
        <f t="shared" si="3"/>
        <v>2028</v>
      </c>
      <c r="J20" s="456">
        <f t="shared" si="3"/>
        <v>2029</v>
      </c>
      <c r="K20" s="456">
        <f t="shared" si="3"/>
        <v>2030</v>
      </c>
      <c r="L20" s="456">
        <f t="shared" si="3"/>
        <v>2031</v>
      </c>
      <c r="M20" s="456">
        <f t="shared" si="3"/>
        <v>2032</v>
      </c>
      <c r="N20" s="464"/>
      <c r="O20" s="19"/>
    </row>
    <row r="21" spans="1:15" ht="48.6" customHeight="1" thickBot="1">
      <c r="A21" s="19"/>
      <c r="B21" s="613" t="s">
        <v>571</v>
      </c>
      <c r="C21" s="614"/>
      <c r="D21" s="615"/>
      <c r="E21" s="615"/>
      <c r="F21" s="615"/>
      <c r="G21" s="615"/>
      <c r="H21" s="615"/>
      <c r="I21" s="615"/>
      <c r="J21" s="615"/>
      <c r="K21" s="615"/>
      <c r="L21" s="615"/>
      <c r="M21" s="615"/>
      <c r="N21" s="465" t="s">
        <v>572</v>
      </c>
      <c r="O21" s="19"/>
    </row>
    <row r="22" spans="1:15" ht="16.149999999999999" customHeight="1" thickTop="1">
      <c r="A22" s="152">
        <v>1</v>
      </c>
      <c r="B22" s="736" t="s">
        <v>574</v>
      </c>
      <c r="C22" s="640"/>
      <c r="D22" s="729"/>
      <c r="E22" s="729"/>
      <c r="F22" s="729"/>
      <c r="G22" s="729">
        <v>50000000</v>
      </c>
      <c r="H22" s="729"/>
      <c r="I22" s="729"/>
      <c r="J22" s="729"/>
      <c r="K22" s="729"/>
      <c r="L22" s="729"/>
      <c r="M22" s="641"/>
      <c r="N22" s="466">
        <f>IF(SUM(D22:M22)&gt;0,SUM(D22:M22)," ")</f>
        <v>50000000</v>
      </c>
      <c r="O22" s="19"/>
    </row>
    <row r="23" spans="1:15" ht="16.149999999999999" customHeight="1">
      <c r="A23" s="152">
        <v>2</v>
      </c>
      <c r="B23" s="728" t="s">
        <v>779</v>
      </c>
      <c r="C23" s="642"/>
      <c r="D23" s="730"/>
      <c r="E23" s="730"/>
      <c r="F23" s="730"/>
      <c r="G23" s="730">
        <v>100000000</v>
      </c>
      <c r="H23" s="730"/>
      <c r="I23" s="730"/>
      <c r="J23" s="730"/>
      <c r="K23" s="730"/>
      <c r="L23" s="730"/>
      <c r="M23" s="643"/>
      <c r="N23" s="466">
        <f t="shared" ref="N23:N27" si="4">IF(SUM(D23:M23)&gt;0,SUM(D23:M23)," ")</f>
        <v>100000000</v>
      </c>
      <c r="O23" s="19"/>
    </row>
    <row r="24" spans="1:15" ht="16.149999999999999" customHeight="1">
      <c r="A24" s="152">
        <v>3</v>
      </c>
      <c r="B24" s="728" t="s">
        <v>776</v>
      </c>
      <c r="C24" s="642"/>
      <c r="D24" s="730"/>
      <c r="E24" s="730">
        <v>7000000</v>
      </c>
      <c r="F24" s="730"/>
      <c r="G24" s="730"/>
      <c r="H24" s="730"/>
      <c r="I24" s="730"/>
      <c r="J24" s="730"/>
      <c r="K24" s="730"/>
      <c r="L24" s="730"/>
      <c r="M24" s="643"/>
      <c r="N24" s="466">
        <f t="shared" si="4"/>
        <v>7000000</v>
      </c>
      <c r="O24" s="19"/>
    </row>
    <row r="25" spans="1:15" ht="16.149999999999999" customHeight="1">
      <c r="A25" s="152">
        <v>4</v>
      </c>
      <c r="B25" s="728" t="s">
        <v>777</v>
      </c>
      <c r="C25" s="642"/>
      <c r="D25" s="730"/>
      <c r="E25" s="730">
        <v>5000000</v>
      </c>
      <c r="F25" s="730"/>
      <c r="G25" s="730"/>
      <c r="H25" s="730"/>
      <c r="I25" s="730"/>
      <c r="J25" s="730"/>
      <c r="K25" s="730"/>
      <c r="L25" s="730"/>
      <c r="M25" s="643"/>
      <c r="N25" s="466">
        <f t="shared" si="4"/>
        <v>5000000</v>
      </c>
      <c r="O25" s="19"/>
    </row>
    <row r="26" spans="1:15" ht="16.149999999999999" customHeight="1">
      <c r="A26" s="152">
        <v>5</v>
      </c>
      <c r="B26" s="728" t="s">
        <v>778</v>
      </c>
      <c r="C26" s="642"/>
      <c r="D26" s="730"/>
      <c r="E26" s="730"/>
      <c r="F26" s="730"/>
      <c r="G26" s="730"/>
      <c r="H26" s="730">
        <v>10000000</v>
      </c>
      <c r="I26" s="730"/>
      <c r="J26" s="730"/>
      <c r="K26" s="730"/>
      <c r="L26" s="730"/>
      <c r="M26" s="643"/>
      <c r="N26" s="466">
        <f t="shared" si="4"/>
        <v>10000000</v>
      </c>
      <c r="O26" s="19"/>
    </row>
    <row r="27" spans="1:15" ht="16.149999999999999" customHeight="1" thickBot="1">
      <c r="A27" s="152">
        <v>27</v>
      </c>
      <c r="B27" s="644"/>
      <c r="C27" s="645"/>
      <c r="D27" s="646"/>
      <c r="E27" s="646"/>
      <c r="F27" s="646"/>
      <c r="G27" s="646"/>
      <c r="H27" s="646"/>
      <c r="I27" s="646"/>
      <c r="J27" s="646"/>
      <c r="K27" s="646"/>
      <c r="L27" s="646"/>
      <c r="M27" s="647"/>
      <c r="N27" s="466" t="str">
        <f t="shared" si="4"/>
        <v xml:space="preserve"> </v>
      </c>
      <c r="O27" s="19"/>
    </row>
    <row r="28" spans="1:15" ht="64.900000000000006" customHeight="1" thickTop="1" thickBot="1">
      <c r="A28" s="19"/>
      <c r="B28" s="616"/>
      <c r="C28" s="617" t="s">
        <v>573</v>
      </c>
      <c r="D28" s="618">
        <f t="shared" ref="D28:M28" si="5">SUM(D22:D27)</f>
        <v>0</v>
      </c>
      <c r="E28" s="618">
        <f t="shared" si="5"/>
        <v>12000000</v>
      </c>
      <c r="F28" s="618">
        <f t="shared" si="5"/>
        <v>0</v>
      </c>
      <c r="G28" s="618">
        <f t="shared" si="5"/>
        <v>150000000</v>
      </c>
      <c r="H28" s="618">
        <f t="shared" si="5"/>
        <v>10000000</v>
      </c>
      <c r="I28" s="618">
        <f t="shared" si="5"/>
        <v>0</v>
      </c>
      <c r="J28" s="618">
        <f t="shared" si="5"/>
        <v>0</v>
      </c>
      <c r="K28" s="618">
        <f t="shared" si="5"/>
        <v>0</v>
      </c>
      <c r="L28" s="618">
        <f t="shared" si="5"/>
        <v>0</v>
      </c>
      <c r="M28" s="619">
        <f t="shared" si="5"/>
        <v>0</v>
      </c>
      <c r="N28" s="608">
        <f>SUM(D28:M28)</f>
        <v>172000000</v>
      </c>
      <c r="O28" s="19"/>
    </row>
    <row r="29" spans="1:15" ht="16.149999999999999" customHeight="1" thickTop="1">
      <c r="A29" s="19"/>
      <c r="B29" s="722"/>
      <c r="C29" s="566"/>
      <c r="D29" s="567"/>
      <c r="E29" s="567"/>
      <c r="F29" s="567"/>
      <c r="G29" s="567"/>
      <c r="H29" s="567"/>
      <c r="I29" s="567"/>
      <c r="J29" s="567"/>
      <c r="K29" s="567"/>
      <c r="L29" s="567"/>
      <c r="M29" s="567"/>
      <c r="N29" s="723"/>
      <c r="O29" s="19"/>
    </row>
    <row r="30" spans="1:15" ht="16.149999999999999" customHeight="1" thickBot="1">
      <c r="A30" s="19"/>
      <c r="B30" s="568" t="s">
        <v>713</v>
      </c>
      <c r="C30" s="566"/>
      <c r="D30" s="750" t="s">
        <v>772</v>
      </c>
      <c r="E30" s="750"/>
      <c r="F30" s="750"/>
      <c r="G30" s="750"/>
      <c r="H30" s="750"/>
      <c r="I30" s="750"/>
      <c r="J30" s="750"/>
      <c r="K30" s="750"/>
      <c r="L30" s="750"/>
      <c r="M30" s="750"/>
      <c r="N30" s="607"/>
      <c r="O30" s="19"/>
    </row>
    <row r="31" spans="1:15" ht="16.149999999999999" customHeight="1" thickTop="1">
      <c r="A31" s="19"/>
      <c r="B31" s="569" t="s">
        <v>737</v>
      </c>
      <c r="C31" s="659"/>
      <c r="D31" s="657"/>
      <c r="E31" s="622"/>
      <c r="F31" s="622"/>
      <c r="G31" s="622"/>
      <c r="H31" s="622"/>
      <c r="I31" s="622"/>
      <c r="J31" s="622"/>
      <c r="K31" s="622"/>
      <c r="L31" s="622"/>
      <c r="M31" s="623"/>
      <c r="N31" s="607"/>
      <c r="O31" s="19"/>
    </row>
    <row r="32" spans="1:15" ht="4.9000000000000004" customHeight="1">
      <c r="A32" s="19"/>
      <c r="B32" s="569"/>
      <c r="C32" s="659"/>
      <c r="D32" s="725"/>
      <c r="E32" s="726"/>
      <c r="F32" s="726"/>
      <c r="G32" s="726"/>
      <c r="H32" s="726"/>
      <c r="I32" s="726"/>
      <c r="J32" s="726"/>
      <c r="K32" s="726"/>
      <c r="L32" s="726"/>
      <c r="M32" s="727"/>
      <c r="N32" s="607"/>
      <c r="O32" s="19"/>
    </row>
    <row r="33" spans="1:15" ht="16.149999999999999" customHeight="1" thickBot="1">
      <c r="A33" s="19"/>
      <c r="B33" s="569" t="s">
        <v>738</v>
      </c>
      <c r="C33" s="660"/>
      <c r="D33" s="658">
        <v>30</v>
      </c>
      <c r="E33" s="638">
        <v>20</v>
      </c>
      <c r="F33" s="638">
        <v>30</v>
      </c>
      <c r="G33" s="638">
        <v>30</v>
      </c>
      <c r="H33" s="638">
        <v>30</v>
      </c>
      <c r="I33" s="638">
        <v>30</v>
      </c>
      <c r="J33" s="638">
        <v>30</v>
      </c>
      <c r="K33" s="638">
        <v>30</v>
      </c>
      <c r="L33" s="638">
        <v>30</v>
      </c>
      <c r="M33" s="639">
        <v>30</v>
      </c>
      <c r="N33" s="609"/>
      <c r="O33" s="19"/>
    </row>
    <row r="34" spans="1:15" ht="64.900000000000006" customHeight="1" thickTop="1">
      <c r="A34" s="19"/>
      <c r="B34" s="459"/>
      <c r="C34" s="33"/>
      <c r="D34" s="247"/>
      <c r="E34" s="247"/>
      <c r="F34" s="247"/>
      <c r="G34" s="247"/>
      <c r="H34" s="247"/>
      <c r="I34" s="247"/>
      <c r="J34" s="247"/>
      <c r="K34" s="247"/>
      <c r="L34" s="247"/>
      <c r="M34" s="247"/>
      <c r="N34" s="610" t="s">
        <v>739</v>
      </c>
      <c r="O34" s="19"/>
    </row>
    <row r="35" spans="1:15" ht="16.149999999999999" customHeight="1" thickBot="1">
      <c r="A35" s="19"/>
      <c r="B35" s="459"/>
      <c r="C35" s="33"/>
      <c r="D35" s="247"/>
      <c r="E35" s="247"/>
      <c r="F35" s="247"/>
      <c r="G35" s="247"/>
      <c r="H35" s="247"/>
      <c r="I35" s="247"/>
      <c r="J35" s="247"/>
      <c r="K35" s="247"/>
      <c r="L35" s="247"/>
      <c r="M35" s="247"/>
      <c r="N35" s="611">
        <f>SUM(N22:N27)</f>
        <v>172000000</v>
      </c>
      <c r="O35" s="19"/>
    </row>
    <row r="36" spans="1:15" ht="16.149999999999999" customHeight="1" thickTop="1" thickBot="1">
      <c r="A36" s="19"/>
      <c r="B36" s="459"/>
      <c r="C36" s="33"/>
      <c r="D36" s="247"/>
      <c r="E36" s="247"/>
      <c r="F36" s="247"/>
      <c r="G36" s="247"/>
      <c r="H36" s="247"/>
      <c r="I36" s="247"/>
      <c r="J36" s="247"/>
      <c r="K36" s="247"/>
      <c r="L36" s="247"/>
      <c r="M36" s="247"/>
      <c r="N36" s="661"/>
      <c r="O36" s="19"/>
    </row>
    <row r="37" spans="1:15" ht="64.900000000000006" customHeight="1" thickTop="1">
      <c r="A37" s="19"/>
      <c r="B37" s="459"/>
      <c r="C37" s="33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610" t="s">
        <v>743</v>
      </c>
      <c r="O37" s="19"/>
    </row>
    <row r="38" spans="1:15" ht="16.149999999999999" customHeight="1" thickBot="1">
      <c r="A38" s="19"/>
      <c r="B38" s="460"/>
      <c r="C38" s="474"/>
      <c r="D38" s="248"/>
      <c r="E38" s="248"/>
      <c r="F38" s="248"/>
      <c r="G38" s="248"/>
      <c r="H38" s="248"/>
      <c r="I38" s="248"/>
      <c r="J38" s="248"/>
      <c r="K38" s="248"/>
      <c r="L38" s="248"/>
      <c r="M38" s="248"/>
      <c r="N38" s="611">
        <f>Model!N39</f>
        <v>261352695.6999999</v>
      </c>
      <c r="O38" s="19"/>
    </row>
    <row r="39" spans="1:15" ht="16.149999999999999" customHeight="1">
      <c r="A39" s="19"/>
      <c r="B39" s="30"/>
      <c r="C39" s="31"/>
      <c r="D39" s="31"/>
      <c r="E39" s="32"/>
      <c r="F39" s="31"/>
      <c r="H39" s="29"/>
      <c r="I39" s="23"/>
      <c r="J39" s="19"/>
      <c r="K39" s="32"/>
      <c r="L39" s="31"/>
      <c r="M39" s="23"/>
      <c r="N39" s="24"/>
      <c r="O39" s="19"/>
    </row>
    <row r="40" spans="1:15" ht="22.15" customHeight="1">
      <c r="A40" s="19"/>
      <c r="B40" s="457" t="s">
        <v>653</v>
      </c>
      <c r="C40" s="31"/>
      <c r="D40" s="31"/>
      <c r="E40" s="32"/>
      <c r="F40" s="31"/>
      <c r="H40" s="29"/>
      <c r="I40" s="23"/>
      <c r="J40" s="19"/>
      <c r="K40" s="32"/>
      <c r="L40" s="31"/>
      <c r="M40" s="23"/>
      <c r="N40" s="24"/>
      <c r="O40" s="19"/>
    </row>
    <row r="41" spans="1:15" ht="16.149999999999999" customHeight="1">
      <c r="A41" s="19"/>
      <c r="B41" s="457"/>
      <c r="C41" s="31"/>
      <c r="D41" s="31"/>
      <c r="E41" s="32"/>
      <c r="F41" s="31"/>
      <c r="H41" s="29"/>
      <c r="I41" s="23"/>
      <c r="J41" s="19"/>
      <c r="K41" s="32"/>
      <c r="L41" s="31"/>
      <c r="M41" s="23"/>
      <c r="N41" s="24"/>
      <c r="O41" s="19"/>
    </row>
    <row r="42" spans="1:15" ht="16.149999999999999" customHeight="1" thickBot="1">
      <c r="A42" s="19"/>
      <c r="B42" s="475"/>
      <c r="C42" s="476" t="s">
        <v>47</v>
      </c>
      <c r="D42" s="625">
        <f>D20</f>
        <v>2023</v>
      </c>
      <c r="E42" s="626">
        <f>D42+1</f>
        <v>2024</v>
      </c>
      <c r="F42" s="626">
        <f t="shared" ref="F42" si="6">E42+1</f>
        <v>2025</v>
      </c>
      <c r="G42" s="626">
        <f t="shared" ref="G42" si="7">F42+1</f>
        <v>2026</v>
      </c>
      <c r="H42" s="626">
        <f t="shared" ref="H42" si="8">G42+1</f>
        <v>2027</v>
      </c>
      <c r="I42" s="23"/>
      <c r="J42" s="19"/>
      <c r="K42" s="32"/>
      <c r="L42" s="31"/>
      <c r="M42" s="23"/>
      <c r="N42" s="24"/>
      <c r="O42" s="19"/>
    </row>
    <row r="43" spans="1:15" ht="16.149999999999999" customHeight="1" thickTop="1">
      <c r="A43" s="19"/>
      <c r="B43" s="461" t="s">
        <v>646</v>
      </c>
      <c r="C43" s="624"/>
      <c r="D43" s="627">
        <v>2.67015E-2</v>
      </c>
      <c r="E43" s="628">
        <v>4.6776900000000003E-2</v>
      </c>
      <c r="F43" s="629">
        <v>3.5000000000000003E-2</v>
      </c>
      <c r="G43" s="630">
        <v>3.5000000000000003E-2</v>
      </c>
      <c r="H43" s="631">
        <v>3.5000000000000003E-2</v>
      </c>
      <c r="I43" s="23"/>
      <c r="J43" s="19"/>
      <c r="K43" s="32"/>
      <c r="L43" s="31"/>
      <c r="M43" s="23"/>
      <c r="N43" s="24"/>
      <c r="O43" s="19"/>
    </row>
    <row r="44" spans="1:15" ht="16.149999999999999" customHeight="1" thickBot="1">
      <c r="A44" s="19"/>
      <c r="B44" s="461" t="s">
        <v>647</v>
      </c>
      <c r="C44" s="624"/>
      <c r="D44" s="632">
        <v>5.5710000000000004E-4</v>
      </c>
      <c r="E44" s="633">
        <v>3.5000000000000003E-2</v>
      </c>
      <c r="F44" s="633">
        <v>3.5000000000000003E-2</v>
      </c>
      <c r="G44" s="634">
        <v>3.5000000000000003E-2</v>
      </c>
      <c r="H44" s="635">
        <v>3.5000000000000003E-2</v>
      </c>
      <c r="I44" s="23"/>
      <c r="J44" s="19"/>
      <c r="K44" s="32"/>
      <c r="L44" s="31"/>
      <c r="M44" s="23"/>
      <c r="N44" s="24"/>
      <c r="O44" s="19"/>
    </row>
    <row r="45" spans="1:15" ht="16.149999999999999" customHeight="1" thickTop="1">
      <c r="A45" s="19"/>
      <c r="B45" s="30"/>
      <c r="C45" s="31"/>
      <c r="D45" s="31"/>
      <c r="E45" s="32"/>
      <c r="F45" s="31"/>
      <c r="H45" s="29"/>
      <c r="I45" s="23"/>
      <c r="J45" s="19"/>
      <c r="K45" s="32"/>
      <c r="L45" s="31"/>
      <c r="M45" s="23"/>
      <c r="N45" s="24"/>
      <c r="O45" s="19"/>
    </row>
    <row r="46" spans="1:15" ht="15.95" customHeight="1">
      <c r="A46" s="19"/>
      <c r="B46" s="30"/>
      <c r="C46" s="31"/>
      <c r="D46" s="31"/>
      <c r="E46" s="23"/>
      <c r="F46" s="23"/>
      <c r="G46" s="32"/>
      <c r="H46" s="29"/>
      <c r="I46" s="23"/>
      <c r="J46" s="23"/>
      <c r="K46" s="32"/>
      <c r="L46" s="31"/>
      <c r="M46" s="23"/>
      <c r="N46" s="24"/>
      <c r="O46" s="19"/>
    </row>
    <row r="47" spans="1:15" ht="15.95" customHeight="1">
      <c r="A47" s="19"/>
      <c r="B47" s="46"/>
      <c r="C47" s="31"/>
      <c r="D47" s="31"/>
      <c r="E47" s="23"/>
      <c r="F47" s="23"/>
      <c r="G47" s="32"/>
      <c r="H47" s="29"/>
      <c r="I47" s="23"/>
      <c r="J47" s="23"/>
      <c r="K47" s="32"/>
      <c r="L47" s="31"/>
      <c r="M47" s="23"/>
      <c r="N47" s="23"/>
      <c r="O47" s="19"/>
    </row>
    <row r="48" spans="1:15" ht="16.5" customHeight="1" thickBot="1">
      <c r="A48" s="19"/>
      <c r="B48" s="748" t="str">
        <f>B1</f>
        <v>FINANCIAL PLANNING MODEL OF POTENTIAL EXCLUDED DEBT BORROWING, OPERATING OVERRIDE(S), FUND BALANCE USE, AND TOWN BUDGET SURPLUS/DEFICITS</v>
      </c>
      <c r="C48" s="748"/>
      <c r="D48" s="748"/>
      <c r="E48" s="748"/>
      <c r="F48" s="748"/>
      <c r="G48" s="748"/>
      <c r="H48" s="748"/>
      <c r="I48" s="748"/>
      <c r="J48" s="748"/>
      <c r="K48" s="748"/>
      <c r="L48" s="748"/>
      <c r="M48" s="748"/>
      <c r="N48" s="748"/>
      <c r="O48" s="19"/>
    </row>
    <row r="49" spans="1:15" ht="22.15" customHeight="1" thickTop="1" thickBot="1">
      <c r="A49" s="19"/>
      <c r="B49" s="742" t="s">
        <v>521</v>
      </c>
      <c r="C49" s="743"/>
      <c r="D49" s="743"/>
      <c r="E49" s="743"/>
      <c r="F49" s="743"/>
      <c r="G49" s="743"/>
      <c r="H49" s="743"/>
      <c r="I49" s="743"/>
      <c r="J49" s="743"/>
      <c r="K49" s="743"/>
      <c r="L49" s="743"/>
      <c r="M49" s="743"/>
      <c r="N49" s="744"/>
      <c r="O49" s="19"/>
    </row>
    <row r="50" spans="1:15" ht="79.150000000000006" customHeight="1" thickTop="1" thickBot="1">
      <c r="A50" s="19"/>
      <c r="B50" s="694" t="s">
        <v>525</v>
      </c>
      <c r="C50" s="695" t="s">
        <v>566</v>
      </c>
      <c r="D50" s="695" t="s">
        <v>523</v>
      </c>
      <c r="E50" s="695" t="s">
        <v>524</v>
      </c>
      <c r="F50" s="695" t="s">
        <v>567</v>
      </c>
      <c r="G50" s="695" t="s">
        <v>568</v>
      </c>
      <c r="H50" s="695" t="s">
        <v>569</v>
      </c>
      <c r="I50" s="704" t="s">
        <v>570</v>
      </c>
      <c r="J50" s="746" t="s">
        <v>668</v>
      </c>
      <c r="K50" s="747"/>
      <c r="L50" s="747"/>
      <c r="M50" s="23"/>
      <c r="N50" s="709" t="s">
        <v>555</v>
      </c>
      <c r="O50" s="19"/>
    </row>
    <row r="51" spans="1:15" ht="16.5" thickBot="1">
      <c r="A51" s="19"/>
      <c r="B51" s="30"/>
      <c r="C51" s="23"/>
      <c r="D51" s="31"/>
      <c r="E51" s="33"/>
      <c r="F51" s="23"/>
      <c r="G51" s="23"/>
      <c r="H51" s="23"/>
      <c r="I51" s="705"/>
      <c r="J51" s="23"/>
      <c r="K51" s="246"/>
      <c r="L51" s="23"/>
      <c r="M51" s="23"/>
      <c r="N51" s="711"/>
      <c r="O51" s="19"/>
    </row>
    <row r="52" spans="1:15" ht="16.5" thickBot="1">
      <c r="A52" s="19"/>
      <c r="B52" s="30" t="s">
        <v>789</v>
      </c>
      <c r="C52" s="31">
        <f>N62</f>
        <v>2097.5415049329767</v>
      </c>
      <c r="D52" s="31">
        <f>C52/10</f>
        <v>209.75415049329769</v>
      </c>
      <c r="E52" s="34">
        <f>D52/C62</f>
        <v>2.4943065590782763E-2</v>
      </c>
      <c r="F52" s="35">
        <f>H62-C62</f>
        <v>957.96746024069034</v>
      </c>
      <c r="G52" s="35">
        <f>F52/5</f>
        <v>191.59349204813807</v>
      </c>
      <c r="H52" s="35">
        <f>M62-H62</f>
        <v>1139.5740446922864</v>
      </c>
      <c r="I52" s="45">
        <f>H52/5</f>
        <v>227.91480893845727</v>
      </c>
      <c r="J52" s="23"/>
      <c r="K52" s="246"/>
      <c r="L52" s="36"/>
      <c r="M52" s="23"/>
      <c r="N52" s="712">
        <f>Model!O37</f>
        <v>197431802.48999989</v>
      </c>
      <c r="O52" s="19"/>
    </row>
    <row r="53" spans="1:15" ht="46.9" customHeight="1" thickBot="1">
      <c r="A53" s="19"/>
      <c r="B53" s="30"/>
      <c r="C53" s="31"/>
      <c r="D53" s="31"/>
      <c r="E53" s="34"/>
      <c r="F53" s="35"/>
      <c r="G53" s="35"/>
      <c r="H53" s="35"/>
      <c r="I53" s="45"/>
      <c r="J53" s="23"/>
      <c r="K53" s="246"/>
      <c r="L53" s="36"/>
      <c r="M53" s="23"/>
      <c r="N53" s="749" t="s">
        <v>771</v>
      </c>
      <c r="O53" s="19"/>
    </row>
    <row r="54" spans="1:15" ht="16.5" thickBot="1">
      <c r="A54" s="19"/>
      <c r="B54" s="696" t="s">
        <v>545</v>
      </c>
      <c r="C54" s="203">
        <f>N64</f>
        <v>5495.4057768271377</v>
      </c>
      <c r="D54" s="203">
        <f>C54/10</f>
        <v>549.54057768271377</v>
      </c>
      <c r="E54" s="204">
        <f>D54/C62</f>
        <v>6.5349012840509063E-2</v>
      </c>
      <c r="F54" s="205">
        <f>SUM(D64:H64)</f>
        <v>1654.3766542124704</v>
      </c>
      <c r="G54" s="205">
        <f>F54/5</f>
        <v>330.87533084249407</v>
      </c>
      <c r="H54" s="205">
        <f>SUM(I64:M64)</f>
        <v>3841.0291226146674</v>
      </c>
      <c r="I54" s="706">
        <f>H54/5</f>
        <v>768.20582452293343</v>
      </c>
      <c r="J54" s="23"/>
      <c r="K54" s="246"/>
      <c r="L54" s="37"/>
      <c r="M54" s="23"/>
      <c r="N54" s="749"/>
      <c r="O54" s="19"/>
    </row>
    <row r="55" spans="1:15" ht="15.6" customHeight="1" thickBot="1">
      <c r="A55" s="19"/>
      <c r="B55" s="30"/>
      <c r="C55" s="31"/>
      <c r="D55" s="31"/>
      <c r="E55" s="34"/>
      <c r="F55" s="35"/>
      <c r="G55" s="35"/>
      <c r="H55" s="35"/>
      <c r="I55" s="45"/>
      <c r="J55" s="23"/>
      <c r="K55" s="246"/>
      <c r="L55" s="37"/>
      <c r="M55" s="201"/>
      <c r="N55" s="749"/>
      <c r="O55" s="19"/>
    </row>
    <row r="56" spans="1:15" ht="16.5" thickBot="1">
      <c r="A56" s="19"/>
      <c r="B56" s="697" t="s">
        <v>546</v>
      </c>
      <c r="C56" s="670">
        <f>N66</f>
        <v>4722.412772789472</v>
      </c>
      <c r="D56" s="670">
        <f>C56/10</f>
        <v>472.24127727894722</v>
      </c>
      <c r="E56" s="698">
        <f>D56/C62</f>
        <v>5.6156910965250204E-2</v>
      </c>
      <c r="F56" s="671">
        <f>SUM(D66:H66)</f>
        <v>1992.587450432</v>
      </c>
      <c r="G56" s="671">
        <f>F56/5</f>
        <v>398.51749008640002</v>
      </c>
      <c r="H56" s="671">
        <f>SUM(I66:M66)</f>
        <v>2729.825322357472</v>
      </c>
      <c r="I56" s="707">
        <f>H56/5</f>
        <v>545.96506447149443</v>
      </c>
      <c r="J56" s="23"/>
      <c r="K56" s="246"/>
      <c r="L56" s="37"/>
      <c r="M56" s="23"/>
      <c r="N56" s="749"/>
      <c r="O56" s="19"/>
    </row>
    <row r="57" spans="1:15" ht="16.5" thickBot="1">
      <c r="A57" s="19"/>
      <c r="B57" s="30"/>
      <c r="C57" s="31"/>
      <c r="D57" s="31"/>
      <c r="E57" s="34"/>
      <c r="F57" s="35"/>
      <c r="G57" s="35"/>
      <c r="H57" s="35"/>
      <c r="I57" s="45"/>
      <c r="J57" s="23"/>
      <c r="K57" s="246"/>
      <c r="L57" s="37"/>
      <c r="M57" s="23"/>
      <c r="N57" s="713"/>
      <c r="O57" s="19"/>
    </row>
    <row r="58" spans="1:15" ht="16.5" thickBot="1">
      <c r="A58" s="19"/>
      <c r="B58" s="699" t="s">
        <v>552</v>
      </c>
      <c r="C58" s="700">
        <f>N110</f>
        <v>12315.360054549586</v>
      </c>
      <c r="D58" s="700">
        <f>C58/10</f>
        <v>1231.5360054549587</v>
      </c>
      <c r="E58" s="701">
        <f>D58/C62</f>
        <v>0.14644898939654202</v>
      </c>
      <c r="F58" s="702">
        <f>SUM(D110:H110)</f>
        <v>4604.9315648851607</v>
      </c>
      <c r="G58" s="703">
        <f>F58/5</f>
        <v>920.98631297703218</v>
      </c>
      <c r="H58" s="700">
        <f>SUM(I110:M110)</f>
        <v>7710.4284896644258</v>
      </c>
      <c r="I58" s="708">
        <f>H58/5</f>
        <v>1542.0856979328851</v>
      </c>
      <c r="J58" s="23"/>
      <c r="K58" s="246"/>
      <c r="L58" s="31"/>
      <c r="M58" s="23"/>
      <c r="N58" s="710">
        <f>Model!O41</f>
        <v>16524.397368189591</v>
      </c>
      <c r="O58" s="19"/>
    </row>
    <row r="59" spans="1:15" ht="17.25" thickTop="1" thickBot="1">
      <c r="A59" s="19"/>
      <c r="B59" s="30"/>
      <c r="C59" s="31"/>
      <c r="D59" s="31"/>
      <c r="E59" s="34"/>
      <c r="F59" s="38"/>
      <c r="G59" s="39"/>
      <c r="H59" s="31"/>
      <c r="I59" s="38"/>
      <c r="J59" s="23"/>
      <c r="K59" s="32"/>
      <c r="L59" s="31"/>
      <c r="M59" s="23"/>
      <c r="N59" s="24"/>
      <c r="O59" s="19"/>
    </row>
    <row r="60" spans="1:15" ht="18.600000000000001" customHeight="1" thickTop="1" thickBot="1">
      <c r="A60" s="19"/>
      <c r="B60" s="714" t="s">
        <v>47</v>
      </c>
      <c r="C60" s="715">
        <f>2022</f>
        <v>2022</v>
      </c>
      <c r="D60" s="716">
        <f>C60+1</f>
        <v>2023</v>
      </c>
      <c r="E60" s="716">
        <f t="shared" ref="E60:M60" si="9">D60+1</f>
        <v>2024</v>
      </c>
      <c r="F60" s="716">
        <f t="shared" si="9"/>
        <v>2025</v>
      </c>
      <c r="G60" s="716">
        <f t="shared" si="9"/>
        <v>2026</v>
      </c>
      <c r="H60" s="716">
        <f t="shared" si="9"/>
        <v>2027</v>
      </c>
      <c r="I60" s="716">
        <f t="shared" si="9"/>
        <v>2028</v>
      </c>
      <c r="J60" s="716">
        <f t="shared" si="9"/>
        <v>2029</v>
      </c>
      <c r="K60" s="716">
        <f t="shared" si="9"/>
        <v>2030</v>
      </c>
      <c r="L60" s="716">
        <f t="shared" si="9"/>
        <v>2031</v>
      </c>
      <c r="M60" s="716">
        <f t="shared" si="9"/>
        <v>2032</v>
      </c>
      <c r="N60" s="717" t="s">
        <v>512</v>
      </c>
      <c r="O60" s="19"/>
    </row>
    <row r="61" spans="1:15" ht="15.75">
      <c r="A61" s="19"/>
      <c r="B61" s="30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4"/>
      <c r="O61" s="19"/>
    </row>
    <row r="62" spans="1:15" ht="15.75">
      <c r="A62" s="19"/>
      <c r="B62" s="30" t="s">
        <v>789</v>
      </c>
      <c r="C62" s="44">
        <f t="shared" ref="C62:M62" si="10">C87</f>
        <v>8409.3172000000013</v>
      </c>
      <c r="D62" s="31">
        <f t="shared" si="10"/>
        <v>8482.9247894927357</v>
      </c>
      <c r="E62" s="31">
        <f t="shared" si="10"/>
        <v>8696.0161579503929</v>
      </c>
      <c r="F62" s="31">
        <f t="shared" si="10"/>
        <v>8914.9142232295508</v>
      </c>
      <c r="G62" s="31">
        <f t="shared" si="10"/>
        <v>9139.0495572050149</v>
      </c>
      <c r="H62" s="31">
        <f t="shared" si="10"/>
        <v>9367.2846602406917</v>
      </c>
      <c r="I62" s="31">
        <f t="shared" si="10"/>
        <v>9594.2624161267086</v>
      </c>
      <c r="J62" s="31">
        <f t="shared" si="10"/>
        <v>9757.1572704949231</v>
      </c>
      <c r="K62" s="31">
        <f t="shared" si="10"/>
        <v>9994.9518006083345</v>
      </c>
      <c r="L62" s="31">
        <f t="shared" si="10"/>
        <v>10248.436378189162</v>
      </c>
      <c r="M62" s="31">
        <f t="shared" si="10"/>
        <v>10506.858704932978</v>
      </c>
      <c r="N62" s="45">
        <f>M62-C62</f>
        <v>2097.5415049329767</v>
      </c>
      <c r="O62" s="19"/>
    </row>
    <row r="63" spans="1:15" ht="15.75">
      <c r="A63" s="19"/>
      <c r="B63" s="30"/>
      <c r="C63" s="44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45"/>
      <c r="O63" s="19"/>
    </row>
    <row r="64" spans="1:15" ht="15.75">
      <c r="A64" s="19"/>
      <c r="B64" s="30" t="s">
        <v>547</v>
      </c>
      <c r="C64" s="46"/>
      <c r="D64" s="31">
        <f>D93</f>
        <v>0</v>
      </c>
      <c r="E64" s="31">
        <f t="shared" ref="E64:M64" si="11">E93</f>
        <v>70.206829819437189</v>
      </c>
      <c r="F64" s="31">
        <f t="shared" si="11"/>
        <v>69.901884779272223</v>
      </c>
      <c r="G64" s="31">
        <f t="shared" si="11"/>
        <v>735.96367561288207</v>
      </c>
      <c r="H64" s="31">
        <f t="shared" si="11"/>
        <v>778.3042640008789</v>
      </c>
      <c r="I64" s="31">
        <f t="shared" si="11"/>
        <v>774.92003588188163</v>
      </c>
      <c r="J64" s="31">
        <f t="shared" si="11"/>
        <v>771.54938185220453</v>
      </c>
      <c r="K64" s="31">
        <f t="shared" si="11"/>
        <v>768.19228528423992</v>
      </c>
      <c r="L64" s="31">
        <f t="shared" si="11"/>
        <v>764.84872821218414</v>
      </c>
      <c r="M64" s="31">
        <f t="shared" si="11"/>
        <v>761.51869138415714</v>
      </c>
      <c r="N64" s="47">
        <f>SUM(D64:M64)</f>
        <v>5495.4057768271377</v>
      </c>
      <c r="O64" s="19"/>
    </row>
    <row r="65" spans="1:15" ht="15.75">
      <c r="A65" s="19"/>
      <c r="B65" s="30"/>
      <c r="C65" s="46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47"/>
      <c r="O65" s="19"/>
    </row>
    <row r="66" spans="1:15" ht="15.75">
      <c r="A66" s="19"/>
      <c r="B66" s="48" t="s">
        <v>752</v>
      </c>
      <c r="C66" s="32"/>
      <c r="D66" s="49">
        <f t="shared" ref="D66:M66" si="12">D102</f>
        <v>0</v>
      </c>
      <c r="E66" s="49">
        <f t="shared" si="12"/>
        <v>483.05406889165715</v>
      </c>
      <c r="F66" s="49">
        <f t="shared" si="12"/>
        <v>492.97980982024637</v>
      </c>
      <c r="G66" s="49">
        <f t="shared" si="12"/>
        <v>503.10869196127533</v>
      </c>
      <c r="H66" s="49">
        <f t="shared" si="12"/>
        <v>513.44487975882112</v>
      </c>
      <c r="I66" s="49">
        <f t="shared" si="12"/>
        <v>523.99262296957022</v>
      </c>
      <c r="J66" s="49">
        <f t="shared" si="12"/>
        <v>534.75625841107649</v>
      </c>
      <c r="K66" s="49">
        <f t="shared" si="12"/>
        <v>545.74021174575137</v>
      </c>
      <c r="L66" s="49">
        <f t="shared" si="12"/>
        <v>556.94899930149404</v>
      </c>
      <c r="M66" s="49">
        <f t="shared" si="12"/>
        <v>568.38722992957992</v>
      </c>
      <c r="N66" s="47">
        <f>SUM(D66:M66)</f>
        <v>4722.412772789472</v>
      </c>
      <c r="O66" s="19"/>
    </row>
    <row r="67" spans="1:15" ht="15.75">
      <c r="A67" s="19"/>
      <c r="B67" s="48"/>
      <c r="C67" s="32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7"/>
      <c r="O67" s="19"/>
    </row>
    <row r="68" spans="1:15" ht="15.75">
      <c r="A68" s="19"/>
      <c r="B68" s="48" t="s">
        <v>753</v>
      </c>
      <c r="C68" s="39">
        <f>C87</f>
        <v>8409.3172000000013</v>
      </c>
      <c r="D68" s="49">
        <f>D106</f>
        <v>8482.9247894927357</v>
      </c>
      <c r="E68" s="49">
        <f t="shared" ref="E68:M68" si="13">E106</f>
        <v>9249.2770566614872</v>
      </c>
      <c r="F68" s="49">
        <f t="shared" si="13"/>
        <v>9477.7959178290694</v>
      </c>
      <c r="G68" s="49">
        <f t="shared" si="13"/>
        <v>10378.121924779172</v>
      </c>
      <c r="H68" s="49">
        <f t="shared" si="13"/>
        <v>10659.033804000392</v>
      </c>
      <c r="I68" s="49">
        <f t="shared" si="13"/>
        <v>10893.17507497816</v>
      </c>
      <c r="J68" s="49">
        <f t="shared" si="13"/>
        <v>11063.462910758204</v>
      </c>
      <c r="K68" s="49">
        <f t="shared" si="13"/>
        <v>11308.884297638326</v>
      </c>
      <c r="L68" s="49">
        <f t="shared" si="13"/>
        <v>11570.234105702841</v>
      </c>
      <c r="M68" s="49">
        <f t="shared" si="13"/>
        <v>11836.764626246715</v>
      </c>
      <c r="N68" s="45"/>
      <c r="O68" s="19"/>
    </row>
    <row r="69" spans="1:15" ht="15.75">
      <c r="A69" s="19"/>
      <c r="B69" s="244"/>
      <c r="C69" s="39"/>
      <c r="D69" s="245"/>
      <c r="E69" s="245"/>
      <c r="F69" s="245"/>
      <c r="G69" s="245"/>
      <c r="H69" s="245"/>
      <c r="I69" s="245"/>
      <c r="J69" s="245"/>
      <c r="K69" s="245"/>
      <c r="L69" s="245"/>
      <c r="M69" s="245"/>
      <c r="N69" s="45"/>
      <c r="O69" s="19"/>
    </row>
    <row r="70" spans="1:15" ht="15.75">
      <c r="A70" s="19"/>
      <c r="B70" s="48" t="s">
        <v>548</v>
      </c>
      <c r="C70" s="32"/>
      <c r="D70" s="49">
        <f>D108</f>
        <v>0</v>
      </c>
      <c r="E70" s="49">
        <f t="shared" ref="E70:M70" si="14">E108</f>
        <v>553.26089871109434</v>
      </c>
      <c r="F70" s="49">
        <f t="shared" si="14"/>
        <v>562.8816945995186</v>
      </c>
      <c r="G70" s="49">
        <f t="shared" si="14"/>
        <v>1239.0723675741574</v>
      </c>
      <c r="H70" s="49">
        <f t="shared" si="14"/>
        <v>1291.7491437597</v>
      </c>
      <c r="I70" s="49">
        <f t="shared" si="14"/>
        <v>1298.9126588514519</v>
      </c>
      <c r="J70" s="49">
        <f t="shared" si="14"/>
        <v>1306.305640263281</v>
      </c>
      <c r="K70" s="49">
        <f t="shared" si="14"/>
        <v>1313.9324970299913</v>
      </c>
      <c r="L70" s="49">
        <f t="shared" si="14"/>
        <v>1321.7977275136782</v>
      </c>
      <c r="M70" s="49">
        <f t="shared" si="14"/>
        <v>1329.9059213137371</v>
      </c>
      <c r="N70" s="47">
        <f>SUM(D70:M70)</f>
        <v>10217.81854961661</v>
      </c>
      <c r="O70" s="19"/>
    </row>
    <row r="71" spans="1:15" ht="15.6" customHeight="1">
      <c r="A71" s="19"/>
      <c r="B71" s="48"/>
      <c r="C71" s="32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7"/>
      <c r="O71" s="19"/>
    </row>
    <row r="72" spans="1:15" ht="15.75">
      <c r="A72" s="19"/>
      <c r="B72" s="48" t="s">
        <v>549</v>
      </c>
      <c r="C72" s="685" t="s">
        <v>65</v>
      </c>
      <c r="D72" s="50">
        <f>D70/D62</f>
        <v>0</v>
      </c>
      <c r="E72" s="50">
        <f t="shared" ref="E72:M72" si="15">E70/E62</f>
        <v>6.3622340237405345E-2</v>
      </c>
      <c r="F72" s="50">
        <f t="shared" si="15"/>
        <v>6.3139328153356808E-2</v>
      </c>
      <c r="G72" s="50">
        <f t="shared" si="15"/>
        <v>0.13558000313033661</v>
      </c>
      <c r="H72" s="50">
        <f t="shared" si="15"/>
        <v>0.1379000628904245</v>
      </c>
      <c r="I72" s="50">
        <f t="shared" si="15"/>
        <v>0.13538431642938475</v>
      </c>
      <c r="J72" s="50">
        <f t="shared" si="15"/>
        <v>0.13388178585718541</v>
      </c>
      <c r="K72" s="50">
        <f t="shared" si="15"/>
        <v>0.13145961313690577</v>
      </c>
      <c r="L72" s="50">
        <f t="shared" si="15"/>
        <v>0.12897555087786297</v>
      </c>
      <c r="M72" s="50">
        <f t="shared" si="15"/>
        <v>0.12657502671938906</v>
      </c>
      <c r="N72" s="51"/>
      <c r="O72" s="19"/>
    </row>
    <row r="73" spans="1:15" ht="15.75">
      <c r="A73" s="19"/>
      <c r="B73" s="52" t="s">
        <v>79</v>
      </c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4"/>
      <c r="O73" s="19"/>
    </row>
    <row r="74" spans="1:15" ht="15.75">
      <c r="A74" s="19"/>
      <c r="B74" s="52"/>
      <c r="C74" s="5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4"/>
      <c r="O74" s="19"/>
    </row>
    <row r="75" spans="1:15" ht="15.75">
      <c r="A75" s="19"/>
      <c r="B75" s="54" t="str">
        <f>B110</f>
        <v>Total Year-over-Year Tax $ Increase from Prior FY Base Property Tax</v>
      </c>
      <c r="C75" s="44" t="str">
        <f>C110</f>
        <v>N/A</v>
      </c>
      <c r="D75" s="243">
        <f t="shared" ref="D75:N75" si="16">D110</f>
        <v>73.607589492734405</v>
      </c>
      <c r="E75" s="243">
        <f t="shared" si="16"/>
        <v>766.3522671687515</v>
      </c>
      <c r="F75" s="243">
        <f t="shared" si="16"/>
        <v>781.77975987867649</v>
      </c>
      <c r="G75" s="243">
        <f t="shared" si="16"/>
        <v>1463.2077015496216</v>
      </c>
      <c r="H75" s="243">
        <f t="shared" si="16"/>
        <v>1519.9842467953767</v>
      </c>
      <c r="I75" s="243">
        <f t="shared" si="16"/>
        <v>1525.8904147374687</v>
      </c>
      <c r="J75" s="243">
        <f t="shared" si="16"/>
        <v>1469.2004946314955</v>
      </c>
      <c r="K75" s="243">
        <f t="shared" si="16"/>
        <v>1551.7270271434027</v>
      </c>
      <c r="L75" s="243">
        <f t="shared" si="16"/>
        <v>1575.2823050945062</v>
      </c>
      <c r="M75" s="243">
        <f t="shared" si="16"/>
        <v>1588.3282480575526</v>
      </c>
      <c r="N75" s="55">
        <f t="shared" si="16"/>
        <v>12315.360054549586</v>
      </c>
      <c r="O75" s="19"/>
    </row>
    <row r="76" spans="1:15" ht="15.75">
      <c r="A76" s="19"/>
      <c r="B76" s="52"/>
      <c r="C76" s="5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4"/>
      <c r="O76" s="19"/>
    </row>
    <row r="77" spans="1:15" ht="16.5" thickBot="1">
      <c r="A77" s="19"/>
      <c r="B77" s="56" t="str">
        <f>B112</f>
        <v>Total Year-over-Year Tax % Increase from Prior FY Base Property Tax</v>
      </c>
      <c r="C77" s="57" t="str">
        <f>C112</f>
        <v>N/A</v>
      </c>
      <c r="D77" s="57">
        <f t="shared" ref="D77:M77" si="17">D112</f>
        <v>8.7530994184324973E-3</v>
      </c>
      <c r="E77" s="57">
        <f t="shared" si="17"/>
        <v>9.0340570756678604E-2</v>
      </c>
      <c r="F77" s="57">
        <f t="shared" si="17"/>
        <v>8.9900909299016077E-2</v>
      </c>
      <c r="G77" s="57">
        <f t="shared" si="17"/>
        <v>0.16413031745576956</v>
      </c>
      <c r="H77" s="57">
        <f t="shared" si="17"/>
        <v>0.16631754071155641</v>
      </c>
      <c r="I77" s="57">
        <f t="shared" si="17"/>
        <v>0.16289570244556453</v>
      </c>
      <c r="J77" s="57">
        <f t="shared" si="17"/>
        <v>0.15313324056698308</v>
      </c>
      <c r="K77" s="57">
        <f t="shared" si="17"/>
        <v>0.15903474589220112</v>
      </c>
      <c r="L77" s="57">
        <f t="shared" si="17"/>
        <v>0.15760779406646344</v>
      </c>
      <c r="M77" s="57">
        <f t="shared" si="17"/>
        <v>0.15498249581154161</v>
      </c>
      <c r="N77" s="58"/>
      <c r="O77" s="19"/>
    </row>
    <row r="78" spans="1:15" ht="16.5" thickBot="1">
      <c r="A78" s="19"/>
      <c r="B78" s="52"/>
      <c r="C78" s="5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4"/>
      <c r="O78" s="19"/>
    </row>
    <row r="79" spans="1:15" ht="22.15" customHeight="1" thickTop="1" thickBot="1">
      <c r="A79" s="19"/>
      <c r="B79" s="742" t="s">
        <v>522</v>
      </c>
      <c r="C79" s="743"/>
      <c r="D79" s="743"/>
      <c r="E79" s="743"/>
      <c r="F79" s="743"/>
      <c r="G79" s="743"/>
      <c r="H79" s="743"/>
      <c r="I79" s="743"/>
      <c r="J79" s="743"/>
      <c r="K79" s="743"/>
      <c r="L79" s="743"/>
      <c r="M79" s="743"/>
      <c r="N79" s="744"/>
      <c r="O79" s="19"/>
    </row>
    <row r="80" spans="1:15" ht="15.6" customHeight="1" thickTop="1" thickBot="1">
      <c r="A80" s="19"/>
      <c r="B80" s="59"/>
      <c r="C80" s="60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1"/>
      <c r="O80" s="19"/>
    </row>
    <row r="81" spans="1:17" ht="18.600000000000001" customHeight="1" thickBot="1">
      <c r="A81" s="19"/>
      <c r="B81" s="40" t="s">
        <v>47</v>
      </c>
      <c r="C81" s="41">
        <f>C60</f>
        <v>2022</v>
      </c>
      <c r="D81" s="42">
        <f>C81+1</f>
        <v>2023</v>
      </c>
      <c r="E81" s="42">
        <f t="shared" ref="E81:M81" si="18">D81+1</f>
        <v>2024</v>
      </c>
      <c r="F81" s="42">
        <f t="shared" si="18"/>
        <v>2025</v>
      </c>
      <c r="G81" s="42">
        <f t="shared" si="18"/>
        <v>2026</v>
      </c>
      <c r="H81" s="42">
        <f t="shared" si="18"/>
        <v>2027</v>
      </c>
      <c r="I81" s="42">
        <f t="shared" si="18"/>
        <v>2028</v>
      </c>
      <c r="J81" s="42">
        <f t="shared" si="18"/>
        <v>2029</v>
      </c>
      <c r="K81" s="42">
        <f t="shared" si="18"/>
        <v>2030</v>
      </c>
      <c r="L81" s="42">
        <f t="shared" si="18"/>
        <v>2031</v>
      </c>
      <c r="M81" s="42">
        <f t="shared" si="18"/>
        <v>2032</v>
      </c>
      <c r="N81" s="43" t="s">
        <v>512</v>
      </c>
      <c r="O81" s="19"/>
    </row>
    <row r="82" spans="1:17" ht="18" customHeight="1">
      <c r="A82" s="19"/>
      <c r="B82" s="62" t="s">
        <v>66</v>
      </c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4"/>
      <c r="O82" s="19"/>
    </row>
    <row r="83" spans="1:17" ht="16.149999999999999" customHeight="1">
      <c r="A83" s="19"/>
      <c r="B83" s="70" t="s">
        <v>773</v>
      </c>
      <c r="C83" s="72">
        <f>Model!C$82</f>
        <v>3627940.5055555552</v>
      </c>
      <c r="D83" s="72">
        <f>Model!D$82</f>
        <v>3506881.6655555554</v>
      </c>
      <c r="E83" s="72">
        <f>Model!E$82</f>
        <v>3382310.6255555558</v>
      </c>
      <c r="F83" s="72">
        <f>Model!F$82</f>
        <v>3272922.1655555558</v>
      </c>
      <c r="G83" s="72">
        <f>Model!G$82</f>
        <v>3171337.6355555556</v>
      </c>
      <c r="H83" s="72">
        <f>Model!H$82</f>
        <v>3063473.2755555552</v>
      </c>
      <c r="I83" s="72">
        <f>Model!I$82</f>
        <v>2886087.9055555551</v>
      </c>
      <c r="J83" s="72">
        <f>Model!J$82</f>
        <v>1906075.8955555556</v>
      </c>
      <c r="K83" s="72">
        <f>Model!K$82</f>
        <v>1736123.9666666666</v>
      </c>
      <c r="L83" s="72">
        <f>Model!L$82</f>
        <v>1690691.446666667</v>
      </c>
      <c r="M83" s="72">
        <f>Model!M$82</f>
        <v>1643441.6466666667</v>
      </c>
      <c r="N83" s="67"/>
      <c r="O83" s="19"/>
    </row>
    <row r="84" spans="1:17" ht="16.149999999999999" customHeight="1">
      <c r="A84" s="19"/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7"/>
      <c r="O84" s="19"/>
    </row>
    <row r="85" spans="1:17" ht="16.149999999999999" customHeight="1">
      <c r="A85" s="19"/>
      <c r="B85" s="70" t="s">
        <v>774</v>
      </c>
      <c r="C85" s="724">
        <f>(C83-'Fifteen-Year Debt Schedule'!AA22)/'Fifteen-Year Debt Schedule'!AA22</f>
        <v>6.6991086969007574E-2</v>
      </c>
      <c r="D85" s="724">
        <f>(D83-C83)/C83</f>
        <v>-3.3368474431876557E-2</v>
      </c>
      <c r="E85" s="724">
        <f t="shared" ref="E85:M85" si="19">(E83-D83)/D83</f>
        <v>-3.5521882937634051E-2</v>
      </c>
      <c r="F85" s="724">
        <f t="shared" si="19"/>
        <v>-3.2341340612981856E-2</v>
      </c>
      <c r="G85" s="724">
        <f t="shared" si="19"/>
        <v>-3.1037869176689385E-2</v>
      </c>
      <c r="H85" s="724">
        <f t="shared" si="19"/>
        <v>-3.4012259934317793E-2</v>
      </c>
      <c r="I85" s="724">
        <f t="shared" si="19"/>
        <v>-5.7903351537424985E-2</v>
      </c>
      <c r="J85" s="724">
        <f t="shared" si="19"/>
        <v>-0.33956415815108476</v>
      </c>
      <c r="K85" s="724">
        <f t="shared" si="19"/>
        <v>-8.9163253826969935E-2</v>
      </c>
      <c r="L85" s="724">
        <f t="shared" si="19"/>
        <v>-2.6168937744249537E-2</v>
      </c>
      <c r="M85" s="724">
        <f t="shared" si="19"/>
        <v>-2.7947027290613571E-2</v>
      </c>
      <c r="N85" s="67"/>
      <c r="O85" s="19"/>
    </row>
    <row r="86" spans="1:17" ht="16.149999999999999" customHeight="1">
      <c r="A86" s="19"/>
      <c r="B86" s="68"/>
      <c r="C86" s="69"/>
      <c r="D86" s="69"/>
      <c r="E86" s="69"/>
      <c r="F86" s="69"/>
      <c r="G86" s="69"/>
      <c r="H86" s="69"/>
      <c r="I86" s="69"/>
      <c r="J86" s="69"/>
      <c r="K86" s="69"/>
      <c r="L86" s="69"/>
      <c r="M86" s="69"/>
      <c r="N86" s="67"/>
      <c r="O86" s="19"/>
    </row>
    <row r="87" spans="1:17" ht="16.149999999999999" customHeight="1">
      <c r="A87" s="19"/>
      <c r="B87" s="65" t="str">
        <f>Model!B107</f>
        <v>FY Base Property Tax:   FY Property Tax with CPA w/o New Excluded Debt Service or Oper. Override</v>
      </c>
      <c r="C87" s="66">
        <f>Model!C107</f>
        <v>8409.3172000000013</v>
      </c>
      <c r="D87" s="66">
        <f>Model!D107</f>
        <v>8482.9247894927357</v>
      </c>
      <c r="E87" s="66">
        <f>Model!E107</f>
        <v>8696.0161579503929</v>
      </c>
      <c r="F87" s="66">
        <f>Model!F107</f>
        <v>8914.9142232295508</v>
      </c>
      <c r="G87" s="66">
        <f>Model!G107</f>
        <v>9139.0495572050149</v>
      </c>
      <c r="H87" s="66">
        <f>Model!H107</f>
        <v>9367.2846602406917</v>
      </c>
      <c r="I87" s="66">
        <f>Model!I107</f>
        <v>9594.2624161267086</v>
      </c>
      <c r="J87" s="66">
        <f>Model!J107</f>
        <v>9757.1572704949231</v>
      </c>
      <c r="K87" s="66">
        <f>Model!K107</f>
        <v>9994.9518006083345</v>
      </c>
      <c r="L87" s="66">
        <f>Model!L107</f>
        <v>10248.436378189162</v>
      </c>
      <c r="M87" s="66">
        <f>Model!M107</f>
        <v>10506.858704932978</v>
      </c>
      <c r="N87" s="67"/>
      <c r="O87" s="19"/>
    </row>
    <row r="88" spans="1:17" ht="16.149999999999999" customHeight="1">
      <c r="A88" s="19"/>
      <c r="B88" s="68"/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7"/>
      <c r="O88" s="19"/>
    </row>
    <row r="89" spans="1:17" ht="16.149999999999999" customHeight="1">
      <c r="A89" s="19"/>
      <c r="B89" s="70" t="str">
        <f>Model!B83</f>
        <v>FY New Capital Project Excluded Debt Service</v>
      </c>
      <c r="C89" s="71" t="str">
        <f>Model!C83</f>
        <v>N/A</v>
      </c>
      <c r="D89" s="72">
        <f>Model!D83</f>
        <v>0</v>
      </c>
      <c r="E89" s="72">
        <f>Model!E83</f>
        <v>799367.17</v>
      </c>
      <c r="F89" s="734">
        <f>Model!F83</f>
        <v>799367.17</v>
      </c>
      <c r="G89" s="734">
        <f>Model!G83</f>
        <v>8452885.370000001</v>
      </c>
      <c r="H89" s="72">
        <f>Model!H83</f>
        <v>8978212.2500000019</v>
      </c>
      <c r="I89" s="72">
        <f>Model!I83</f>
        <v>8978212.2500000019</v>
      </c>
      <c r="J89" s="72">
        <f>Model!J83</f>
        <v>8978212.25</v>
      </c>
      <c r="K89" s="72">
        <f>Model!K83</f>
        <v>8978212.25</v>
      </c>
      <c r="L89" s="72">
        <f>Model!L83</f>
        <v>8978212.2500000037</v>
      </c>
      <c r="M89" s="72">
        <f>Model!M83</f>
        <v>8978212.2500000037</v>
      </c>
      <c r="N89" s="73">
        <f>SUM(D89:M89)</f>
        <v>63920893.210000008</v>
      </c>
      <c r="O89" s="19"/>
    </row>
    <row r="90" spans="1:17" ht="16.149999999999999" customHeight="1">
      <c r="A90" s="19"/>
      <c r="B90" s="74"/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6"/>
      <c r="O90" s="19"/>
    </row>
    <row r="91" spans="1:17" ht="16.149999999999999" customHeight="1">
      <c r="A91" s="19"/>
      <c r="B91" s="77" t="str">
        <f>Model!B106</f>
        <v>FY Property Tax with CPA Surcharge with New Excluded Debt Service</v>
      </c>
      <c r="C91" s="78">
        <f>Model!C106</f>
        <v>8409.3172000000013</v>
      </c>
      <c r="D91" s="78">
        <f>Model!D106</f>
        <v>8482.9247894927357</v>
      </c>
      <c r="E91" s="78">
        <f>Model!E106</f>
        <v>8766.2229877698301</v>
      </c>
      <c r="F91" s="78">
        <f>Model!F106</f>
        <v>8984.816108008823</v>
      </c>
      <c r="G91" s="78">
        <f>Model!G106</f>
        <v>9875.013232817897</v>
      </c>
      <c r="H91" s="78">
        <f>Model!H106</f>
        <v>10145.588924241571</v>
      </c>
      <c r="I91" s="78">
        <f>Model!I106</f>
        <v>10369.18245200859</v>
      </c>
      <c r="J91" s="78">
        <f>Model!J106</f>
        <v>10528.706652347128</v>
      </c>
      <c r="K91" s="78">
        <f>Model!K106</f>
        <v>10763.144085892574</v>
      </c>
      <c r="L91" s="78">
        <f>Model!L106</f>
        <v>11013.285106401347</v>
      </c>
      <c r="M91" s="78">
        <f>Model!M106</f>
        <v>11268.377396317135</v>
      </c>
      <c r="N91" s="76"/>
      <c r="O91" s="19"/>
    </row>
    <row r="92" spans="1:17" ht="16.149999999999999" customHeight="1">
      <c r="A92" s="19"/>
      <c r="B92" s="74"/>
      <c r="C92" s="75"/>
      <c r="D92" s="75"/>
      <c r="E92" s="75"/>
      <c r="F92" s="75"/>
      <c r="G92" s="75"/>
      <c r="H92" s="75"/>
      <c r="I92" s="75"/>
      <c r="J92" s="75"/>
      <c r="K92" s="75"/>
      <c r="L92" s="75"/>
      <c r="M92" s="75"/>
      <c r="N92" s="76"/>
      <c r="O92" s="19"/>
    </row>
    <row r="93" spans="1:17" ht="16.149999999999999" customHeight="1">
      <c r="A93" s="79"/>
      <c r="B93" s="80" t="str">
        <f>Model!B109</f>
        <v>Increase of FY Property Tax with CPA with New Excluded Debt Service</v>
      </c>
      <c r="C93" s="81">
        <f>Model!C109</f>
        <v>0</v>
      </c>
      <c r="D93" s="81">
        <f>Model!D109</f>
        <v>0</v>
      </c>
      <c r="E93" s="81">
        <f>Model!E109</f>
        <v>70.206829819437189</v>
      </c>
      <c r="F93" s="81">
        <f>Model!F109</f>
        <v>69.901884779272223</v>
      </c>
      <c r="G93" s="81">
        <f>Model!G109</f>
        <v>735.96367561288207</v>
      </c>
      <c r="H93" s="81">
        <f>Model!H109</f>
        <v>778.3042640008789</v>
      </c>
      <c r="I93" s="81">
        <f>Model!I109</f>
        <v>774.92003588188163</v>
      </c>
      <c r="J93" s="81">
        <f>Model!J109</f>
        <v>771.54938185220453</v>
      </c>
      <c r="K93" s="81">
        <f>Model!K109</f>
        <v>768.19228528423992</v>
      </c>
      <c r="L93" s="81">
        <f>Model!L109</f>
        <v>764.84872821218414</v>
      </c>
      <c r="M93" s="81">
        <f>Model!M109</f>
        <v>761.51869138415714</v>
      </c>
      <c r="N93" s="73">
        <f>SUM(D93:M93)</f>
        <v>5495.4057768271377</v>
      </c>
      <c r="O93" s="79"/>
      <c r="P93" s="1"/>
      <c r="Q93" s="1"/>
    </row>
    <row r="94" spans="1:17" ht="16.149999999999999" customHeight="1" thickBot="1">
      <c r="A94" s="79"/>
      <c r="B94" s="82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4"/>
      <c r="O94" s="79"/>
      <c r="P94" s="1"/>
      <c r="Q94" s="1"/>
    </row>
    <row r="95" spans="1:17" ht="18" customHeight="1">
      <c r="A95" s="79"/>
      <c r="B95" s="62" t="s">
        <v>513</v>
      </c>
      <c r="C95" s="85"/>
      <c r="D95" s="85"/>
      <c r="E95" s="85"/>
      <c r="F95" s="85"/>
      <c r="G95" s="85"/>
      <c r="H95" s="85"/>
      <c r="I95" s="85"/>
      <c r="J95" s="85"/>
      <c r="K95" s="85"/>
      <c r="L95" s="85"/>
      <c r="M95" s="85"/>
      <c r="N95" s="86"/>
      <c r="O95" s="79"/>
      <c r="P95" s="1"/>
      <c r="Q95" s="1"/>
    </row>
    <row r="96" spans="1:17" ht="16.149999999999999" customHeight="1">
      <c r="A96" s="87"/>
      <c r="B96" s="65" t="str">
        <f>Model!B107</f>
        <v>FY Base Property Tax:   FY Property Tax with CPA w/o New Excluded Debt Service or Oper. Override</v>
      </c>
      <c r="C96" s="89">
        <f>Model!C107</f>
        <v>8409.3172000000013</v>
      </c>
      <c r="D96" s="89">
        <f>Model!D107</f>
        <v>8482.9247894927357</v>
      </c>
      <c r="E96" s="89">
        <f>Model!E107</f>
        <v>8696.0161579503929</v>
      </c>
      <c r="F96" s="89">
        <f>Model!F107</f>
        <v>8914.9142232295508</v>
      </c>
      <c r="G96" s="89">
        <f>Model!G107</f>
        <v>9139.0495572050149</v>
      </c>
      <c r="H96" s="89">
        <f>Model!H107</f>
        <v>9367.2846602406917</v>
      </c>
      <c r="I96" s="89">
        <f>Model!I107</f>
        <v>9594.2624161267086</v>
      </c>
      <c r="J96" s="89">
        <f>Model!J107</f>
        <v>9757.1572704949231</v>
      </c>
      <c r="K96" s="89">
        <f>Model!K107</f>
        <v>9994.9518006083345</v>
      </c>
      <c r="L96" s="89">
        <f>Model!L107</f>
        <v>10248.436378189162</v>
      </c>
      <c r="M96" s="89">
        <f>Model!M107</f>
        <v>10506.858704932978</v>
      </c>
      <c r="N96" s="90"/>
      <c r="O96" s="88"/>
      <c r="P96" s="1"/>
      <c r="Q96" s="1"/>
    </row>
    <row r="97" spans="1:17" ht="16.149999999999999" customHeight="1">
      <c r="A97" s="87"/>
      <c r="B97" s="91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90"/>
      <c r="O97" s="88"/>
      <c r="P97" s="1"/>
      <c r="Q97" s="1"/>
    </row>
    <row r="98" spans="1:17" ht="16.149999999999999" customHeight="1">
      <c r="A98" s="87"/>
      <c r="B98" s="65" t="str">
        <f>Model!B112</f>
        <v>Operating Override Tax Levy Increase</v>
      </c>
      <c r="C98" s="92" t="str">
        <f>Model!C112</f>
        <v>N/A</v>
      </c>
      <c r="D98" s="693">
        <f>Model!D112</f>
        <v>0</v>
      </c>
      <c r="E98" s="693">
        <f>Model!E112</f>
        <v>5500000</v>
      </c>
      <c r="F98" s="693">
        <f>Model!F112</f>
        <v>5637499.9999999991</v>
      </c>
      <c r="G98" s="693">
        <f>Model!G112</f>
        <v>5778437.4999999981</v>
      </c>
      <c r="H98" s="693">
        <f>Model!H112</f>
        <v>5922898.4374999972</v>
      </c>
      <c r="I98" s="693">
        <f>Model!I112</f>
        <v>6070970.8984374963</v>
      </c>
      <c r="J98" s="693">
        <f>Model!J112</f>
        <v>6222745.1708984328</v>
      </c>
      <c r="K98" s="693">
        <f>Model!K112</f>
        <v>6378313.8001708928</v>
      </c>
      <c r="L98" s="693">
        <f>Model!L112</f>
        <v>6537771.6451751646</v>
      </c>
      <c r="M98" s="693">
        <f>Model!M112</f>
        <v>6701215.9363045432</v>
      </c>
      <c r="N98" s="76"/>
      <c r="O98" s="88"/>
      <c r="P98" s="1"/>
      <c r="Q98" s="1"/>
    </row>
    <row r="99" spans="1:17" ht="16.149999999999999" customHeight="1">
      <c r="A99" s="87"/>
      <c r="B99" s="91"/>
      <c r="C99" s="93"/>
      <c r="D99" s="94"/>
      <c r="E99" s="94"/>
      <c r="F99" s="94"/>
      <c r="G99" s="94"/>
      <c r="H99" s="94"/>
      <c r="I99" s="94"/>
      <c r="J99" s="94"/>
      <c r="K99" s="94"/>
      <c r="L99" s="94"/>
      <c r="M99" s="94"/>
      <c r="N99" s="90"/>
      <c r="O99" s="88"/>
      <c r="P99" s="1"/>
      <c r="Q99" s="1"/>
    </row>
    <row r="100" spans="1:17" ht="16.149999999999999" customHeight="1">
      <c r="A100" s="87"/>
      <c r="B100" s="65" t="str">
        <f>Model!B122</f>
        <v>FY Property Tax with CPA Surcharge with Operating Override</v>
      </c>
      <c r="C100" s="92" t="str">
        <f>Model!C122</f>
        <v>N/A</v>
      </c>
      <c r="D100" s="95">
        <f>Model!D122</f>
        <v>8482.9247894927357</v>
      </c>
      <c r="E100" s="95">
        <f>Model!E122</f>
        <v>9179.07022684205</v>
      </c>
      <c r="F100" s="95">
        <f>Model!F122</f>
        <v>9407.8940330497971</v>
      </c>
      <c r="G100" s="95">
        <f>Model!G122</f>
        <v>9642.1582491662903</v>
      </c>
      <c r="H100" s="95">
        <f>Model!H122</f>
        <v>9880.7295399995128</v>
      </c>
      <c r="I100" s="95">
        <f>Model!I122</f>
        <v>10118.255039096279</v>
      </c>
      <c r="J100" s="95">
        <f>Model!J122</f>
        <v>10291.913528906</v>
      </c>
      <c r="K100" s="95">
        <f>Model!K122</f>
        <v>10540.692012354086</v>
      </c>
      <c r="L100" s="95">
        <f>Model!L122</f>
        <v>10805.385377490657</v>
      </c>
      <c r="M100" s="95">
        <f>Model!M122</f>
        <v>11075.245934862558</v>
      </c>
      <c r="N100" s="90"/>
      <c r="O100" s="88"/>
      <c r="P100" s="1"/>
      <c r="Q100" s="1"/>
    </row>
    <row r="101" spans="1:17" ht="16.149999999999999" customHeight="1">
      <c r="A101" s="87"/>
      <c r="B101" s="91"/>
      <c r="C101" s="93"/>
      <c r="D101" s="94"/>
      <c r="E101" s="94"/>
      <c r="F101" s="94"/>
      <c r="G101" s="94"/>
      <c r="H101" s="94"/>
      <c r="I101" s="94"/>
      <c r="J101" s="94"/>
      <c r="K101" s="94"/>
      <c r="L101" s="94"/>
      <c r="M101" s="94"/>
      <c r="N101" s="90"/>
      <c r="O101" s="88"/>
      <c r="P101" s="1"/>
      <c r="Q101" s="1"/>
    </row>
    <row r="102" spans="1:17" ht="16.149999999999999" customHeight="1">
      <c r="A102" s="87"/>
      <c r="B102" s="65" t="str">
        <f>Model!B124</f>
        <v>Increase of FY Property Tax with Operating Override</v>
      </c>
      <c r="C102" s="92" t="str">
        <f>Model!C124</f>
        <v>N/A</v>
      </c>
      <c r="D102" s="89">
        <f>Model!D124</f>
        <v>0</v>
      </c>
      <c r="E102" s="89">
        <f>Model!E124</f>
        <v>483.05406889165715</v>
      </c>
      <c r="F102" s="89">
        <f>Model!F124</f>
        <v>492.97980982024637</v>
      </c>
      <c r="G102" s="89">
        <f>Model!G124</f>
        <v>503.10869196127533</v>
      </c>
      <c r="H102" s="89">
        <f>Model!H124</f>
        <v>513.44487975882112</v>
      </c>
      <c r="I102" s="89">
        <f>Model!I124</f>
        <v>523.99262296957022</v>
      </c>
      <c r="J102" s="89">
        <f>Model!J124</f>
        <v>534.75625841107649</v>
      </c>
      <c r="K102" s="89">
        <f>Model!K124</f>
        <v>545.74021174575137</v>
      </c>
      <c r="L102" s="89">
        <f>Model!L124</f>
        <v>556.94899930149404</v>
      </c>
      <c r="M102" s="89">
        <f>Model!M124</f>
        <v>568.38722992957992</v>
      </c>
      <c r="N102" s="73">
        <f>SUM(D102:M102)</f>
        <v>4722.412772789472</v>
      </c>
      <c r="O102" s="88"/>
      <c r="P102" s="1"/>
      <c r="Q102" s="1"/>
    </row>
    <row r="103" spans="1:17" ht="13.9" customHeight="1" thickBot="1">
      <c r="A103" s="87"/>
      <c r="B103" s="96"/>
      <c r="C103" s="97"/>
      <c r="D103" s="98"/>
      <c r="E103" s="98"/>
      <c r="F103" s="98"/>
      <c r="G103" s="98"/>
      <c r="H103" s="98"/>
      <c r="I103" s="98"/>
      <c r="J103" s="98"/>
      <c r="K103" s="98"/>
      <c r="L103" s="98"/>
      <c r="M103" s="98"/>
      <c r="N103" s="99"/>
      <c r="O103" s="88"/>
      <c r="P103" s="1"/>
      <c r="Q103" s="1"/>
    </row>
    <row r="104" spans="1:17" ht="18" customHeight="1">
      <c r="A104" s="87"/>
      <c r="B104" s="100" t="s">
        <v>535</v>
      </c>
      <c r="C104" s="93"/>
      <c r="D104" s="94"/>
      <c r="E104" s="94"/>
      <c r="F104" s="94"/>
      <c r="G104" s="94"/>
      <c r="H104" s="94"/>
      <c r="I104" s="94"/>
      <c r="J104" s="94"/>
      <c r="K104" s="94"/>
      <c r="L104" s="94"/>
      <c r="M104" s="94"/>
      <c r="N104" s="90"/>
      <c r="O104" s="88"/>
      <c r="P104" s="1"/>
      <c r="Q104" s="1"/>
    </row>
    <row r="105" spans="1:17" ht="16.149999999999999" customHeight="1">
      <c r="A105" s="87"/>
      <c r="B105" s="91"/>
      <c r="C105" s="93"/>
      <c r="D105" s="94"/>
      <c r="E105" s="94"/>
      <c r="F105" s="94"/>
      <c r="G105" s="94"/>
      <c r="H105" s="94"/>
      <c r="I105" s="94"/>
      <c r="J105" s="94"/>
      <c r="K105" s="94"/>
      <c r="L105" s="94"/>
      <c r="M105" s="94"/>
      <c r="N105" s="90"/>
      <c r="O105" s="88"/>
      <c r="P105" s="1"/>
      <c r="Q105" s="1"/>
    </row>
    <row r="106" spans="1:17" ht="16.149999999999999" customHeight="1">
      <c r="A106" s="87"/>
      <c r="B106" s="65" t="str">
        <f>Model!B118</f>
        <v>FY Property Tax with CPA Surcharge with New Excluded Debt Service and Operating Override</v>
      </c>
      <c r="C106" s="92" t="str">
        <f>Model!C118</f>
        <v>N/A</v>
      </c>
      <c r="D106" s="89">
        <f>Model!D118</f>
        <v>8482.9247894927357</v>
      </c>
      <c r="E106" s="89">
        <f>Model!E118</f>
        <v>9249.2770566614872</v>
      </c>
      <c r="F106" s="89">
        <f>Model!F118</f>
        <v>9477.7959178290694</v>
      </c>
      <c r="G106" s="89">
        <f>Model!G118</f>
        <v>10378.121924779172</v>
      </c>
      <c r="H106" s="89">
        <f>Model!H118</f>
        <v>10659.033804000392</v>
      </c>
      <c r="I106" s="89">
        <f>Model!I118</f>
        <v>10893.17507497816</v>
      </c>
      <c r="J106" s="89">
        <f>Model!J118</f>
        <v>11063.462910758204</v>
      </c>
      <c r="K106" s="89">
        <f>Model!K118</f>
        <v>11308.884297638326</v>
      </c>
      <c r="L106" s="89">
        <f>Model!L118</f>
        <v>11570.234105702841</v>
      </c>
      <c r="M106" s="89">
        <f>Model!M118</f>
        <v>11836.764626246715</v>
      </c>
      <c r="N106" s="90"/>
      <c r="O106" s="88"/>
      <c r="P106" s="1"/>
      <c r="Q106" s="1"/>
    </row>
    <row r="107" spans="1:17" ht="16.149999999999999" customHeight="1">
      <c r="A107" s="87"/>
      <c r="B107" s="101"/>
      <c r="C107" s="93"/>
      <c r="D107" s="94"/>
      <c r="E107" s="94"/>
      <c r="F107" s="94"/>
      <c r="G107" s="94"/>
      <c r="H107" s="94"/>
      <c r="I107" s="94"/>
      <c r="J107" s="94"/>
      <c r="K107" s="94"/>
      <c r="L107" s="94"/>
      <c r="M107" s="94"/>
      <c r="N107" s="90"/>
      <c r="O107" s="88"/>
      <c r="P107" s="1"/>
      <c r="Q107" s="1"/>
    </row>
    <row r="108" spans="1:17" ht="16.149999999999999" customHeight="1">
      <c r="A108" s="87"/>
      <c r="B108" s="65" t="str">
        <f>Model!B120</f>
        <v>Increase from FY Base Property Tax with both New Excluded Debt and Operating Override</v>
      </c>
      <c r="C108" s="92" t="str">
        <f>Model!C120</f>
        <v>N/A</v>
      </c>
      <c r="D108" s="89">
        <f>Model!D120</f>
        <v>0</v>
      </c>
      <c r="E108" s="89">
        <f>Model!E120</f>
        <v>553.26089871109434</v>
      </c>
      <c r="F108" s="89">
        <f>Model!F120</f>
        <v>562.8816945995186</v>
      </c>
      <c r="G108" s="89">
        <f>Model!G120</f>
        <v>1239.0723675741574</v>
      </c>
      <c r="H108" s="89">
        <f>Model!H120</f>
        <v>1291.7491437597</v>
      </c>
      <c r="I108" s="89">
        <f>Model!I120</f>
        <v>1298.9126588514519</v>
      </c>
      <c r="J108" s="89">
        <f>Model!J120</f>
        <v>1306.305640263281</v>
      </c>
      <c r="K108" s="89">
        <f>Model!K120</f>
        <v>1313.9324970299913</v>
      </c>
      <c r="L108" s="89">
        <f>Model!L120</f>
        <v>1321.7977275136782</v>
      </c>
      <c r="M108" s="89">
        <f>Model!M120</f>
        <v>1329.9059213137371</v>
      </c>
      <c r="N108" s="73">
        <f>SUM(D108:M108)</f>
        <v>10217.81854961661</v>
      </c>
      <c r="O108" s="88"/>
      <c r="P108" s="1"/>
      <c r="Q108" s="1"/>
    </row>
    <row r="109" spans="1:17" ht="16.149999999999999" customHeight="1">
      <c r="A109" s="87"/>
      <c r="B109" s="65"/>
      <c r="C109" s="92"/>
      <c r="D109" s="89"/>
      <c r="E109" s="89"/>
      <c r="F109" s="89"/>
      <c r="G109" s="89"/>
      <c r="H109" s="89"/>
      <c r="I109" s="89"/>
      <c r="J109" s="89"/>
      <c r="K109" s="89"/>
      <c r="L109" s="89"/>
      <c r="M109" s="89"/>
      <c r="N109" s="73"/>
      <c r="O109" s="88"/>
      <c r="P109" s="1"/>
      <c r="Q109" s="1"/>
    </row>
    <row r="110" spans="1:17" ht="16.149999999999999" customHeight="1">
      <c r="A110" s="87"/>
      <c r="B110" s="65" t="str">
        <f>Model!B126</f>
        <v>Total Year-over-Year Tax $ Increase from Prior FY Base Property Tax</v>
      </c>
      <c r="C110" s="92" t="str">
        <f>Model!C126</f>
        <v>N/A</v>
      </c>
      <c r="D110" s="89">
        <f>Model!D126</f>
        <v>73.607589492734405</v>
      </c>
      <c r="E110" s="89">
        <f>Model!E126</f>
        <v>766.3522671687515</v>
      </c>
      <c r="F110" s="89">
        <f>Model!F126</f>
        <v>781.77975987867649</v>
      </c>
      <c r="G110" s="89">
        <f>Model!G126</f>
        <v>1463.2077015496216</v>
      </c>
      <c r="H110" s="89">
        <f>Model!H126</f>
        <v>1519.9842467953767</v>
      </c>
      <c r="I110" s="89">
        <f>Model!I126</f>
        <v>1525.8904147374687</v>
      </c>
      <c r="J110" s="89">
        <f>Model!J126</f>
        <v>1469.2004946314955</v>
      </c>
      <c r="K110" s="89">
        <f>Model!K126</f>
        <v>1551.7270271434027</v>
      </c>
      <c r="L110" s="89">
        <f>Model!L126</f>
        <v>1575.2823050945062</v>
      </c>
      <c r="M110" s="89">
        <f>Model!M126</f>
        <v>1588.3282480575526</v>
      </c>
      <c r="N110" s="73">
        <f>SUM(D110:M110)</f>
        <v>12315.360054549586</v>
      </c>
      <c r="O110" s="88"/>
      <c r="P110" s="1"/>
      <c r="Q110" s="1"/>
    </row>
    <row r="111" spans="1:17" ht="16.149999999999999" customHeight="1">
      <c r="A111" s="87"/>
      <c r="B111" s="65"/>
      <c r="C111" s="92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73"/>
      <c r="O111" s="88"/>
      <c r="P111" s="1"/>
      <c r="Q111" s="1"/>
    </row>
    <row r="112" spans="1:17" ht="16.149999999999999" customHeight="1">
      <c r="A112" s="87"/>
      <c r="B112" s="65" t="str">
        <f>Model!B128</f>
        <v>Total Year-over-Year Tax % Increase from Prior FY Base Property Tax</v>
      </c>
      <c r="C112" s="92" t="str">
        <f>Model!C128</f>
        <v>N/A</v>
      </c>
      <c r="D112" s="102">
        <f>Model!D128</f>
        <v>8.7530994184324973E-3</v>
      </c>
      <c r="E112" s="102">
        <f>Model!E128</f>
        <v>9.0340570756678604E-2</v>
      </c>
      <c r="F112" s="102">
        <f>Model!F128</f>
        <v>8.9900909299016077E-2</v>
      </c>
      <c r="G112" s="102">
        <f>Model!G128</f>
        <v>0.16413031745576956</v>
      </c>
      <c r="H112" s="102">
        <f>Model!H128</f>
        <v>0.16631754071155641</v>
      </c>
      <c r="I112" s="102">
        <f>Model!I128</f>
        <v>0.16289570244556453</v>
      </c>
      <c r="J112" s="102">
        <f>Model!J128</f>
        <v>0.15313324056698308</v>
      </c>
      <c r="K112" s="102">
        <f>Model!K128</f>
        <v>0.15903474589220112</v>
      </c>
      <c r="L112" s="102">
        <f>Model!L128</f>
        <v>0.15760779406646344</v>
      </c>
      <c r="M112" s="102">
        <f>Model!M128</f>
        <v>0.15498249581154161</v>
      </c>
      <c r="N112" s="103"/>
      <c r="O112" s="88"/>
      <c r="P112" s="1"/>
      <c r="Q112" s="1"/>
    </row>
    <row r="113" spans="1:17" ht="16.149999999999999" customHeight="1" thickBot="1">
      <c r="A113" s="87"/>
      <c r="B113" s="104"/>
      <c r="C113" s="105"/>
      <c r="D113" s="105"/>
      <c r="E113" s="105"/>
      <c r="F113" s="105"/>
      <c r="G113" s="105"/>
      <c r="H113" s="105"/>
      <c r="I113" s="105"/>
      <c r="J113" s="105"/>
      <c r="K113" s="105"/>
      <c r="L113" s="105"/>
      <c r="M113" s="105"/>
      <c r="N113" s="106"/>
      <c r="O113" s="88"/>
      <c r="P113" s="1"/>
      <c r="Q113" s="1"/>
    </row>
    <row r="114" spans="1:17" ht="15.75" thickTop="1">
      <c r="A114" s="87"/>
      <c r="B114" s="107"/>
      <c r="C114" s="108"/>
      <c r="D114" s="108"/>
      <c r="E114" s="108"/>
      <c r="F114" s="108"/>
      <c r="G114" s="108"/>
      <c r="H114" s="108"/>
      <c r="I114" s="108"/>
      <c r="J114" s="108"/>
      <c r="K114" s="108"/>
      <c r="L114" s="108"/>
      <c r="M114" s="108"/>
      <c r="N114" s="108"/>
      <c r="O114" s="88"/>
      <c r="P114" s="1"/>
      <c r="Q114" s="1"/>
    </row>
    <row r="115" spans="1:17">
      <c r="A115" s="87"/>
      <c r="B115" s="109"/>
      <c r="C115" s="108"/>
      <c r="D115" s="87"/>
      <c r="E115" s="108"/>
      <c r="F115" s="108"/>
      <c r="G115" s="108"/>
      <c r="H115" s="87"/>
      <c r="I115" s="87"/>
      <c r="J115" s="87"/>
      <c r="K115" s="87"/>
      <c r="L115" s="87"/>
      <c r="M115" s="87"/>
      <c r="N115" s="87"/>
      <c r="O115" s="87"/>
      <c r="P115" s="1"/>
      <c r="Q115" s="1"/>
    </row>
    <row r="116" spans="1:17">
      <c r="A116" s="110"/>
      <c r="B116" s="111"/>
      <c r="C116" s="108"/>
      <c r="D116" s="87"/>
      <c r="E116" s="108"/>
      <c r="F116" s="108"/>
      <c r="G116" s="108"/>
      <c r="H116" s="87"/>
      <c r="I116" s="87"/>
      <c r="J116" s="87"/>
      <c r="K116" s="87"/>
      <c r="L116" s="87"/>
      <c r="M116" s="87"/>
      <c r="N116" s="87"/>
      <c r="O116" s="87"/>
      <c r="P116" s="1"/>
      <c r="Q116" s="1"/>
    </row>
    <row r="117" spans="1:17">
      <c r="A117" s="87"/>
      <c r="B117" s="109"/>
      <c r="C117" s="108"/>
      <c r="D117" s="108"/>
      <c r="E117" s="108"/>
      <c r="F117" s="108"/>
      <c r="G117" s="108"/>
      <c r="H117" s="108"/>
      <c r="I117" s="108"/>
      <c r="J117" s="108"/>
      <c r="K117" s="108"/>
      <c r="L117" s="108"/>
      <c r="M117" s="108"/>
      <c r="N117" s="108"/>
      <c r="O117" s="88"/>
      <c r="P117" s="1"/>
      <c r="Q117" s="1"/>
    </row>
    <row r="118" spans="1:17">
      <c r="A118" s="87"/>
      <c r="B118" s="107"/>
      <c r="C118" s="108"/>
      <c r="D118" s="108"/>
      <c r="E118" s="108"/>
      <c r="F118" s="108"/>
      <c r="G118" s="108"/>
      <c r="H118" s="108"/>
      <c r="I118" s="108"/>
      <c r="J118" s="108"/>
      <c r="K118" s="108"/>
      <c r="L118" s="108"/>
      <c r="M118" s="108"/>
      <c r="N118" s="108"/>
      <c r="O118" s="88"/>
      <c r="P118" s="1"/>
      <c r="Q118" s="1"/>
    </row>
    <row r="119" spans="1:17">
      <c r="A119" s="87"/>
      <c r="B119" s="109"/>
      <c r="C119" s="108"/>
      <c r="D119" s="87"/>
      <c r="E119" s="108"/>
      <c r="F119" s="108"/>
      <c r="G119" s="108"/>
      <c r="H119" s="87"/>
      <c r="I119" s="87"/>
      <c r="J119" s="87"/>
      <c r="K119" s="87"/>
      <c r="L119" s="87"/>
      <c r="M119" s="87"/>
      <c r="N119" s="87"/>
      <c r="O119" s="87"/>
      <c r="P119" s="1"/>
      <c r="Q119" s="1"/>
    </row>
    <row r="120" spans="1:17">
      <c r="A120" s="110"/>
      <c r="B120" s="111"/>
      <c r="C120" s="108"/>
      <c r="D120" s="87"/>
      <c r="E120" s="108"/>
      <c r="F120" s="108"/>
      <c r="G120" s="108"/>
      <c r="H120" s="87"/>
      <c r="I120" s="87"/>
      <c r="J120" s="87"/>
      <c r="K120" s="87"/>
      <c r="L120" s="87"/>
      <c r="M120" s="87"/>
      <c r="N120" s="87"/>
      <c r="O120" s="87"/>
      <c r="P120" s="1"/>
      <c r="Q120" s="1"/>
    </row>
    <row r="121" spans="1:17">
      <c r="A121" s="87"/>
      <c r="B121" s="109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88"/>
      <c r="P121" s="1"/>
      <c r="Q121" s="1"/>
    </row>
    <row r="122" spans="1:17">
      <c r="A122" s="87"/>
      <c r="B122" s="107"/>
      <c r="C122" s="108"/>
      <c r="D122" s="108"/>
      <c r="E122" s="108"/>
      <c r="F122" s="108"/>
      <c r="G122" s="108"/>
      <c r="H122" s="108"/>
      <c r="I122" s="108"/>
      <c r="J122" s="108"/>
      <c r="K122" s="108"/>
      <c r="L122" s="108"/>
      <c r="M122" s="108"/>
      <c r="N122" s="108"/>
      <c r="O122" s="88"/>
      <c r="P122" s="1"/>
      <c r="Q122" s="1"/>
    </row>
    <row r="123" spans="1:17">
      <c r="A123" s="87"/>
      <c r="B123" s="109"/>
      <c r="C123" s="108"/>
      <c r="D123" s="87"/>
      <c r="E123" s="108"/>
      <c r="F123" s="108"/>
      <c r="G123" s="108"/>
      <c r="H123" s="87"/>
      <c r="I123" s="87"/>
      <c r="J123" s="87"/>
      <c r="K123" s="87"/>
      <c r="L123" s="87"/>
      <c r="M123" s="87"/>
      <c r="N123" s="87"/>
      <c r="O123" s="87"/>
      <c r="P123" s="1"/>
      <c r="Q123" s="1"/>
    </row>
    <row r="124" spans="1:17">
      <c r="A124" s="110"/>
      <c r="B124" s="111"/>
      <c r="C124" s="108"/>
      <c r="D124" s="87"/>
      <c r="E124" s="108"/>
      <c r="F124" s="108"/>
      <c r="G124" s="108"/>
      <c r="H124" s="87"/>
      <c r="I124" s="87"/>
      <c r="J124" s="87"/>
      <c r="K124" s="87"/>
      <c r="L124" s="87"/>
      <c r="M124" s="87"/>
      <c r="N124" s="87"/>
      <c r="O124" s="87"/>
      <c r="P124" s="1"/>
      <c r="Q124" s="1"/>
    </row>
    <row r="125" spans="1:17">
      <c r="A125" s="87"/>
      <c r="B125" s="109"/>
      <c r="C125" s="108"/>
      <c r="D125" s="108"/>
      <c r="E125" s="108"/>
      <c r="F125" s="108"/>
      <c r="G125" s="108"/>
      <c r="H125" s="108"/>
      <c r="I125" s="108"/>
      <c r="J125" s="108"/>
      <c r="K125" s="108"/>
      <c r="L125" s="108"/>
      <c r="M125" s="108"/>
      <c r="N125" s="108"/>
      <c r="O125" s="88"/>
      <c r="P125" s="1"/>
      <c r="Q125" s="1"/>
    </row>
    <row r="126" spans="1:17">
      <c r="A126" s="87"/>
      <c r="B126" s="107"/>
      <c r="C126" s="108"/>
      <c r="D126" s="108"/>
      <c r="E126" s="108"/>
      <c r="F126" s="108"/>
      <c r="G126" s="108"/>
      <c r="H126" s="108"/>
      <c r="I126" s="108"/>
      <c r="J126" s="108"/>
      <c r="K126" s="108"/>
      <c r="L126" s="108"/>
      <c r="M126" s="108"/>
      <c r="N126" s="108"/>
      <c r="O126" s="88"/>
      <c r="P126" s="1"/>
      <c r="Q126" s="1"/>
    </row>
    <row r="127" spans="1:17">
      <c r="A127" s="87"/>
      <c r="B127" s="109"/>
      <c r="C127" s="108"/>
      <c r="D127" s="87"/>
      <c r="E127" s="108"/>
      <c r="F127" s="108"/>
      <c r="G127" s="108"/>
      <c r="H127" s="87"/>
      <c r="I127" s="87"/>
      <c r="J127" s="87"/>
      <c r="K127" s="87"/>
      <c r="L127" s="87"/>
      <c r="M127" s="87"/>
      <c r="N127" s="87"/>
      <c r="O127" s="87"/>
      <c r="P127" s="1"/>
      <c r="Q127" s="1"/>
    </row>
    <row r="128" spans="1:17">
      <c r="A128" s="110"/>
      <c r="B128" s="111"/>
      <c r="C128" s="108"/>
      <c r="D128" s="87"/>
      <c r="E128" s="108"/>
      <c r="F128" s="108"/>
      <c r="G128" s="108"/>
      <c r="H128" s="87"/>
      <c r="I128" s="87"/>
      <c r="J128" s="87"/>
      <c r="K128" s="87"/>
      <c r="L128" s="87"/>
      <c r="M128" s="87"/>
      <c r="N128" s="87"/>
      <c r="O128" s="87"/>
      <c r="P128" s="1"/>
      <c r="Q128" s="1"/>
    </row>
    <row r="129" spans="1:17">
      <c r="A129" s="87"/>
      <c r="B129" s="109"/>
      <c r="C129" s="108"/>
      <c r="D129" s="108"/>
      <c r="E129" s="108"/>
      <c r="F129" s="108"/>
      <c r="G129" s="108"/>
      <c r="H129" s="108"/>
      <c r="I129" s="108"/>
      <c r="J129" s="108"/>
      <c r="K129" s="108"/>
      <c r="L129" s="108"/>
      <c r="M129" s="108"/>
      <c r="N129" s="108"/>
      <c r="O129" s="88"/>
      <c r="P129" s="1"/>
      <c r="Q129" s="1"/>
    </row>
    <row r="130" spans="1:17">
      <c r="A130" s="87"/>
      <c r="B130" s="107"/>
      <c r="C130" s="108"/>
      <c r="D130" s="108"/>
      <c r="E130" s="108"/>
      <c r="F130" s="108"/>
      <c r="G130" s="108"/>
      <c r="H130" s="108"/>
      <c r="I130" s="108"/>
      <c r="J130" s="108"/>
      <c r="K130" s="108"/>
      <c r="L130" s="108"/>
      <c r="M130" s="108"/>
      <c r="N130" s="108"/>
      <c r="O130" s="88"/>
      <c r="P130" s="1"/>
      <c r="Q130" s="1"/>
    </row>
    <row r="131" spans="1:17">
      <c r="A131" s="87"/>
      <c r="B131" s="109"/>
      <c r="C131" s="108"/>
      <c r="D131" s="87"/>
      <c r="E131" s="108"/>
      <c r="F131" s="108"/>
      <c r="G131" s="108"/>
      <c r="H131" s="87"/>
      <c r="I131" s="87"/>
      <c r="J131" s="87"/>
      <c r="K131" s="87"/>
      <c r="L131" s="87"/>
      <c r="M131" s="87"/>
      <c r="N131" s="87"/>
      <c r="O131" s="87"/>
      <c r="P131" s="1"/>
      <c r="Q131" s="1"/>
    </row>
    <row r="132" spans="1:17">
      <c r="A132" s="110"/>
      <c r="B132" s="111"/>
      <c r="C132" s="108"/>
      <c r="D132" s="87"/>
      <c r="E132" s="108"/>
      <c r="F132" s="108"/>
      <c r="G132" s="108"/>
      <c r="H132" s="87"/>
      <c r="I132" s="87"/>
      <c r="J132" s="87"/>
      <c r="K132" s="87"/>
      <c r="L132" s="87"/>
      <c r="M132" s="87"/>
      <c r="N132" s="87"/>
      <c r="O132" s="87"/>
      <c r="P132" s="1"/>
      <c r="Q132" s="1"/>
    </row>
    <row r="133" spans="1:17">
      <c r="A133" s="87"/>
      <c r="B133" s="109"/>
      <c r="C133" s="108"/>
      <c r="D133" s="108"/>
      <c r="E133" s="108"/>
      <c r="F133" s="108"/>
      <c r="G133" s="108"/>
      <c r="H133" s="108"/>
      <c r="I133" s="108"/>
      <c r="J133" s="108"/>
      <c r="K133" s="108"/>
      <c r="L133" s="108"/>
      <c r="M133" s="108"/>
      <c r="N133" s="108"/>
      <c r="O133" s="88"/>
      <c r="P133" s="1"/>
      <c r="Q133" s="1"/>
    </row>
    <row r="134" spans="1:17">
      <c r="A134" s="87"/>
      <c r="B134" s="107"/>
      <c r="C134" s="108"/>
      <c r="D134" s="108"/>
      <c r="E134" s="108"/>
      <c r="F134" s="108"/>
      <c r="G134" s="108"/>
      <c r="H134" s="108"/>
      <c r="I134" s="108"/>
      <c r="J134" s="108"/>
      <c r="K134" s="108"/>
      <c r="L134" s="108"/>
      <c r="M134" s="108"/>
      <c r="N134" s="108"/>
      <c r="O134" s="88"/>
      <c r="P134" s="1"/>
      <c r="Q134" s="1"/>
    </row>
    <row r="135" spans="1:17">
      <c r="A135" s="87"/>
      <c r="B135" s="109"/>
      <c r="C135" s="108"/>
      <c r="D135" s="87"/>
      <c r="E135" s="108"/>
      <c r="F135" s="108"/>
      <c r="G135" s="108"/>
      <c r="H135" s="87"/>
      <c r="I135" s="87"/>
      <c r="J135" s="87"/>
      <c r="K135" s="87"/>
      <c r="L135" s="87"/>
      <c r="M135" s="87"/>
      <c r="N135" s="87"/>
      <c r="O135" s="87"/>
      <c r="P135" s="1"/>
      <c r="Q135" s="1"/>
    </row>
    <row r="136" spans="1:17">
      <c r="A136" s="110"/>
      <c r="B136" s="111"/>
      <c r="C136" s="108"/>
      <c r="D136" s="87"/>
      <c r="E136" s="108"/>
      <c r="F136" s="108"/>
      <c r="G136" s="108"/>
      <c r="H136" s="87"/>
      <c r="I136" s="87"/>
      <c r="J136" s="87"/>
      <c r="K136" s="87"/>
      <c r="L136" s="87"/>
      <c r="M136" s="87"/>
      <c r="N136" s="87"/>
      <c r="O136" s="87"/>
      <c r="P136" s="1"/>
      <c r="Q136" s="1"/>
    </row>
    <row r="137" spans="1:17">
      <c r="A137" s="87"/>
      <c r="B137" s="109"/>
      <c r="C137" s="108"/>
      <c r="D137" s="108"/>
      <c r="E137" s="108"/>
      <c r="F137" s="108"/>
      <c r="G137" s="108"/>
      <c r="H137" s="108"/>
      <c r="I137" s="108"/>
      <c r="J137" s="108"/>
      <c r="K137" s="108"/>
      <c r="L137" s="108"/>
      <c r="M137" s="108"/>
      <c r="N137" s="108"/>
      <c r="O137" s="88"/>
      <c r="P137" s="1"/>
      <c r="Q137" s="1"/>
    </row>
    <row r="138" spans="1:17">
      <c r="A138" s="87"/>
      <c r="B138" s="107"/>
      <c r="C138" s="108"/>
      <c r="D138" s="108"/>
      <c r="E138" s="108"/>
      <c r="F138" s="108"/>
      <c r="G138" s="108"/>
      <c r="H138" s="108"/>
      <c r="I138" s="108"/>
      <c r="J138" s="108"/>
      <c r="K138" s="108"/>
      <c r="L138" s="108"/>
      <c r="M138" s="108"/>
      <c r="N138" s="108"/>
      <c r="O138" s="88"/>
      <c r="P138" s="1"/>
      <c r="Q138" s="1"/>
    </row>
    <row r="139" spans="1:17">
      <c r="A139" s="87"/>
      <c r="B139" s="109"/>
      <c r="C139" s="87"/>
      <c r="D139" s="87"/>
      <c r="E139" s="108"/>
      <c r="F139" s="108"/>
      <c r="G139" s="108"/>
      <c r="H139" s="87"/>
      <c r="I139" s="87"/>
      <c r="J139" s="87"/>
      <c r="K139" s="87"/>
      <c r="L139" s="87"/>
      <c r="M139" s="87"/>
      <c r="N139" s="87"/>
      <c r="O139" s="19"/>
      <c r="P139" s="1"/>
      <c r="Q139" s="1"/>
    </row>
    <row r="140" spans="1:17">
      <c r="A140" s="87"/>
      <c r="B140" s="112"/>
      <c r="C140" s="88"/>
      <c r="D140" s="88"/>
      <c r="E140" s="88"/>
      <c r="F140" s="88"/>
      <c r="G140" s="88"/>
      <c r="H140" s="88"/>
      <c r="I140" s="88"/>
      <c r="J140" s="88"/>
      <c r="K140" s="88"/>
      <c r="L140" s="88"/>
      <c r="M140" s="88"/>
      <c r="N140" s="88"/>
      <c r="O140" s="88"/>
      <c r="P140" s="1"/>
      <c r="Q140" s="1"/>
    </row>
    <row r="141" spans="1:17">
      <c r="A141" s="87"/>
      <c r="B141" s="87"/>
      <c r="C141" s="87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112"/>
      <c r="O141" s="88"/>
      <c r="P141" s="1"/>
      <c r="Q141" s="1"/>
    </row>
    <row r="142" spans="1:17">
      <c r="A142" s="87"/>
      <c r="B142" s="113"/>
      <c r="C142" s="110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"/>
      <c r="Q142" s="1"/>
    </row>
    <row r="143" spans="1:17">
      <c r="A143" s="87"/>
      <c r="B143" s="114"/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  <c r="M143" s="115"/>
      <c r="N143" s="115"/>
      <c r="O143" s="87"/>
      <c r="P143" s="1"/>
      <c r="Q143" s="1"/>
    </row>
    <row r="144" spans="1:17">
      <c r="A144" s="87"/>
      <c r="B144" s="114"/>
      <c r="C144" s="115"/>
      <c r="D144" s="115"/>
      <c r="E144" s="115"/>
      <c r="F144" s="115"/>
      <c r="G144" s="115"/>
      <c r="H144" s="115"/>
      <c r="I144" s="115"/>
      <c r="J144" s="115"/>
      <c r="K144" s="115"/>
      <c r="L144" s="115"/>
      <c r="M144" s="115"/>
      <c r="N144" s="115"/>
      <c r="O144" s="87"/>
      <c r="P144" s="1"/>
      <c r="Q144" s="1"/>
    </row>
    <row r="145" spans="1:17">
      <c r="A145" s="87"/>
      <c r="B145" s="109"/>
      <c r="C145" s="115"/>
      <c r="D145" s="115"/>
      <c r="E145" s="115"/>
      <c r="F145" s="115"/>
      <c r="G145" s="115"/>
      <c r="H145" s="115"/>
      <c r="I145" s="115"/>
      <c r="J145" s="115"/>
      <c r="K145" s="115"/>
      <c r="L145" s="115"/>
      <c r="M145" s="115"/>
      <c r="N145" s="115"/>
      <c r="O145" s="87"/>
      <c r="P145" s="1"/>
      <c r="Q145" s="1"/>
    </row>
    <row r="146" spans="1:17">
      <c r="A146" s="87"/>
      <c r="B146" s="109"/>
      <c r="C146" s="115"/>
      <c r="D146" s="115"/>
      <c r="E146" s="115"/>
      <c r="F146" s="115"/>
      <c r="G146" s="115"/>
      <c r="H146" s="115"/>
      <c r="I146" s="115"/>
      <c r="J146" s="115"/>
      <c r="K146" s="115"/>
      <c r="L146" s="115"/>
      <c r="M146" s="115"/>
      <c r="N146" s="115"/>
      <c r="O146" s="87"/>
      <c r="P146" s="1"/>
      <c r="Q146" s="1"/>
    </row>
    <row r="147" spans="1:17">
      <c r="A147" s="87"/>
      <c r="B147" s="109"/>
      <c r="C147" s="115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"/>
      <c r="Q147" s="1"/>
    </row>
    <row r="148" spans="1:17">
      <c r="A148" s="87"/>
      <c r="B148" s="109"/>
      <c r="C148" s="115"/>
      <c r="D148" s="115"/>
      <c r="E148" s="115"/>
      <c r="F148" s="115"/>
      <c r="G148" s="115"/>
      <c r="H148" s="115"/>
      <c r="I148" s="115"/>
      <c r="J148" s="115"/>
      <c r="K148" s="115"/>
      <c r="L148" s="115"/>
      <c r="M148" s="115"/>
      <c r="N148" s="115"/>
      <c r="O148" s="87"/>
      <c r="P148" s="1"/>
      <c r="Q148" s="1"/>
    </row>
    <row r="149" spans="1:17">
      <c r="A149" s="87"/>
      <c r="B149" s="109"/>
      <c r="C149" s="116"/>
      <c r="D149" s="116"/>
      <c r="E149" s="116"/>
      <c r="F149" s="116"/>
      <c r="G149" s="116"/>
      <c r="H149" s="116"/>
      <c r="I149" s="116"/>
      <c r="J149" s="116"/>
      <c r="K149" s="116"/>
      <c r="L149" s="116"/>
      <c r="M149" s="116"/>
      <c r="N149" s="116"/>
      <c r="O149" s="117"/>
      <c r="P149" s="1"/>
      <c r="Q149" s="1"/>
    </row>
    <row r="150" spans="1:17">
      <c r="A150" s="87"/>
      <c r="B150" s="87"/>
      <c r="C150" s="87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"/>
      <c r="Q150" s="1"/>
    </row>
    <row r="151" spans="1:17">
      <c r="A151" s="87"/>
      <c r="B151" s="113"/>
      <c r="C151" s="87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"/>
      <c r="Q151" s="1"/>
    </row>
    <row r="152" spans="1:17">
      <c r="A152" s="87"/>
      <c r="B152" s="118"/>
      <c r="C152" s="87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"/>
      <c r="Q152" s="1"/>
    </row>
    <row r="153" spans="1:17">
      <c r="A153" s="87"/>
      <c r="B153" s="118"/>
      <c r="C153" s="87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"/>
      <c r="Q153" s="1"/>
    </row>
    <row r="154" spans="1:17">
      <c r="A154" s="87"/>
      <c r="B154" s="112"/>
      <c r="C154" s="108"/>
      <c r="D154" s="108"/>
      <c r="E154" s="108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"/>
      <c r="Q154" s="1"/>
    </row>
    <row r="155" spans="1:17">
      <c r="A155" s="87"/>
      <c r="B155" s="87"/>
      <c r="C155" s="87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"/>
      <c r="Q155" s="1"/>
    </row>
    <row r="156" spans="1:17">
      <c r="A156" s="87"/>
      <c r="B156" s="110"/>
      <c r="C156" s="116"/>
      <c r="D156" s="116"/>
      <c r="E156" s="116"/>
      <c r="F156" s="116"/>
      <c r="G156" s="116"/>
      <c r="H156" s="116"/>
      <c r="I156" s="116"/>
      <c r="J156" s="116"/>
      <c r="K156" s="116"/>
      <c r="L156" s="116"/>
      <c r="M156" s="116"/>
      <c r="N156" s="116"/>
      <c r="O156" s="116"/>
      <c r="P156" s="1"/>
      <c r="Q156" s="1"/>
    </row>
    <row r="157" spans="1:17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</row>
    <row r="158" spans="1:17">
      <c r="A158" s="19"/>
      <c r="B158" s="110"/>
      <c r="C158" s="119"/>
      <c r="D158" s="119"/>
      <c r="E158" s="120"/>
      <c r="F158" s="120"/>
      <c r="G158" s="120"/>
      <c r="H158" s="19"/>
      <c r="I158" s="19"/>
      <c r="J158" s="19"/>
      <c r="K158" s="19"/>
      <c r="L158" s="19"/>
      <c r="M158" s="19"/>
      <c r="N158" s="19"/>
      <c r="O158" s="19"/>
    </row>
  </sheetData>
  <sheetProtection algorithmName="SHA-512" hashValue="FJVKX69GLYWwqn+oJKxEwcg/0oS02Xyos93dtUwCRt1hAQBAnELMxnCAME20UKHOxQw9VST3t5BUOVBQU4/E/w==" saltValue="egVUbCxlfZqG1d2cM6d2Rg==" spinCount="100000" sheet="1" objects="1" scenarios="1"/>
  <mergeCells count="9">
    <mergeCell ref="B79:N79"/>
    <mergeCell ref="B1:N1"/>
    <mergeCell ref="J50:L50"/>
    <mergeCell ref="B48:N48"/>
    <mergeCell ref="N53:N56"/>
    <mergeCell ref="B2:N2"/>
    <mergeCell ref="B49:N49"/>
    <mergeCell ref="D30:M30"/>
    <mergeCell ref="N8:N9"/>
  </mergeCells>
  <phoneticPr fontId="16" type="noConversion"/>
  <printOptions headings="1" gridLines="1"/>
  <pageMargins left="0.4" right="0.4" top="0.4" bottom="0.4" header="0.3" footer="0.3"/>
  <pageSetup scale="40" orientation="landscape" cellComments="asDisplayed" r:id="rId1"/>
  <headerFooter>
    <oddHeader>&amp;L&amp;F&amp;RPage &amp;P of &amp;N</oddHeader>
    <oddFooter>&amp;L&amp;A&amp;R&amp;D &amp;T</oddFooter>
  </headerFooter>
  <rowBreaks count="2" manualBreakCount="2">
    <brk id="46" max="14" man="1"/>
    <brk id="114" max="14" man="1"/>
  </rowBreaks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L841"/>
  <sheetViews>
    <sheetView showGridLines="0" view="pageBreakPreview" zoomScaleNormal="100" zoomScaleSheetLayoutView="100" workbookViewId="0">
      <selection activeCell="B1" sqref="B1"/>
    </sheetView>
  </sheetViews>
  <sheetFormatPr defaultColWidth="9.140625" defaultRowHeight="12.75"/>
  <cols>
    <col min="1" max="1" width="10.28515625" style="510" customWidth="1"/>
    <col min="2" max="2" width="6.42578125" style="510" customWidth="1"/>
    <col min="3" max="3" width="9.42578125" style="510" customWidth="1"/>
    <col min="4" max="4" width="12.140625" style="510" customWidth="1"/>
    <col min="5" max="5" width="18.7109375" style="510" customWidth="1"/>
    <col min="6" max="6" width="5.28515625" style="510" customWidth="1"/>
    <col min="7" max="7" width="10.7109375" style="510" customWidth="1"/>
    <col min="8" max="8" width="11.85546875" style="510" customWidth="1"/>
    <col min="9" max="9" width="16.5703125" style="510" customWidth="1"/>
    <col min="10" max="10" width="16.42578125" style="510" hidden="1" customWidth="1"/>
    <col min="11" max="11" width="19" style="510" customWidth="1"/>
    <col min="12" max="12" width="13.7109375" style="510" customWidth="1"/>
    <col min="13" max="16384" width="9.140625" style="510"/>
  </cols>
  <sheetData>
    <row r="1" spans="2:10" ht="22.9" customHeight="1">
      <c r="B1" s="593" t="s">
        <v>727</v>
      </c>
      <c r="C1" s="508"/>
      <c r="D1" s="594"/>
      <c r="E1" s="508"/>
      <c r="F1" s="508"/>
      <c r="G1" s="508"/>
      <c r="H1" s="509"/>
      <c r="I1" s="509"/>
    </row>
    <row r="2" spans="2:10" ht="12.75" customHeight="1">
      <c r="B2" s="511"/>
      <c r="C2" s="512"/>
      <c r="D2" s="512"/>
      <c r="E2" s="512"/>
      <c r="F2" s="512"/>
      <c r="G2" s="512"/>
      <c r="H2" s="512"/>
      <c r="I2" s="513" t="str">
        <f ca="1">"© 2008-" &amp; YEAR(TODAY()) &amp; " Vertex42 LLC"</f>
        <v>© 2008-2022 Vertex42 LLC</v>
      </c>
    </row>
    <row r="5" spans="2:10" ht="14.25">
      <c r="B5" s="514" t="s">
        <v>670</v>
      </c>
      <c r="C5" s="515"/>
      <c r="D5" s="515"/>
      <c r="E5" s="515"/>
      <c r="G5" s="514" t="s">
        <v>671</v>
      </c>
      <c r="H5" s="516"/>
      <c r="I5" s="516"/>
      <c r="J5" s="517" t="s">
        <v>672</v>
      </c>
    </row>
    <row r="6" spans="2:10" ht="15" customHeight="1">
      <c r="B6" s="512"/>
      <c r="C6" s="512"/>
      <c r="D6" s="518" t="s">
        <v>673</v>
      </c>
      <c r="E6" s="595">
        <f>Dashboard!K28</f>
        <v>0</v>
      </c>
      <c r="H6" s="519" t="s">
        <v>674</v>
      </c>
      <c r="I6" s="520">
        <f>((1+E7/E15)^(E15/E14))-1</f>
        <v>3.7500000000000089E-2</v>
      </c>
      <c r="J6" s="510" t="s">
        <v>152</v>
      </c>
    </row>
    <row r="7" spans="2:10" ht="15" customHeight="1">
      <c r="B7" s="512"/>
      <c r="C7" s="512"/>
      <c r="D7" s="518" t="s">
        <v>675</v>
      </c>
      <c r="E7" s="521">
        <f>Dashboard!F13</f>
        <v>3.7499999999999999E-2</v>
      </c>
      <c r="H7" s="519" t="s">
        <v>676</v>
      </c>
      <c r="I7" s="522">
        <f>SUM(G61:G840)+SUM(H61:H840)</f>
        <v>0</v>
      </c>
      <c r="J7" s="510" t="s">
        <v>677</v>
      </c>
    </row>
    <row r="8" spans="2:10" ht="15" customHeight="1">
      <c r="B8" s="512"/>
      <c r="C8" s="512"/>
      <c r="D8" s="518" t="s">
        <v>678</v>
      </c>
      <c r="E8" s="523">
        <f>Dashboard!K33</f>
        <v>30</v>
      </c>
      <c r="H8" s="519" t="s">
        <v>679</v>
      </c>
      <c r="I8" s="524">
        <f>SUM(G60:G840)</f>
        <v>0</v>
      </c>
      <c r="J8" s="510" t="s">
        <v>680</v>
      </c>
    </row>
    <row r="9" spans="2:10" ht="15" customHeight="1">
      <c r="B9" s="512"/>
      <c r="C9" s="512"/>
      <c r="D9" s="518" t="s">
        <v>681</v>
      </c>
      <c r="E9" s="525">
        <v>47300</v>
      </c>
      <c r="H9" s="519" t="s">
        <v>682</v>
      </c>
      <c r="I9" s="526" t="str">
        <f>IF(AND(SUM(E61:E840)=0,roundOpt)," - ",(nper*(-PMT(rate,nper,loan_amount,,pmtType))-loan_amount)-I8)</f>
        <v xml:space="preserve"> - </v>
      </c>
      <c r="J9" s="510" t="s">
        <v>683</v>
      </c>
    </row>
    <row r="10" spans="2:10" ht="15" customHeight="1">
      <c r="B10" s="512" t="e">
        <f>+#REF!</f>
        <v>#REF!</v>
      </c>
      <c r="C10" s="512"/>
      <c r="D10" s="518" t="s">
        <v>684</v>
      </c>
      <c r="E10" s="525" t="s">
        <v>685</v>
      </c>
      <c r="I10" s="527" t="str">
        <f ca="1">IF(AND(NOT(I840=""),I840&gt;0.004),"ERROR: Limit is "&amp;OFFSET(B841,-1,0,1,1)&amp;" payments",".")</f>
        <v>.</v>
      </c>
      <c r="J10" s="510" t="s">
        <v>686</v>
      </c>
    </row>
    <row r="11" spans="2:10" ht="15" customHeight="1">
      <c r="B11" s="512"/>
      <c r="C11" s="512"/>
      <c r="D11" s="518" t="s">
        <v>687</v>
      </c>
      <c r="E11" s="528" t="str">
        <f>E10</f>
        <v>annual</v>
      </c>
      <c r="I11" s="529" t="str">
        <f>IF(E15&gt;E14,"Warning: negative amortization",".")</f>
        <v>.</v>
      </c>
      <c r="J11" s="510" t="s">
        <v>688</v>
      </c>
    </row>
    <row r="12" spans="2:10" ht="15" customHeight="1">
      <c r="B12" s="512"/>
      <c r="C12" s="512"/>
      <c r="D12" s="518" t="s">
        <v>689</v>
      </c>
      <c r="E12" s="528" t="s">
        <v>690</v>
      </c>
      <c r="J12" s="510" t="s">
        <v>691</v>
      </c>
    </row>
    <row r="13" spans="2:10" ht="15" customHeight="1">
      <c r="B13" s="512"/>
      <c r="C13" s="512"/>
      <c r="D13" s="518" t="s">
        <v>692</v>
      </c>
      <c r="E13" s="528" t="s">
        <v>693</v>
      </c>
      <c r="I13" s="529"/>
      <c r="J13" s="510" t="s">
        <v>694</v>
      </c>
    </row>
    <row r="14" spans="2:10" ht="15" customHeight="1">
      <c r="B14" s="512"/>
      <c r="C14" s="512"/>
      <c r="D14" s="530" t="s">
        <v>695</v>
      </c>
      <c r="E14" s="512">
        <f>INDEX({1;2;4;6;12;24;26;52},MATCH('FY30 Level-Payment'!$E$10,$J$6:$J$13,0))</f>
        <v>1</v>
      </c>
    </row>
    <row r="15" spans="2:10" ht="15" customHeight="1">
      <c r="B15" s="512"/>
      <c r="C15" s="512"/>
      <c r="D15" s="530" t="s">
        <v>687</v>
      </c>
      <c r="E15" s="512">
        <f>INDEX({1;2;4;6;12;24;26;52},MATCH('FY30 Level-Payment'!$E$11,$J$6:$J$13,0))</f>
        <v>1</v>
      </c>
    </row>
    <row r="16" spans="2:10" ht="15" customHeight="1">
      <c r="B16" s="512"/>
      <c r="C16" s="512"/>
      <c r="D16" s="530" t="s">
        <v>689</v>
      </c>
      <c r="E16" s="512">
        <f>IF('FY30 Level-Payment'!$E$12="End of Period",0,1)</f>
        <v>1</v>
      </c>
    </row>
    <row r="17" spans="2:12" ht="15" customHeight="1">
      <c r="B17" s="512"/>
      <c r="C17" s="512"/>
      <c r="D17" s="530" t="s">
        <v>696</v>
      </c>
      <c r="E17" s="512">
        <f>12/$E$14</f>
        <v>12</v>
      </c>
    </row>
    <row r="18" spans="2:12" ht="15" customHeight="1">
      <c r="B18" s="512"/>
      <c r="C18" s="512"/>
      <c r="D18" s="530" t="s">
        <v>697</v>
      </c>
      <c r="E18" s="512">
        <f>$E$8*$E$14</f>
        <v>30</v>
      </c>
    </row>
    <row r="19" spans="2:12" ht="15" customHeight="1">
      <c r="B19" s="512"/>
      <c r="C19" s="512"/>
      <c r="D19" s="530" t="s">
        <v>698</v>
      </c>
      <c r="E19" s="513" t="b">
        <f>(E13="On")</f>
        <v>1</v>
      </c>
    </row>
    <row r="20" spans="2:12">
      <c r="I20" s="531" t="s">
        <v>699</v>
      </c>
    </row>
    <row r="21" spans="2:12" ht="15.75">
      <c r="D21" s="532" t="str">
        <f>E10&amp;" Payment"</f>
        <v>annual Payment</v>
      </c>
      <c r="E21" s="533">
        <f>IF(roundOpt,ROUND(-PMT(rate,nper,$E$6,,pmtType),2),-PMT(rate,nper,$E$6,,pmtType))</f>
        <v>0</v>
      </c>
      <c r="I21" s="531"/>
    </row>
    <row r="22" spans="2:12">
      <c r="I22" s="531"/>
    </row>
    <row r="23" spans="2:12" ht="15">
      <c r="B23" s="534" t="s">
        <v>700</v>
      </c>
      <c r="C23" s="534"/>
      <c r="D23" s="534"/>
      <c r="E23" s="534"/>
      <c r="F23" s="534"/>
      <c r="G23" s="534"/>
      <c r="H23" s="534"/>
      <c r="I23" s="534"/>
    </row>
    <row r="24" spans="2:12" ht="26.25" thickBot="1">
      <c r="B24" s="535"/>
      <c r="C24" s="536" t="s">
        <v>42</v>
      </c>
      <c r="D24" s="537" t="s">
        <v>701</v>
      </c>
      <c r="E24" s="537" t="s">
        <v>702</v>
      </c>
      <c r="F24" s="537"/>
      <c r="G24" s="537" t="s">
        <v>703</v>
      </c>
      <c r="H24" s="537" t="s">
        <v>704</v>
      </c>
      <c r="I24" s="537" t="s">
        <v>705</v>
      </c>
      <c r="K24" s="538" t="s">
        <v>706</v>
      </c>
    </row>
    <row r="25" spans="2:12">
      <c r="B25" s="539"/>
      <c r="C25" s="540"/>
      <c r="D25" s="539"/>
      <c r="E25" s="539"/>
      <c r="F25" s="539"/>
      <c r="G25" s="539"/>
      <c r="H25" s="541"/>
      <c r="I25" s="542">
        <f>loan_amount</f>
        <v>0</v>
      </c>
      <c r="K25" s="543">
        <f>loan_amount</f>
        <v>0</v>
      </c>
    </row>
    <row r="26" spans="2:12">
      <c r="B26" s="544"/>
      <c r="C26" s="544">
        <f>YEAR(fpdate)</f>
        <v>2029</v>
      </c>
      <c r="D26" s="545">
        <f>SUMIF($C$60:$C$841,"&lt;="&amp;DATE($C26,12,31),$D$60:$D$841)-SUM(D$25:D25)</f>
        <v>0</v>
      </c>
      <c r="E26" s="545">
        <f>SUMIF($C$60:$C$841,"&lt;="&amp;DATE($C26,12,31),$E$60:$E$841)-SUM(E$25:E25)</f>
        <v>0</v>
      </c>
      <c r="F26" s="546"/>
      <c r="G26" s="545">
        <f>SUMIF($C$60:$C$841,"&lt;="&amp;DATE($C26,12,31),$G$60:$G$841)-SUM(G$25:G25)</f>
        <v>0</v>
      </c>
      <c r="H26" s="545">
        <f>SUMIF($C$60:$C$841,"&lt;="&amp;DATE($C26,12,31),$H$60:$H$841)-SUM(H$25:H25)</f>
        <v>0</v>
      </c>
      <c r="I26" s="545">
        <f>I25-H26</f>
        <v>0</v>
      </c>
      <c r="K26" s="547">
        <f t="shared" ref="K26:K54" si="0">K25-H26</f>
        <v>0</v>
      </c>
    </row>
    <row r="27" spans="2:12">
      <c r="B27" s="548"/>
      <c r="C27" s="544">
        <f>C26+1</f>
        <v>2030</v>
      </c>
      <c r="D27" s="545">
        <f>SUMIF($C$60:$C$841,"&lt;="&amp;DATE($C27,12,31),$D$60:$D$841)-SUM(D$25:D26)</f>
        <v>0</v>
      </c>
      <c r="E27" s="545">
        <f>SUMIF($C$60:$C$841,"&lt;="&amp;DATE($C27,12,31),$E$60:$E$841)-SUM(E$25:E26)</f>
        <v>0</v>
      </c>
      <c r="F27" s="546"/>
      <c r="G27" s="545">
        <f>SUMIF($C$60:$C$841,"&lt;="&amp;DATE($C27,12,31),$G$60:$G$841)-SUM(G$25:G26)</f>
        <v>0</v>
      </c>
      <c r="H27" s="545">
        <f>SUMIF($C$60:$C$841,"&lt;="&amp;DATE($C27,12,31),$H$60:$H$841)-SUM(H$25:H26)</f>
        <v>0</v>
      </c>
      <c r="I27" s="545">
        <f>I26-H27</f>
        <v>0</v>
      </c>
      <c r="K27" s="547">
        <f t="shared" si="0"/>
        <v>0</v>
      </c>
      <c r="L27" s="538" t="s">
        <v>719</v>
      </c>
    </row>
    <row r="28" spans="2:12">
      <c r="B28" s="548"/>
      <c r="C28" s="544">
        <f>C27+1</f>
        <v>2031</v>
      </c>
      <c r="D28" s="545">
        <f>SUMIF($C$60:$C$841,"&lt;="&amp;DATE($C28,12,31),$D$60:$D$841)-SUM(D$25:D27)</f>
        <v>0</v>
      </c>
      <c r="E28" s="545">
        <f>SUMIF($C$60:$C$841,"&lt;="&amp;DATE($C28,12,31),$E$60:$E$841)-SUM(E$25:E27)</f>
        <v>0</v>
      </c>
      <c r="F28" s="546"/>
      <c r="G28" s="545">
        <f>SUMIF($C$60:$C$841,"&lt;="&amp;DATE($C28,12,31),$G$60:$G$841)-SUM(G$25:G27)</f>
        <v>0</v>
      </c>
      <c r="H28" s="545">
        <f>SUMIF($C$60:$C$841,"&lt;="&amp;DATE($C28,12,31),$H$60:$H$841)-SUM(H$25:H27)</f>
        <v>0</v>
      </c>
      <c r="I28" s="545">
        <f>I27-H28</f>
        <v>0</v>
      </c>
      <c r="K28" s="547">
        <f t="shared" si="0"/>
        <v>0</v>
      </c>
      <c r="L28" s="604">
        <f>SUM(D26:D28)</f>
        <v>0</v>
      </c>
    </row>
    <row r="29" spans="2:12">
      <c r="B29" s="548"/>
      <c r="C29" s="544">
        <f>C28+1</f>
        <v>2032</v>
      </c>
      <c r="D29" s="545">
        <f>SUMIF($C$60:$C$841,"&lt;="&amp;DATE($C29,12,31),$D$60:$D$841)-SUM(D$25:D28)</f>
        <v>0</v>
      </c>
      <c r="E29" s="545">
        <f>SUMIF($C$60:$C$841,"&lt;="&amp;DATE($C29,12,31),$E$60:$E$841)-SUM(E$25:E28)</f>
        <v>0</v>
      </c>
      <c r="F29" s="546"/>
      <c r="G29" s="545">
        <f>SUMIF($C$60:$C$841,"&lt;="&amp;DATE($C29,12,31),$G$60:$G$841)-SUM(G$25:G28)</f>
        <v>0</v>
      </c>
      <c r="H29" s="545">
        <f>SUMIF($C$60:$C$841,"&lt;="&amp;DATE($C29,12,31),$H$60:$H$841)-SUM(H$25:H28)</f>
        <v>0</v>
      </c>
      <c r="I29" s="545">
        <f>I28-H29</f>
        <v>0</v>
      </c>
      <c r="K29" s="547">
        <f t="shared" si="0"/>
        <v>0</v>
      </c>
    </row>
    <row r="30" spans="2:12">
      <c r="B30" s="548"/>
      <c r="C30" s="544">
        <f t="shared" ref="C30:C56" si="1">C29+1</f>
        <v>2033</v>
      </c>
      <c r="D30" s="545">
        <f>SUMIF($C$60:$C$841,"&lt;="&amp;DATE($C30,12,31),$D$60:$D$841)-SUM(D$25:D29)</f>
        <v>0</v>
      </c>
      <c r="E30" s="545">
        <f>SUMIF($C$60:$C$841,"&lt;="&amp;DATE($C30,12,31),$E$60:$E$841)-SUM(E$25:E29)</f>
        <v>0</v>
      </c>
      <c r="F30" s="546"/>
      <c r="G30" s="545">
        <f>SUMIF($C$60:$C$841,"&lt;="&amp;DATE($C30,12,31),$G$60:$G$841)-SUM(G$25:G29)</f>
        <v>0</v>
      </c>
      <c r="H30" s="545">
        <f>SUMIF($C$60:$C$841,"&lt;="&amp;DATE($C30,12,31),$H$60:$H$841)-SUM(H$25:H29)</f>
        <v>0</v>
      </c>
      <c r="I30" s="545">
        <f t="shared" ref="I30:I56" si="2">I29-H30</f>
        <v>0</v>
      </c>
      <c r="K30" s="547">
        <f t="shared" si="0"/>
        <v>0</v>
      </c>
    </row>
    <row r="31" spans="2:12">
      <c r="B31" s="548"/>
      <c r="C31" s="544">
        <f t="shared" si="1"/>
        <v>2034</v>
      </c>
      <c r="D31" s="545">
        <f>SUMIF($C$60:$C$841,"&lt;="&amp;DATE($C31,12,31),$D$60:$D$841)-SUM(D$25:D30)</f>
        <v>0</v>
      </c>
      <c r="E31" s="545">
        <f>SUMIF($C$60:$C$841,"&lt;="&amp;DATE($C31,12,31),$E$60:$E$841)-SUM(E$25:E30)</f>
        <v>0</v>
      </c>
      <c r="F31" s="546"/>
      <c r="G31" s="545">
        <f>SUMIF($C$60:$C$841,"&lt;="&amp;DATE($C31,12,31),$G$60:$G$841)-SUM(G$25:G30)</f>
        <v>0</v>
      </c>
      <c r="H31" s="545">
        <f>SUMIF($C$60:$C$841,"&lt;="&amp;DATE($C31,12,31),$H$60:$H$841)-SUM(H$25:H30)</f>
        <v>0</v>
      </c>
      <c r="I31" s="545">
        <f t="shared" si="2"/>
        <v>0</v>
      </c>
      <c r="K31" s="547">
        <f t="shared" si="0"/>
        <v>0</v>
      </c>
    </row>
    <row r="32" spans="2:12">
      <c r="B32" s="548"/>
      <c r="C32" s="544">
        <f t="shared" si="1"/>
        <v>2035</v>
      </c>
      <c r="D32" s="545">
        <f>SUMIF($C$60:$C$841,"&lt;="&amp;DATE($C32,12,31),$D$60:$D$841)-SUM(D$25:D31)</f>
        <v>0</v>
      </c>
      <c r="E32" s="545">
        <f>SUMIF($C$60:$C$841,"&lt;="&amp;DATE($C32,12,31),$E$60:$E$841)-SUM(E$25:E31)</f>
        <v>0</v>
      </c>
      <c r="F32" s="546"/>
      <c r="G32" s="545">
        <f>SUMIF($C$60:$C$841,"&lt;="&amp;DATE($C32,12,31),$G$60:$G$841)-SUM(G$25:G31)</f>
        <v>0</v>
      </c>
      <c r="H32" s="545">
        <f>SUMIF($C$60:$C$841,"&lt;="&amp;DATE($C32,12,31),$H$60:$H$841)-SUM(H$25:H31)</f>
        <v>0</v>
      </c>
      <c r="I32" s="545">
        <f t="shared" si="2"/>
        <v>0</v>
      </c>
      <c r="K32" s="547">
        <f t="shared" si="0"/>
        <v>0</v>
      </c>
    </row>
    <row r="33" spans="2:11">
      <c r="B33" s="548"/>
      <c r="C33" s="544">
        <f t="shared" si="1"/>
        <v>2036</v>
      </c>
      <c r="D33" s="545">
        <f>SUMIF($C$60:$C$841,"&lt;="&amp;DATE($C33,12,31),$D$60:$D$841)-SUM(D$25:D32)</f>
        <v>0</v>
      </c>
      <c r="E33" s="545">
        <f>SUMIF($C$60:$C$841,"&lt;="&amp;DATE($C33,12,31),$E$60:$E$841)-SUM(E$25:E32)</f>
        <v>0</v>
      </c>
      <c r="F33" s="546"/>
      <c r="G33" s="545">
        <f>SUMIF($C$60:$C$841,"&lt;="&amp;DATE($C33,12,31),$G$60:$G$841)-SUM(G$25:G32)</f>
        <v>0</v>
      </c>
      <c r="H33" s="545">
        <f>SUMIF($C$60:$C$841,"&lt;="&amp;DATE($C33,12,31),$H$60:$H$841)-SUM(H$25:H32)</f>
        <v>0</v>
      </c>
      <c r="I33" s="545">
        <f t="shared" si="2"/>
        <v>0</v>
      </c>
      <c r="K33" s="547">
        <f t="shared" si="0"/>
        <v>0</v>
      </c>
    </row>
    <row r="34" spans="2:11">
      <c r="B34" s="548"/>
      <c r="C34" s="544">
        <f t="shared" si="1"/>
        <v>2037</v>
      </c>
      <c r="D34" s="545">
        <f>SUMIF($C$60:$C$841,"&lt;="&amp;DATE($C34,12,31),$D$60:$D$841)-SUM(D$25:D33)</f>
        <v>0</v>
      </c>
      <c r="E34" s="545">
        <f>SUMIF($C$60:$C$841,"&lt;="&amp;DATE($C34,12,31),$E$60:$E$841)-SUM(E$25:E33)</f>
        <v>0</v>
      </c>
      <c r="F34" s="546"/>
      <c r="G34" s="545">
        <f>SUMIF($C$60:$C$841,"&lt;="&amp;DATE($C34,12,31),$G$60:$G$841)-SUM(G$25:G33)</f>
        <v>0</v>
      </c>
      <c r="H34" s="545">
        <f>SUMIF($C$60:$C$841,"&lt;="&amp;DATE($C34,12,31),$H$60:$H$841)-SUM(H$25:H33)</f>
        <v>0</v>
      </c>
      <c r="I34" s="545">
        <f t="shared" si="2"/>
        <v>0</v>
      </c>
      <c r="K34" s="547">
        <f t="shared" si="0"/>
        <v>0</v>
      </c>
    </row>
    <row r="35" spans="2:11">
      <c r="B35" s="548"/>
      <c r="C35" s="544">
        <f t="shared" si="1"/>
        <v>2038</v>
      </c>
      <c r="D35" s="545">
        <f>SUMIF($C$60:$C$841,"&lt;="&amp;DATE($C35,12,31),$D$60:$D$841)-SUM(D$25:D34)</f>
        <v>0</v>
      </c>
      <c r="E35" s="545">
        <f>SUMIF($C$60:$C$841,"&lt;="&amp;DATE($C35,12,31),$E$60:$E$841)-SUM(E$25:E34)</f>
        <v>0</v>
      </c>
      <c r="F35" s="546"/>
      <c r="G35" s="545">
        <f>SUMIF($C$60:$C$841,"&lt;="&amp;DATE($C35,12,31),$G$60:$G$841)-SUM(G$25:G34)</f>
        <v>0</v>
      </c>
      <c r="H35" s="545">
        <f>SUMIF($C$60:$C$841,"&lt;="&amp;DATE($C35,12,31),$H$60:$H$841)-SUM(H$25:H34)</f>
        <v>0</v>
      </c>
      <c r="I35" s="545">
        <f t="shared" si="2"/>
        <v>0</v>
      </c>
      <c r="K35" s="547">
        <f t="shared" si="0"/>
        <v>0</v>
      </c>
    </row>
    <row r="36" spans="2:11">
      <c r="B36" s="548"/>
      <c r="C36" s="544">
        <f t="shared" si="1"/>
        <v>2039</v>
      </c>
      <c r="D36" s="545">
        <f>SUMIF($C$60:$C$841,"&lt;="&amp;DATE($C36,12,31),$D$60:$D$841)-SUM(D$25:D35)</f>
        <v>0</v>
      </c>
      <c r="E36" s="545">
        <f>SUMIF($C$60:$C$841,"&lt;="&amp;DATE($C36,12,31),$E$60:$E$841)-SUM(E$25:E35)</f>
        <v>0</v>
      </c>
      <c r="F36" s="546"/>
      <c r="G36" s="545">
        <f>SUMIF($C$60:$C$841,"&lt;="&amp;DATE($C36,12,31),$G$60:$G$841)-SUM(G$25:G35)</f>
        <v>0</v>
      </c>
      <c r="H36" s="545">
        <f>SUMIF($C$60:$C$841,"&lt;="&amp;DATE($C36,12,31),$H$60:$H$841)-SUM(H$25:H35)</f>
        <v>0</v>
      </c>
      <c r="I36" s="545">
        <f t="shared" si="2"/>
        <v>0</v>
      </c>
      <c r="K36" s="547">
        <f t="shared" si="0"/>
        <v>0</v>
      </c>
    </row>
    <row r="37" spans="2:11">
      <c r="B37" s="548"/>
      <c r="C37" s="544">
        <f t="shared" si="1"/>
        <v>2040</v>
      </c>
      <c r="D37" s="545">
        <f>SUMIF($C$60:$C$841,"&lt;="&amp;DATE($C37,12,31),$D$60:$D$841)-SUM(D$25:D36)</f>
        <v>0</v>
      </c>
      <c r="E37" s="545">
        <f>SUMIF($C$60:$C$841,"&lt;="&amp;DATE($C37,12,31),$E$60:$E$841)-SUM(E$25:E36)</f>
        <v>0</v>
      </c>
      <c r="F37" s="546"/>
      <c r="G37" s="545">
        <f>SUMIF($C$60:$C$841,"&lt;="&amp;DATE($C37,12,31),$G$60:$G$841)-SUM(G$25:G36)</f>
        <v>0</v>
      </c>
      <c r="H37" s="545">
        <f>SUMIF($C$60:$C$841,"&lt;="&amp;DATE($C37,12,31),$H$60:$H$841)-SUM(H$25:H36)</f>
        <v>0</v>
      </c>
      <c r="I37" s="545">
        <f t="shared" si="2"/>
        <v>0</v>
      </c>
      <c r="K37" s="547">
        <f t="shared" si="0"/>
        <v>0</v>
      </c>
    </row>
    <row r="38" spans="2:11">
      <c r="B38" s="548"/>
      <c r="C38" s="544">
        <f t="shared" si="1"/>
        <v>2041</v>
      </c>
      <c r="D38" s="545">
        <f>SUMIF($C$60:$C$841,"&lt;="&amp;DATE($C38,12,31),$D$60:$D$841)-SUM(D$25:D37)</f>
        <v>0</v>
      </c>
      <c r="E38" s="545">
        <f>SUMIF($C$60:$C$841,"&lt;="&amp;DATE($C38,12,31),$E$60:$E$841)-SUM(E$25:E37)</f>
        <v>0</v>
      </c>
      <c r="F38" s="546"/>
      <c r="G38" s="545">
        <f>SUMIF($C$60:$C$841,"&lt;="&amp;DATE($C38,12,31),$G$60:$G$841)-SUM(G$25:G37)</f>
        <v>0</v>
      </c>
      <c r="H38" s="545">
        <f>SUMIF($C$60:$C$841,"&lt;="&amp;DATE($C38,12,31),$H$60:$H$841)-SUM(H$25:H37)</f>
        <v>0</v>
      </c>
      <c r="I38" s="545">
        <f t="shared" si="2"/>
        <v>0</v>
      </c>
      <c r="K38" s="547">
        <f t="shared" si="0"/>
        <v>0</v>
      </c>
    </row>
    <row r="39" spans="2:11">
      <c r="B39" s="548"/>
      <c r="C39" s="544">
        <f t="shared" si="1"/>
        <v>2042</v>
      </c>
      <c r="D39" s="545">
        <f>SUMIF($C$60:$C$841,"&lt;="&amp;DATE($C39,12,31),$D$60:$D$841)-SUM(D$25:D38)</f>
        <v>0</v>
      </c>
      <c r="E39" s="545">
        <f>SUMIF($C$60:$C$841,"&lt;="&amp;DATE($C39,12,31),$E$60:$E$841)-SUM(E$25:E38)</f>
        <v>0</v>
      </c>
      <c r="F39" s="546"/>
      <c r="G39" s="545">
        <f>SUMIF($C$60:$C$841,"&lt;="&amp;DATE($C39,12,31),$G$60:$G$841)-SUM(G$25:G38)</f>
        <v>0</v>
      </c>
      <c r="H39" s="545">
        <f>SUMIF($C$60:$C$841,"&lt;="&amp;DATE($C39,12,31),$H$60:$H$841)-SUM(H$25:H38)</f>
        <v>0</v>
      </c>
      <c r="I39" s="545">
        <f t="shared" si="2"/>
        <v>0</v>
      </c>
      <c r="K39" s="547">
        <f t="shared" si="0"/>
        <v>0</v>
      </c>
    </row>
    <row r="40" spans="2:11">
      <c r="B40" s="548"/>
      <c r="C40" s="544">
        <f t="shared" si="1"/>
        <v>2043</v>
      </c>
      <c r="D40" s="545">
        <f>SUMIF($C$60:$C$841,"&lt;="&amp;DATE($C40,12,31),$D$60:$D$841)-SUM(D$25:D39)</f>
        <v>0</v>
      </c>
      <c r="E40" s="545">
        <f>SUMIF($C$60:$C$841,"&lt;="&amp;DATE($C40,12,31),$E$60:$E$841)-SUM(E$25:E39)</f>
        <v>0</v>
      </c>
      <c r="F40" s="546"/>
      <c r="G40" s="545">
        <f>SUMIF($C$60:$C$841,"&lt;="&amp;DATE($C40,12,31),$G$60:$G$841)-SUM(G$25:G39)</f>
        <v>0</v>
      </c>
      <c r="H40" s="545">
        <f>SUMIF($C$60:$C$841,"&lt;="&amp;DATE($C40,12,31),$H$60:$H$841)-SUM(H$25:H39)</f>
        <v>0</v>
      </c>
      <c r="I40" s="545">
        <f t="shared" si="2"/>
        <v>0</v>
      </c>
      <c r="K40" s="547">
        <f t="shared" si="0"/>
        <v>0</v>
      </c>
    </row>
    <row r="41" spans="2:11">
      <c r="B41" s="548"/>
      <c r="C41" s="544">
        <f t="shared" si="1"/>
        <v>2044</v>
      </c>
      <c r="D41" s="545">
        <f>SUMIF($C$60:$C$841,"&lt;="&amp;DATE($C41,12,31),$D$60:$D$841)-SUM(D$25:D40)</f>
        <v>0</v>
      </c>
      <c r="E41" s="545">
        <f>SUMIF($C$60:$C$841,"&lt;="&amp;DATE($C41,12,31),$E$60:$E$841)-SUM(E$25:E40)</f>
        <v>0</v>
      </c>
      <c r="F41" s="546"/>
      <c r="G41" s="545">
        <f>SUMIF($C$60:$C$841,"&lt;="&amp;DATE($C41,12,31),$G$60:$G$841)-SUM(G$25:G40)</f>
        <v>0</v>
      </c>
      <c r="H41" s="545">
        <f>SUMIF($C$60:$C$841,"&lt;="&amp;DATE($C41,12,31),$H$60:$H$841)-SUM(H$25:H40)</f>
        <v>0</v>
      </c>
      <c r="I41" s="545">
        <f t="shared" si="2"/>
        <v>0</v>
      </c>
      <c r="K41" s="547">
        <f t="shared" si="0"/>
        <v>0</v>
      </c>
    </row>
    <row r="42" spans="2:11">
      <c r="B42" s="548"/>
      <c r="C42" s="544">
        <f t="shared" si="1"/>
        <v>2045</v>
      </c>
      <c r="D42" s="545">
        <f>SUMIF($C$60:$C$841,"&lt;="&amp;DATE($C42,12,31),$D$60:$D$841)-SUM(D$25:D41)</f>
        <v>0</v>
      </c>
      <c r="E42" s="545">
        <f>SUMIF($C$60:$C$841,"&lt;="&amp;DATE($C42,12,31),$E$60:$E$841)-SUM(E$25:E41)</f>
        <v>0</v>
      </c>
      <c r="F42" s="546"/>
      <c r="G42" s="545">
        <f>SUMIF($C$60:$C$841,"&lt;="&amp;DATE($C42,12,31),$G$60:$G$841)-SUM(G$25:G41)</f>
        <v>0</v>
      </c>
      <c r="H42" s="545">
        <f>SUMIF($C$60:$C$841,"&lt;="&amp;DATE($C42,12,31),$H$60:$H$841)-SUM(H$25:H41)</f>
        <v>0</v>
      </c>
      <c r="I42" s="545">
        <f t="shared" si="2"/>
        <v>0</v>
      </c>
      <c r="K42" s="547">
        <f t="shared" si="0"/>
        <v>0</v>
      </c>
    </row>
    <row r="43" spans="2:11">
      <c r="B43" s="548"/>
      <c r="C43" s="544">
        <f t="shared" si="1"/>
        <v>2046</v>
      </c>
      <c r="D43" s="545">
        <f>SUMIF($C$60:$C$841,"&lt;="&amp;DATE($C43,12,31),$D$60:$D$841)-SUM(D$25:D42)</f>
        <v>0</v>
      </c>
      <c r="E43" s="545">
        <f>SUMIF($C$60:$C$841,"&lt;="&amp;DATE($C43,12,31),$E$60:$E$841)-SUM(E$25:E42)</f>
        <v>0</v>
      </c>
      <c r="F43" s="546"/>
      <c r="G43" s="545">
        <f>SUMIF($C$60:$C$841,"&lt;="&amp;DATE($C43,12,31),$G$60:$G$841)-SUM(G$25:G42)</f>
        <v>0</v>
      </c>
      <c r="H43" s="545">
        <f>SUMIF($C$60:$C$841,"&lt;="&amp;DATE($C43,12,31),$H$60:$H$841)-SUM(H$25:H42)</f>
        <v>0</v>
      </c>
      <c r="I43" s="545">
        <f t="shared" si="2"/>
        <v>0</v>
      </c>
      <c r="K43" s="547">
        <f t="shared" si="0"/>
        <v>0</v>
      </c>
    </row>
    <row r="44" spans="2:11">
      <c r="B44" s="548"/>
      <c r="C44" s="544">
        <f t="shared" si="1"/>
        <v>2047</v>
      </c>
      <c r="D44" s="545">
        <f>SUMIF($C$60:$C$841,"&lt;="&amp;DATE($C44,12,31),$D$60:$D$841)-SUM(D$25:D43)</f>
        <v>0</v>
      </c>
      <c r="E44" s="545">
        <f>SUMIF($C$60:$C$841,"&lt;="&amp;DATE($C44,12,31),$E$60:$E$841)-SUM(E$25:E43)</f>
        <v>0</v>
      </c>
      <c r="F44" s="546"/>
      <c r="G44" s="545">
        <f>SUMIF($C$60:$C$841,"&lt;="&amp;DATE($C44,12,31),$G$60:$G$841)-SUM(G$25:G43)</f>
        <v>0</v>
      </c>
      <c r="H44" s="545">
        <f>SUMIF($C$60:$C$841,"&lt;="&amp;DATE($C44,12,31),$H$60:$H$841)-SUM(H$25:H43)</f>
        <v>0</v>
      </c>
      <c r="I44" s="545">
        <f t="shared" si="2"/>
        <v>0</v>
      </c>
      <c r="K44" s="547">
        <f t="shared" si="0"/>
        <v>0</v>
      </c>
    </row>
    <row r="45" spans="2:11">
      <c r="B45" s="548"/>
      <c r="C45" s="544">
        <f t="shared" si="1"/>
        <v>2048</v>
      </c>
      <c r="D45" s="545">
        <f>SUMIF($C$60:$C$841,"&lt;="&amp;DATE($C45,12,31),$D$60:$D$841)-SUM(D$25:D44)</f>
        <v>0</v>
      </c>
      <c r="E45" s="545">
        <f>SUMIF($C$60:$C$841,"&lt;="&amp;DATE($C45,12,31),$E$60:$E$841)-SUM(E$25:E44)</f>
        <v>0</v>
      </c>
      <c r="F45" s="546"/>
      <c r="G45" s="545">
        <f>SUMIF($C$60:$C$841,"&lt;="&amp;DATE($C45,12,31),$G$60:$G$841)-SUM(G$25:G44)</f>
        <v>0</v>
      </c>
      <c r="H45" s="545">
        <f>SUMIF($C$60:$C$841,"&lt;="&amp;DATE($C45,12,31),$H$60:$H$841)-SUM(H$25:H44)</f>
        <v>0</v>
      </c>
      <c r="I45" s="545">
        <f t="shared" si="2"/>
        <v>0</v>
      </c>
      <c r="K45" s="547">
        <f t="shared" si="0"/>
        <v>0</v>
      </c>
    </row>
    <row r="46" spans="2:11">
      <c r="B46" s="548"/>
      <c r="C46" s="544">
        <f t="shared" si="1"/>
        <v>2049</v>
      </c>
      <c r="D46" s="545">
        <f>SUMIF($C$60:$C$841,"&lt;="&amp;DATE($C46,12,31),$D$60:$D$841)-SUM(D$25:D45)</f>
        <v>0</v>
      </c>
      <c r="E46" s="545">
        <f>SUMIF($C$60:$C$841,"&lt;="&amp;DATE($C46,12,31),$E$60:$E$841)-SUM(E$25:E45)</f>
        <v>0</v>
      </c>
      <c r="F46" s="546"/>
      <c r="G46" s="545">
        <f>SUMIF($C$60:$C$841,"&lt;="&amp;DATE($C46,12,31),$G$60:$G$841)-SUM(G$25:G45)</f>
        <v>0</v>
      </c>
      <c r="H46" s="545">
        <f>SUMIF($C$60:$C$841,"&lt;="&amp;DATE($C46,12,31),$H$60:$H$841)-SUM(H$25:H45)</f>
        <v>0</v>
      </c>
      <c r="I46" s="545">
        <f t="shared" si="2"/>
        <v>0</v>
      </c>
      <c r="K46" s="547">
        <f t="shared" si="0"/>
        <v>0</v>
      </c>
    </row>
    <row r="47" spans="2:11">
      <c r="B47" s="548"/>
      <c r="C47" s="544">
        <f t="shared" si="1"/>
        <v>2050</v>
      </c>
      <c r="D47" s="545">
        <f>SUMIF($C$60:$C$841,"&lt;="&amp;DATE($C47,12,31),$D$60:$D$841)-SUM(D$25:D46)</f>
        <v>0</v>
      </c>
      <c r="E47" s="545">
        <f>SUMIF($C$60:$C$841,"&lt;="&amp;DATE($C47,12,31),$E$60:$E$841)-SUM(E$25:E46)</f>
        <v>0</v>
      </c>
      <c r="F47" s="546"/>
      <c r="G47" s="545">
        <f>SUMIF($C$60:$C$841,"&lt;="&amp;DATE($C47,12,31),$G$60:$G$841)-SUM(G$25:G46)</f>
        <v>0</v>
      </c>
      <c r="H47" s="545">
        <f>SUMIF($C$60:$C$841,"&lt;="&amp;DATE($C47,12,31),$H$60:$H$841)-SUM(H$25:H46)</f>
        <v>0</v>
      </c>
      <c r="I47" s="545">
        <f t="shared" si="2"/>
        <v>0</v>
      </c>
      <c r="K47" s="547">
        <f t="shared" si="0"/>
        <v>0</v>
      </c>
    </row>
    <row r="48" spans="2:11">
      <c r="B48" s="548"/>
      <c r="C48" s="544">
        <f t="shared" si="1"/>
        <v>2051</v>
      </c>
      <c r="D48" s="545">
        <f>SUMIF($C$60:$C$841,"&lt;="&amp;DATE($C48,12,31),$D$60:$D$841)-SUM(D$25:D47)</f>
        <v>0</v>
      </c>
      <c r="E48" s="545">
        <f>SUMIF($C$60:$C$841,"&lt;="&amp;DATE($C48,12,31),$E$60:$E$841)-SUM(E$25:E47)</f>
        <v>0</v>
      </c>
      <c r="F48" s="546"/>
      <c r="G48" s="545">
        <f>SUMIF($C$60:$C$841,"&lt;="&amp;DATE($C48,12,31),$G$60:$G$841)-SUM(G$25:G47)</f>
        <v>0</v>
      </c>
      <c r="H48" s="545">
        <f>SUMIF($C$60:$C$841,"&lt;="&amp;DATE($C48,12,31),$H$60:$H$841)-SUM(H$25:H47)</f>
        <v>0</v>
      </c>
      <c r="I48" s="545">
        <f t="shared" si="2"/>
        <v>0</v>
      </c>
      <c r="K48" s="547">
        <f t="shared" si="0"/>
        <v>0</v>
      </c>
    </row>
    <row r="49" spans="2:11">
      <c r="B49" s="548"/>
      <c r="C49" s="544">
        <f t="shared" si="1"/>
        <v>2052</v>
      </c>
      <c r="D49" s="545">
        <f>SUMIF($C$60:$C$841,"&lt;="&amp;DATE($C49,12,31),$D$60:$D$841)-SUM(D$25:D48)</f>
        <v>0</v>
      </c>
      <c r="E49" s="545">
        <f>SUMIF($C$60:$C$841,"&lt;="&amp;DATE($C49,12,31),$E$60:$E$841)-SUM(E$25:E48)</f>
        <v>0</v>
      </c>
      <c r="F49" s="546"/>
      <c r="G49" s="545">
        <f>SUMIF($C$60:$C$841,"&lt;="&amp;DATE($C49,12,31),$G$60:$G$841)-SUM(G$25:G48)</f>
        <v>0</v>
      </c>
      <c r="H49" s="545">
        <f>SUMIF($C$60:$C$841,"&lt;="&amp;DATE($C49,12,31),$H$60:$H$841)-SUM(H$25:H48)</f>
        <v>0</v>
      </c>
      <c r="I49" s="545">
        <f t="shared" si="2"/>
        <v>0</v>
      </c>
      <c r="K49" s="547">
        <f t="shared" si="0"/>
        <v>0</v>
      </c>
    </row>
    <row r="50" spans="2:11">
      <c r="B50" s="548"/>
      <c r="C50" s="544">
        <f t="shared" si="1"/>
        <v>2053</v>
      </c>
      <c r="D50" s="545">
        <f>SUMIF($C$60:$C$841,"&lt;="&amp;DATE($C50,12,31),$D$60:$D$841)-SUM(D$25:D49)</f>
        <v>0</v>
      </c>
      <c r="E50" s="545">
        <f>SUMIF($C$60:$C$841,"&lt;="&amp;DATE($C50,12,31),$E$60:$E$841)-SUM(E$25:E49)</f>
        <v>0</v>
      </c>
      <c r="F50" s="546"/>
      <c r="G50" s="545">
        <f>SUMIF($C$60:$C$841,"&lt;="&amp;DATE($C50,12,31),$G$60:$G$841)-SUM(G$25:G49)</f>
        <v>0</v>
      </c>
      <c r="H50" s="545">
        <f>SUMIF($C$60:$C$841,"&lt;="&amp;DATE($C50,12,31),$H$60:$H$841)-SUM(H$25:H49)</f>
        <v>0</v>
      </c>
      <c r="I50" s="545">
        <f t="shared" si="2"/>
        <v>0</v>
      </c>
      <c r="K50" s="547">
        <f t="shared" si="0"/>
        <v>0</v>
      </c>
    </row>
    <row r="51" spans="2:11">
      <c r="B51" s="548"/>
      <c r="C51" s="544">
        <f t="shared" si="1"/>
        <v>2054</v>
      </c>
      <c r="D51" s="545">
        <f>SUMIF($C$60:$C$841,"&lt;="&amp;DATE($C51,12,31),$D$60:$D$841)-SUM(D$25:D50)</f>
        <v>0</v>
      </c>
      <c r="E51" s="545">
        <f>SUMIF($C$60:$C$841,"&lt;="&amp;DATE($C51,12,31),$E$60:$E$841)-SUM(E$25:E50)</f>
        <v>0</v>
      </c>
      <c r="F51" s="546"/>
      <c r="G51" s="545">
        <f>SUMIF($C$60:$C$841,"&lt;="&amp;DATE($C51,12,31),$G$60:$G$841)-SUM(G$25:G50)</f>
        <v>0</v>
      </c>
      <c r="H51" s="545">
        <f>SUMIF($C$60:$C$841,"&lt;="&amp;DATE($C51,12,31),$H$60:$H$841)-SUM(H$25:H50)</f>
        <v>0</v>
      </c>
      <c r="I51" s="545">
        <f t="shared" si="2"/>
        <v>0</v>
      </c>
      <c r="K51" s="547">
        <f t="shared" si="0"/>
        <v>0</v>
      </c>
    </row>
    <row r="52" spans="2:11">
      <c r="B52" s="548"/>
      <c r="C52" s="544">
        <f t="shared" si="1"/>
        <v>2055</v>
      </c>
      <c r="D52" s="545">
        <f>SUMIF($C$60:$C$841,"&lt;="&amp;DATE($C52,12,31),$D$60:$D$841)-SUM(D$25:D51)</f>
        <v>0</v>
      </c>
      <c r="E52" s="545">
        <f>SUMIF($C$60:$C$841,"&lt;="&amp;DATE($C52,12,31),$E$60:$E$841)-SUM(E$25:E51)</f>
        <v>0</v>
      </c>
      <c r="F52" s="546"/>
      <c r="G52" s="545">
        <f>SUMIF($C$60:$C$841,"&lt;="&amp;DATE($C52,12,31),$G$60:$G$841)-SUM(G$25:G51)</f>
        <v>0</v>
      </c>
      <c r="H52" s="545">
        <f>SUMIF($C$60:$C$841,"&lt;="&amp;DATE($C52,12,31),$H$60:$H$841)-SUM(H$25:H51)</f>
        <v>0</v>
      </c>
      <c r="I52" s="545">
        <f t="shared" si="2"/>
        <v>0</v>
      </c>
      <c r="K52" s="547">
        <f t="shared" si="0"/>
        <v>0</v>
      </c>
    </row>
    <row r="53" spans="2:11">
      <c r="B53" s="548"/>
      <c r="C53" s="544">
        <f t="shared" si="1"/>
        <v>2056</v>
      </c>
      <c r="D53" s="545">
        <f>SUMIF($C$60:$C$841,"&lt;="&amp;DATE($C53,12,31),$D$60:$D$841)-SUM(D$25:D52)</f>
        <v>0</v>
      </c>
      <c r="E53" s="545">
        <f>SUMIF($C$60:$C$841,"&lt;="&amp;DATE($C53,12,31),$E$60:$E$841)-SUM(E$25:E52)</f>
        <v>0</v>
      </c>
      <c r="F53" s="546"/>
      <c r="G53" s="545">
        <f>SUMIF($C$60:$C$841,"&lt;="&amp;DATE($C53,12,31),$G$60:$G$841)-SUM(G$25:G52)</f>
        <v>0</v>
      </c>
      <c r="H53" s="545">
        <f>SUMIF($C$60:$C$841,"&lt;="&amp;DATE($C53,12,31),$H$60:$H$841)-SUM(H$25:H52)</f>
        <v>0</v>
      </c>
      <c r="I53" s="545">
        <f t="shared" si="2"/>
        <v>0</v>
      </c>
      <c r="K53" s="547">
        <f t="shared" si="0"/>
        <v>0</v>
      </c>
    </row>
    <row r="54" spans="2:11">
      <c r="B54" s="548"/>
      <c r="C54" s="544">
        <f t="shared" si="1"/>
        <v>2057</v>
      </c>
      <c r="D54" s="545">
        <f>SUMIF($C$60:$C$841,"&lt;="&amp;DATE($C54,12,31),$D$60:$D$841)-SUM(D$25:D53)</f>
        <v>0</v>
      </c>
      <c r="E54" s="545">
        <f>SUMIF($C$60:$C$841,"&lt;="&amp;DATE($C54,12,31),$E$60:$E$841)-SUM(E$25:E53)</f>
        <v>0</v>
      </c>
      <c r="F54" s="546"/>
      <c r="G54" s="545">
        <f>SUMIF($C$60:$C$841,"&lt;="&amp;DATE($C54,12,31),$G$60:$G$841)-SUM(G$25:G53)</f>
        <v>0</v>
      </c>
      <c r="H54" s="545">
        <f>SUMIF($C$60:$C$841,"&lt;="&amp;DATE($C54,12,31),$H$60:$H$841)-SUM(H$25:H53)</f>
        <v>0</v>
      </c>
      <c r="I54" s="545">
        <f t="shared" si="2"/>
        <v>0</v>
      </c>
      <c r="K54" s="547">
        <f t="shared" si="0"/>
        <v>0</v>
      </c>
    </row>
    <row r="55" spans="2:11">
      <c r="B55" s="548"/>
      <c r="C55" s="544">
        <f t="shared" si="1"/>
        <v>2058</v>
      </c>
      <c r="D55" s="545">
        <f>SUMIF($C$60:$C$841,"&lt;="&amp;DATE($C55,12,31),$D$60:$D$841)-SUM(D$25:D54)</f>
        <v>0</v>
      </c>
      <c r="E55" s="545">
        <f>SUMIF($C$60:$C$841,"&lt;="&amp;DATE($C55,12,31),$E$60:$E$841)-SUM(E$25:E54)</f>
        <v>0</v>
      </c>
      <c r="F55" s="546"/>
      <c r="G55" s="545">
        <f>SUMIF($C$60:$C$841,"&lt;="&amp;DATE($C55,12,31),$G$60:$G$841)-SUM(G$25:G54)</f>
        <v>0</v>
      </c>
      <c r="H55" s="545">
        <f>SUMIF($C$60:$C$841,"&lt;="&amp;DATE($C55,12,31),$H$60:$H$841)-SUM(H$25:H54)</f>
        <v>0</v>
      </c>
      <c r="I55" s="545">
        <f t="shared" si="2"/>
        <v>0</v>
      </c>
      <c r="K55" s="547"/>
    </row>
    <row r="56" spans="2:11">
      <c r="B56" s="548"/>
      <c r="C56" s="544">
        <f t="shared" si="1"/>
        <v>2059</v>
      </c>
      <c r="D56" s="545">
        <f>SUMIF($C$60:$C$841,"&lt;="&amp;DATE($C56,12,31),$D$60:$D$841)-SUM(D$25:D55)</f>
        <v>0</v>
      </c>
      <c r="E56" s="545">
        <f>SUMIF($C$60:$C$841,"&lt;="&amp;DATE($C56,12,31),$E$60:$E$841)-SUM(E$25:E55)</f>
        <v>0</v>
      </c>
      <c r="F56" s="546"/>
      <c r="G56" s="545">
        <f>SUMIF($C$60:$C$841,"&lt;="&amp;DATE($C56,12,31),$G$60:$G$841)-SUM(G$25:G55)</f>
        <v>0</v>
      </c>
      <c r="H56" s="545">
        <f>SUMIF($C$60:$C$841,"&lt;="&amp;DATE($C56,12,31),$H$60:$H$841)-SUM(H$25:H55)</f>
        <v>0</v>
      </c>
      <c r="I56" s="545">
        <f t="shared" si="2"/>
        <v>0</v>
      </c>
    </row>
    <row r="57" spans="2:11">
      <c r="I57" s="531"/>
    </row>
    <row r="58" spans="2:11" ht="15">
      <c r="B58" s="534" t="s">
        <v>707</v>
      </c>
      <c r="C58" s="534"/>
      <c r="D58" s="534"/>
      <c r="E58" s="534"/>
      <c r="F58" s="534"/>
      <c r="G58" s="534"/>
      <c r="H58" s="534"/>
    </row>
    <row r="59" spans="2:11" ht="26.25" thickBot="1">
      <c r="B59" s="549" t="s">
        <v>708</v>
      </c>
      <c r="C59" s="550" t="s">
        <v>709</v>
      </c>
      <c r="D59" s="550" t="s">
        <v>710</v>
      </c>
      <c r="E59" s="550" t="s">
        <v>711</v>
      </c>
      <c r="F59" s="537"/>
      <c r="G59" s="551" t="s">
        <v>45</v>
      </c>
      <c r="H59" s="551" t="s">
        <v>44</v>
      </c>
      <c r="I59" s="551" t="s">
        <v>492</v>
      </c>
    </row>
    <row r="60" spans="2:11">
      <c r="B60" s="552"/>
      <c r="C60" s="553"/>
      <c r="D60" s="552"/>
      <c r="E60" s="552"/>
      <c r="F60" s="552"/>
      <c r="G60" s="554"/>
      <c r="H60" s="554"/>
      <c r="I60" s="554">
        <f>$E$6</f>
        <v>0</v>
      </c>
    </row>
    <row r="61" spans="2:11">
      <c r="B61" s="555" t="str">
        <f t="shared" ref="B61:B124" si="3">IF(I60="","",IF(roundOpt,IF(OR(B60&gt;=nper,ROUND(I60,2)&lt;=0),"",B60+1),IF(OR(B60&gt;=nper,I60&lt;=0),"",B60+1)))</f>
        <v/>
      </c>
      <c r="C61" s="556" t="str">
        <f t="shared" ref="C61:C124" si="4">IF(B61="","",IF(OR(periods_per_year=26,periods_per_year=52),IF(periods_per_year=26,IF(B61=1,fpdate,C60+14),IF(periods_per_year=52,IF(B61=1,fpdate,C60+7),"n/a")),IF(periods_per_year=24,DATE(YEAR(fpdate),MONTH(fpdate)+(B61-1)/2+IF(AND(DAY(fpdate)&gt;=15,MOD(B61,2)=0),1,0),IF(MOD(B61,2)=0,IF(DAY(fpdate)&gt;=15,DAY(fpdate)-14,DAY(fpdate)+14),DAY(fpdate))),IF(DAY(DATE(YEAR(fpdate),MONTH(fpdate)+(B61-1)*months_per_period,DAY(fpdate)))&lt;&gt;DAY(fpdate),DATE(YEAR(fpdate),MONTH(fpdate)+(B61-1)*months_per_period+1,0),DATE(YEAR(fpdate),MONTH(fpdate)+(B61-1)*months_per_period,DAY(fpdate))))))</f>
        <v/>
      </c>
      <c r="D61" s="557" t="str">
        <f t="shared" ref="D61:D124" si="5">IF(B61="","",IF(roundOpt,IF(OR(B61=nper,payment&gt;ROUND((1+rate)*I60,2)),ROUND((1+rate)*I60,2),payment),IF(OR(B61=nper,payment&gt;(1+rate)*I60),(1+rate)*I60,payment)))</f>
        <v/>
      </c>
      <c r="E61" s="558"/>
      <c r="F61" s="559"/>
      <c r="G61" s="559" t="str">
        <f t="shared" ref="G61:G124" si="6">IF(B61="","",IF(AND(B61=1,pmtType=1),0,IF(roundOpt,ROUND(rate*I60,2),rate*I60)))</f>
        <v/>
      </c>
      <c r="H61" s="559" t="str">
        <f t="shared" ref="H61:H124" si="7">IF(B61="","",D61-G61+E61)</f>
        <v/>
      </c>
      <c r="I61" s="559" t="str">
        <f t="shared" ref="I61:I124" si="8">IF(B61="","",I60-H61)</f>
        <v/>
      </c>
    </row>
    <row r="62" spans="2:11">
      <c r="B62" s="555" t="str">
        <f t="shared" si="3"/>
        <v/>
      </c>
      <c r="C62" s="556" t="str">
        <f t="shared" si="4"/>
        <v/>
      </c>
      <c r="D62" s="557" t="str">
        <f t="shared" si="5"/>
        <v/>
      </c>
      <c r="E62" s="560"/>
      <c r="F62" s="559"/>
      <c r="G62" s="559" t="str">
        <f t="shared" si="6"/>
        <v/>
      </c>
      <c r="H62" s="559" t="str">
        <f t="shared" si="7"/>
        <v/>
      </c>
      <c r="I62" s="559" t="str">
        <f t="shared" si="8"/>
        <v/>
      </c>
    </row>
    <row r="63" spans="2:11">
      <c r="B63" s="555" t="str">
        <f t="shared" si="3"/>
        <v/>
      </c>
      <c r="C63" s="556" t="str">
        <f t="shared" si="4"/>
        <v/>
      </c>
      <c r="D63" s="557" t="str">
        <f t="shared" si="5"/>
        <v/>
      </c>
      <c r="E63" s="560"/>
      <c r="F63" s="559"/>
      <c r="G63" s="559" t="str">
        <f t="shared" si="6"/>
        <v/>
      </c>
      <c r="H63" s="559" t="str">
        <f t="shared" si="7"/>
        <v/>
      </c>
      <c r="I63" s="559" t="str">
        <f t="shared" si="8"/>
        <v/>
      </c>
    </row>
    <row r="64" spans="2:11">
      <c r="B64" s="555" t="str">
        <f t="shared" si="3"/>
        <v/>
      </c>
      <c r="C64" s="556" t="str">
        <f t="shared" si="4"/>
        <v/>
      </c>
      <c r="D64" s="557" t="str">
        <f t="shared" si="5"/>
        <v/>
      </c>
      <c r="E64" s="560"/>
      <c r="F64" s="559"/>
      <c r="G64" s="559" t="str">
        <f t="shared" si="6"/>
        <v/>
      </c>
      <c r="H64" s="559" t="str">
        <f t="shared" si="7"/>
        <v/>
      </c>
      <c r="I64" s="559" t="str">
        <f t="shared" si="8"/>
        <v/>
      </c>
    </row>
    <row r="65" spans="2:10" ht="15">
      <c r="B65" s="555" t="str">
        <f t="shared" si="3"/>
        <v/>
      </c>
      <c r="C65" s="556" t="str">
        <f t="shared" si="4"/>
        <v/>
      </c>
      <c r="D65" s="557" t="str">
        <f t="shared" si="5"/>
        <v/>
      </c>
      <c r="E65" s="560"/>
      <c r="F65" s="559"/>
      <c r="G65" s="559" t="str">
        <f t="shared" si="6"/>
        <v/>
      </c>
      <c r="H65" s="559" t="str">
        <f t="shared" si="7"/>
        <v/>
      </c>
      <c r="I65" s="559" t="str">
        <f t="shared" si="8"/>
        <v/>
      </c>
      <c r="J65" s="561"/>
    </row>
    <row r="66" spans="2:10" ht="15">
      <c r="B66" s="555" t="str">
        <f t="shared" si="3"/>
        <v/>
      </c>
      <c r="C66" s="556" t="str">
        <f t="shared" si="4"/>
        <v/>
      </c>
      <c r="D66" s="557" t="str">
        <f t="shared" si="5"/>
        <v/>
      </c>
      <c r="E66" s="560"/>
      <c r="F66" s="559"/>
      <c r="G66" s="559" t="str">
        <f t="shared" si="6"/>
        <v/>
      </c>
      <c r="H66" s="559" t="str">
        <f t="shared" si="7"/>
        <v/>
      </c>
      <c r="I66" s="559" t="str">
        <f t="shared" si="8"/>
        <v/>
      </c>
      <c r="J66" s="561"/>
    </row>
    <row r="67" spans="2:10" ht="15">
      <c r="B67" s="555" t="str">
        <f t="shared" si="3"/>
        <v/>
      </c>
      <c r="C67" s="556" t="str">
        <f t="shared" si="4"/>
        <v/>
      </c>
      <c r="D67" s="557" t="str">
        <f t="shared" si="5"/>
        <v/>
      </c>
      <c r="E67" s="560"/>
      <c r="F67" s="559"/>
      <c r="G67" s="559" t="str">
        <f t="shared" si="6"/>
        <v/>
      </c>
      <c r="H67" s="559" t="str">
        <f t="shared" si="7"/>
        <v/>
      </c>
      <c r="I67" s="559" t="str">
        <f t="shared" si="8"/>
        <v/>
      </c>
      <c r="J67" s="562"/>
    </row>
    <row r="68" spans="2:10">
      <c r="B68" s="555" t="str">
        <f t="shared" si="3"/>
        <v/>
      </c>
      <c r="C68" s="556" t="str">
        <f t="shared" si="4"/>
        <v/>
      </c>
      <c r="D68" s="557" t="str">
        <f t="shared" si="5"/>
        <v/>
      </c>
      <c r="E68" s="560"/>
      <c r="F68" s="559"/>
      <c r="G68" s="559" t="str">
        <f t="shared" si="6"/>
        <v/>
      </c>
      <c r="H68" s="559" t="str">
        <f t="shared" si="7"/>
        <v/>
      </c>
      <c r="I68" s="559" t="str">
        <f t="shared" si="8"/>
        <v/>
      </c>
    </row>
    <row r="69" spans="2:10">
      <c r="B69" s="555" t="str">
        <f t="shared" si="3"/>
        <v/>
      </c>
      <c r="C69" s="556" t="str">
        <f t="shared" si="4"/>
        <v/>
      </c>
      <c r="D69" s="557" t="str">
        <f t="shared" si="5"/>
        <v/>
      </c>
      <c r="E69" s="560"/>
      <c r="F69" s="559"/>
      <c r="G69" s="559" t="str">
        <f t="shared" si="6"/>
        <v/>
      </c>
      <c r="H69" s="559" t="str">
        <f t="shared" si="7"/>
        <v/>
      </c>
      <c r="I69" s="559" t="str">
        <f t="shared" si="8"/>
        <v/>
      </c>
    </row>
    <row r="70" spans="2:10">
      <c r="B70" s="555" t="str">
        <f t="shared" si="3"/>
        <v/>
      </c>
      <c r="C70" s="556" t="str">
        <f t="shared" si="4"/>
        <v/>
      </c>
      <c r="D70" s="557" t="str">
        <f t="shared" si="5"/>
        <v/>
      </c>
      <c r="E70" s="560"/>
      <c r="F70" s="559"/>
      <c r="G70" s="559" t="str">
        <f t="shared" si="6"/>
        <v/>
      </c>
      <c r="H70" s="559" t="str">
        <f t="shared" si="7"/>
        <v/>
      </c>
      <c r="I70" s="559" t="str">
        <f t="shared" si="8"/>
        <v/>
      </c>
    </row>
    <row r="71" spans="2:10">
      <c r="B71" s="555" t="str">
        <f t="shared" si="3"/>
        <v/>
      </c>
      <c r="C71" s="556" t="str">
        <f t="shared" si="4"/>
        <v/>
      </c>
      <c r="D71" s="557" t="str">
        <f t="shared" si="5"/>
        <v/>
      </c>
      <c r="E71" s="560"/>
      <c r="F71" s="559"/>
      <c r="G71" s="559" t="str">
        <f t="shared" si="6"/>
        <v/>
      </c>
      <c r="H71" s="559" t="str">
        <f t="shared" si="7"/>
        <v/>
      </c>
      <c r="I71" s="559" t="str">
        <f t="shared" si="8"/>
        <v/>
      </c>
    </row>
    <row r="72" spans="2:10">
      <c r="B72" s="555" t="str">
        <f t="shared" si="3"/>
        <v/>
      </c>
      <c r="C72" s="556" t="str">
        <f t="shared" si="4"/>
        <v/>
      </c>
      <c r="D72" s="557" t="str">
        <f t="shared" si="5"/>
        <v/>
      </c>
      <c r="E72" s="560"/>
      <c r="F72" s="559"/>
      <c r="G72" s="559" t="str">
        <f t="shared" si="6"/>
        <v/>
      </c>
      <c r="H72" s="559" t="str">
        <f t="shared" si="7"/>
        <v/>
      </c>
      <c r="I72" s="559" t="str">
        <f t="shared" si="8"/>
        <v/>
      </c>
    </row>
    <row r="73" spans="2:10">
      <c r="B73" s="555" t="str">
        <f t="shared" si="3"/>
        <v/>
      </c>
      <c r="C73" s="556" t="str">
        <f t="shared" si="4"/>
        <v/>
      </c>
      <c r="D73" s="557" t="str">
        <f t="shared" si="5"/>
        <v/>
      </c>
      <c r="E73" s="560"/>
      <c r="F73" s="559"/>
      <c r="G73" s="559" t="str">
        <f t="shared" si="6"/>
        <v/>
      </c>
      <c r="H73" s="559" t="str">
        <f t="shared" si="7"/>
        <v/>
      </c>
      <c r="I73" s="559" t="str">
        <f t="shared" si="8"/>
        <v/>
      </c>
    </row>
    <row r="74" spans="2:10">
      <c r="B74" s="555" t="str">
        <f t="shared" si="3"/>
        <v/>
      </c>
      <c r="C74" s="556" t="str">
        <f t="shared" si="4"/>
        <v/>
      </c>
      <c r="D74" s="557" t="str">
        <f t="shared" si="5"/>
        <v/>
      </c>
      <c r="E74" s="560"/>
      <c r="F74" s="559"/>
      <c r="G74" s="559" t="str">
        <f t="shared" si="6"/>
        <v/>
      </c>
      <c r="H74" s="559" t="str">
        <f t="shared" si="7"/>
        <v/>
      </c>
      <c r="I74" s="559" t="str">
        <f t="shared" si="8"/>
        <v/>
      </c>
    </row>
    <row r="75" spans="2:10">
      <c r="B75" s="555" t="str">
        <f t="shared" si="3"/>
        <v/>
      </c>
      <c r="C75" s="556" t="str">
        <f t="shared" si="4"/>
        <v/>
      </c>
      <c r="D75" s="557" t="str">
        <f t="shared" si="5"/>
        <v/>
      </c>
      <c r="E75" s="560"/>
      <c r="F75" s="559"/>
      <c r="G75" s="559" t="str">
        <f t="shared" si="6"/>
        <v/>
      </c>
      <c r="H75" s="559" t="str">
        <f t="shared" si="7"/>
        <v/>
      </c>
      <c r="I75" s="559" t="str">
        <f t="shared" si="8"/>
        <v/>
      </c>
    </row>
    <row r="76" spans="2:10">
      <c r="B76" s="555" t="str">
        <f t="shared" si="3"/>
        <v/>
      </c>
      <c r="C76" s="556" t="str">
        <f t="shared" si="4"/>
        <v/>
      </c>
      <c r="D76" s="557" t="str">
        <f t="shared" si="5"/>
        <v/>
      </c>
      <c r="E76" s="560"/>
      <c r="F76" s="559"/>
      <c r="G76" s="559" t="str">
        <f t="shared" si="6"/>
        <v/>
      </c>
      <c r="H76" s="559" t="str">
        <f t="shared" si="7"/>
        <v/>
      </c>
      <c r="I76" s="559" t="str">
        <f t="shared" si="8"/>
        <v/>
      </c>
    </row>
    <row r="77" spans="2:10">
      <c r="B77" s="555" t="str">
        <f t="shared" si="3"/>
        <v/>
      </c>
      <c r="C77" s="556" t="str">
        <f t="shared" si="4"/>
        <v/>
      </c>
      <c r="D77" s="557" t="str">
        <f t="shared" si="5"/>
        <v/>
      </c>
      <c r="E77" s="560"/>
      <c r="F77" s="559"/>
      <c r="G77" s="559" t="str">
        <f t="shared" si="6"/>
        <v/>
      </c>
      <c r="H77" s="559" t="str">
        <f t="shared" si="7"/>
        <v/>
      </c>
      <c r="I77" s="559" t="str">
        <f t="shared" si="8"/>
        <v/>
      </c>
    </row>
    <row r="78" spans="2:10">
      <c r="B78" s="555" t="str">
        <f t="shared" si="3"/>
        <v/>
      </c>
      <c r="C78" s="556" t="str">
        <f t="shared" si="4"/>
        <v/>
      </c>
      <c r="D78" s="557" t="str">
        <f t="shared" si="5"/>
        <v/>
      </c>
      <c r="E78" s="560"/>
      <c r="F78" s="559"/>
      <c r="G78" s="559" t="str">
        <f t="shared" si="6"/>
        <v/>
      </c>
      <c r="H78" s="559" t="str">
        <f t="shared" si="7"/>
        <v/>
      </c>
      <c r="I78" s="559" t="str">
        <f t="shared" si="8"/>
        <v/>
      </c>
    </row>
    <row r="79" spans="2:10">
      <c r="B79" s="555" t="str">
        <f t="shared" si="3"/>
        <v/>
      </c>
      <c r="C79" s="556" t="str">
        <f t="shared" si="4"/>
        <v/>
      </c>
      <c r="D79" s="557" t="str">
        <f t="shared" si="5"/>
        <v/>
      </c>
      <c r="E79" s="560"/>
      <c r="F79" s="559"/>
      <c r="G79" s="559" t="str">
        <f t="shared" si="6"/>
        <v/>
      </c>
      <c r="H79" s="559" t="str">
        <f t="shared" si="7"/>
        <v/>
      </c>
      <c r="I79" s="559" t="str">
        <f t="shared" si="8"/>
        <v/>
      </c>
    </row>
    <row r="80" spans="2:10">
      <c r="B80" s="555" t="str">
        <f t="shared" si="3"/>
        <v/>
      </c>
      <c r="C80" s="556" t="str">
        <f t="shared" si="4"/>
        <v/>
      </c>
      <c r="D80" s="557" t="str">
        <f t="shared" si="5"/>
        <v/>
      </c>
      <c r="E80" s="560"/>
      <c r="F80" s="559"/>
      <c r="G80" s="559" t="str">
        <f t="shared" si="6"/>
        <v/>
      </c>
      <c r="H80" s="559" t="str">
        <f t="shared" si="7"/>
        <v/>
      </c>
      <c r="I80" s="559" t="str">
        <f t="shared" si="8"/>
        <v/>
      </c>
    </row>
    <row r="81" spans="2:9">
      <c r="B81" s="555" t="str">
        <f t="shared" si="3"/>
        <v/>
      </c>
      <c r="C81" s="556" t="str">
        <f t="shared" si="4"/>
        <v/>
      </c>
      <c r="D81" s="557" t="str">
        <f t="shared" si="5"/>
        <v/>
      </c>
      <c r="E81" s="560"/>
      <c r="F81" s="559"/>
      <c r="G81" s="559" t="str">
        <f t="shared" si="6"/>
        <v/>
      </c>
      <c r="H81" s="559" t="str">
        <f t="shared" si="7"/>
        <v/>
      </c>
      <c r="I81" s="559" t="str">
        <f t="shared" si="8"/>
        <v/>
      </c>
    </row>
    <row r="82" spans="2:9">
      <c r="B82" s="555" t="str">
        <f t="shared" si="3"/>
        <v/>
      </c>
      <c r="C82" s="556" t="str">
        <f t="shared" si="4"/>
        <v/>
      </c>
      <c r="D82" s="557" t="str">
        <f t="shared" si="5"/>
        <v/>
      </c>
      <c r="E82" s="560"/>
      <c r="F82" s="559"/>
      <c r="G82" s="559" t="str">
        <f t="shared" si="6"/>
        <v/>
      </c>
      <c r="H82" s="559" t="str">
        <f t="shared" si="7"/>
        <v/>
      </c>
      <c r="I82" s="559" t="str">
        <f t="shared" si="8"/>
        <v/>
      </c>
    </row>
    <row r="83" spans="2:9">
      <c r="B83" s="555" t="str">
        <f t="shared" si="3"/>
        <v/>
      </c>
      <c r="C83" s="556" t="str">
        <f t="shared" si="4"/>
        <v/>
      </c>
      <c r="D83" s="557" t="str">
        <f t="shared" si="5"/>
        <v/>
      </c>
      <c r="E83" s="560"/>
      <c r="F83" s="559"/>
      <c r="G83" s="559" t="str">
        <f t="shared" si="6"/>
        <v/>
      </c>
      <c r="H83" s="559" t="str">
        <f t="shared" si="7"/>
        <v/>
      </c>
      <c r="I83" s="559" t="str">
        <f t="shared" si="8"/>
        <v/>
      </c>
    </row>
    <row r="84" spans="2:9">
      <c r="B84" s="555" t="str">
        <f t="shared" si="3"/>
        <v/>
      </c>
      <c r="C84" s="556" t="str">
        <f t="shared" si="4"/>
        <v/>
      </c>
      <c r="D84" s="557" t="str">
        <f t="shared" si="5"/>
        <v/>
      </c>
      <c r="E84" s="560"/>
      <c r="F84" s="559"/>
      <c r="G84" s="559" t="str">
        <f t="shared" si="6"/>
        <v/>
      </c>
      <c r="H84" s="559" t="str">
        <f t="shared" si="7"/>
        <v/>
      </c>
      <c r="I84" s="559" t="str">
        <f t="shared" si="8"/>
        <v/>
      </c>
    </row>
    <row r="85" spans="2:9">
      <c r="B85" s="555" t="str">
        <f t="shared" si="3"/>
        <v/>
      </c>
      <c r="C85" s="556" t="str">
        <f t="shared" si="4"/>
        <v/>
      </c>
      <c r="D85" s="557" t="str">
        <f t="shared" si="5"/>
        <v/>
      </c>
      <c r="E85" s="560"/>
      <c r="F85" s="559"/>
      <c r="G85" s="559" t="str">
        <f t="shared" si="6"/>
        <v/>
      </c>
      <c r="H85" s="559" t="str">
        <f t="shared" si="7"/>
        <v/>
      </c>
      <c r="I85" s="559" t="str">
        <f t="shared" si="8"/>
        <v/>
      </c>
    </row>
    <row r="86" spans="2:9">
      <c r="B86" s="555" t="str">
        <f t="shared" si="3"/>
        <v/>
      </c>
      <c r="C86" s="556" t="str">
        <f t="shared" si="4"/>
        <v/>
      </c>
      <c r="D86" s="557" t="str">
        <f t="shared" si="5"/>
        <v/>
      </c>
      <c r="E86" s="560"/>
      <c r="F86" s="559"/>
      <c r="G86" s="559" t="str">
        <f t="shared" si="6"/>
        <v/>
      </c>
      <c r="H86" s="559" t="str">
        <f t="shared" si="7"/>
        <v/>
      </c>
      <c r="I86" s="559" t="str">
        <f t="shared" si="8"/>
        <v/>
      </c>
    </row>
    <row r="87" spans="2:9">
      <c r="B87" s="555" t="str">
        <f t="shared" si="3"/>
        <v/>
      </c>
      <c r="C87" s="556" t="str">
        <f t="shared" si="4"/>
        <v/>
      </c>
      <c r="D87" s="557" t="str">
        <f t="shared" si="5"/>
        <v/>
      </c>
      <c r="E87" s="560"/>
      <c r="F87" s="559"/>
      <c r="G87" s="559" t="str">
        <f t="shared" si="6"/>
        <v/>
      </c>
      <c r="H87" s="559" t="str">
        <f t="shared" si="7"/>
        <v/>
      </c>
      <c r="I87" s="559" t="str">
        <f t="shared" si="8"/>
        <v/>
      </c>
    </row>
    <row r="88" spans="2:9">
      <c r="B88" s="555" t="str">
        <f t="shared" si="3"/>
        <v/>
      </c>
      <c r="C88" s="556" t="str">
        <f t="shared" si="4"/>
        <v/>
      </c>
      <c r="D88" s="557" t="str">
        <f t="shared" si="5"/>
        <v/>
      </c>
      <c r="E88" s="560"/>
      <c r="F88" s="559"/>
      <c r="G88" s="559" t="str">
        <f t="shared" si="6"/>
        <v/>
      </c>
      <c r="H88" s="559" t="str">
        <f t="shared" si="7"/>
        <v/>
      </c>
      <c r="I88" s="559" t="str">
        <f t="shared" si="8"/>
        <v/>
      </c>
    </row>
    <row r="89" spans="2:9">
      <c r="B89" s="555" t="str">
        <f t="shared" si="3"/>
        <v/>
      </c>
      <c r="C89" s="556" t="str">
        <f t="shared" si="4"/>
        <v/>
      </c>
      <c r="D89" s="557" t="str">
        <f t="shared" si="5"/>
        <v/>
      </c>
      <c r="E89" s="560"/>
      <c r="F89" s="559"/>
      <c r="G89" s="559" t="str">
        <f t="shared" si="6"/>
        <v/>
      </c>
      <c r="H89" s="559" t="str">
        <f t="shared" si="7"/>
        <v/>
      </c>
      <c r="I89" s="559" t="str">
        <f t="shared" si="8"/>
        <v/>
      </c>
    </row>
    <row r="90" spans="2:9">
      <c r="B90" s="555" t="str">
        <f t="shared" si="3"/>
        <v/>
      </c>
      <c r="C90" s="556" t="str">
        <f t="shared" si="4"/>
        <v/>
      </c>
      <c r="D90" s="557" t="str">
        <f t="shared" si="5"/>
        <v/>
      </c>
      <c r="E90" s="560"/>
      <c r="F90" s="559"/>
      <c r="G90" s="559" t="str">
        <f t="shared" si="6"/>
        <v/>
      </c>
      <c r="H90" s="559" t="str">
        <f t="shared" si="7"/>
        <v/>
      </c>
      <c r="I90" s="559" t="str">
        <f t="shared" si="8"/>
        <v/>
      </c>
    </row>
    <row r="91" spans="2:9">
      <c r="B91" s="555"/>
      <c r="C91" s="556"/>
      <c r="D91" s="557"/>
      <c r="E91" s="560"/>
      <c r="F91" s="559"/>
      <c r="G91" s="559"/>
      <c r="H91" s="559"/>
      <c r="I91" s="559"/>
    </row>
    <row r="92" spans="2:9" ht="15.75">
      <c r="B92" s="555"/>
      <c r="C92" s="556"/>
      <c r="D92" s="596" t="s">
        <v>718</v>
      </c>
      <c r="E92" s="597">
        <f>SUM(D29:D56)</f>
        <v>0</v>
      </c>
      <c r="F92" s="559"/>
      <c r="G92" s="559"/>
      <c r="H92" s="559"/>
      <c r="I92" s="559"/>
    </row>
    <row r="93" spans="2:9">
      <c r="B93" s="555"/>
      <c r="C93" s="556"/>
      <c r="D93" s="557"/>
      <c r="E93" s="560"/>
      <c r="F93" s="559"/>
      <c r="G93" s="559"/>
      <c r="H93" s="559"/>
      <c r="I93" s="559"/>
    </row>
    <row r="94" spans="2:9">
      <c r="B94" s="555"/>
      <c r="C94" s="556"/>
      <c r="D94" s="557"/>
      <c r="E94" s="560"/>
      <c r="F94" s="559"/>
      <c r="G94" s="559"/>
      <c r="H94" s="559"/>
      <c r="I94" s="559"/>
    </row>
    <row r="95" spans="2:9">
      <c r="B95" s="555"/>
      <c r="C95" s="556"/>
      <c r="D95" s="557"/>
      <c r="E95" s="560"/>
      <c r="F95" s="559"/>
      <c r="G95" s="559"/>
      <c r="H95" s="559"/>
      <c r="I95" s="559"/>
    </row>
    <row r="96" spans="2:9">
      <c r="B96" s="555"/>
      <c r="C96" s="556"/>
      <c r="D96" s="557"/>
      <c r="E96" s="560"/>
      <c r="F96" s="559"/>
      <c r="G96" s="559"/>
      <c r="H96" s="559"/>
      <c r="I96" s="559"/>
    </row>
    <row r="97" spans="2:9">
      <c r="B97" s="555"/>
      <c r="C97" s="556"/>
      <c r="D97" s="557"/>
      <c r="E97" s="560"/>
      <c r="F97" s="559"/>
      <c r="G97" s="559"/>
      <c r="H97" s="559"/>
      <c r="I97" s="559"/>
    </row>
    <row r="98" spans="2:9">
      <c r="B98" s="555" t="str">
        <f t="shared" si="3"/>
        <v/>
      </c>
      <c r="C98" s="556" t="str">
        <f t="shared" si="4"/>
        <v/>
      </c>
      <c r="D98" s="557" t="str">
        <f t="shared" si="5"/>
        <v/>
      </c>
      <c r="E98" s="560"/>
      <c r="F98" s="559"/>
      <c r="G98" s="559" t="str">
        <f t="shared" si="6"/>
        <v/>
      </c>
      <c r="H98" s="559" t="str">
        <f t="shared" si="7"/>
        <v/>
      </c>
      <c r="I98" s="559" t="str">
        <f t="shared" si="8"/>
        <v/>
      </c>
    </row>
    <row r="99" spans="2:9">
      <c r="B99" s="555" t="str">
        <f t="shared" si="3"/>
        <v/>
      </c>
      <c r="C99" s="556" t="str">
        <f t="shared" si="4"/>
        <v/>
      </c>
      <c r="D99" s="557" t="str">
        <f t="shared" si="5"/>
        <v/>
      </c>
      <c r="E99" s="560"/>
      <c r="F99" s="559"/>
      <c r="G99" s="559" t="str">
        <f t="shared" si="6"/>
        <v/>
      </c>
      <c r="H99" s="559" t="str">
        <f t="shared" si="7"/>
        <v/>
      </c>
      <c r="I99" s="559" t="str">
        <f t="shared" si="8"/>
        <v/>
      </c>
    </row>
    <row r="100" spans="2:9">
      <c r="B100" s="555" t="str">
        <f t="shared" si="3"/>
        <v/>
      </c>
      <c r="C100" s="556" t="str">
        <f t="shared" si="4"/>
        <v/>
      </c>
      <c r="D100" s="557" t="str">
        <f t="shared" si="5"/>
        <v/>
      </c>
      <c r="E100" s="560"/>
      <c r="F100" s="559"/>
      <c r="G100" s="559" t="str">
        <f t="shared" si="6"/>
        <v/>
      </c>
      <c r="H100" s="559" t="str">
        <f t="shared" si="7"/>
        <v/>
      </c>
      <c r="I100" s="559" t="str">
        <f t="shared" si="8"/>
        <v/>
      </c>
    </row>
    <row r="101" spans="2:9">
      <c r="B101" s="555" t="str">
        <f t="shared" si="3"/>
        <v/>
      </c>
      <c r="C101" s="556" t="str">
        <f t="shared" si="4"/>
        <v/>
      </c>
      <c r="D101" s="557" t="str">
        <f t="shared" si="5"/>
        <v/>
      </c>
      <c r="E101" s="560"/>
      <c r="F101" s="559"/>
      <c r="G101" s="559" t="str">
        <f t="shared" si="6"/>
        <v/>
      </c>
      <c r="H101" s="559" t="str">
        <f t="shared" si="7"/>
        <v/>
      </c>
      <c r="I101" s="559" t="str">
        <f t="shared" si="8"/>
        <v/>
      </c>
    </row>
    <row r="102" spans="2:9">
      <c r="B102" s="555" t="str">
        <f t="shared" si="3"/>
        <v/>
      </c>
      <c r="C102" s="556" t="str">
        <f t="shared" si="4"/>
        <v/>
      </c>
      <c r="D102" s="557" t="str">
        <f t="shared" si="5"/>
        <v/>
      </c>
      <c r="E102" s="560"/>
      <c r="F102" s="559"/>
      <c r="G102" s="559" t="str">
        <f t="shared" si="6"/>
        <v/>
      </c>
      <c r="H102" s="559" t="str">
        <f t="shared" si="7"/>
        <v/>
      </c>
      <c r="I102" s="559" t="str">
        <f t="shared" si="8"/>
        <v/>
      </c>
    </row>
    <row r="103" spans="2:9">
      <c r="B103" s="555" t="str">
        <f t="shared" si="3"/>
        <v/>
      </c>
      <c r="C103" s="556" t="str">
        <f t="shared" si="4"/>
        <v/>
      </c>
      <c r="D103" s="557" t="str">
        <f t="shared" si="5"/>
        <v/>
      </c>
      <c r="E103" s="560"/>
      <c r="F103" s="559"/>
      <c r="G103" s="559" t="str">
        <f t="shared" si="6"/>
        <v/>
      </c>
      <c r="H103" s="559" t="str">
        <f t="shared" si="7"/>
        <v/>
      </c>
      <c r="I103" s="559" t="str">
        <f t="shared" si="8"/>
        <v/>
      </c>
    </row>
    <row r="104" spans="2:9">
      <c r="B104" s="555" t="str">
        <f t="shared" si="3"/>
        <v/>
      </c>
      <c r="C104" s="556" t="str">
        <f t="shared" si="4"/>
        <v/>
      </c>
      <c r="D104" s="557" t="str">
        <f t="shared" si="5"/>
        <v/>
      </c>
      <c r="E104" s="560"/>
      <c r="F104" s="559"/>
      <c r="G104" s="559" t="str">
        <f t="shared" si="6"/>
        <v/>
      </c>
      <c r="H104" s="559" t="str">
        <f t="shared" si="7"/>
        <v/>
      </c>
      <c r="I104" s="559" t="str">
        <f t="shared" si="8"/>
        <v/>
      </c>
    </row>
    <row r="105" spans="2:9">
      <c r="B105" s="555" t="str">
        <f t="shared" si="3"/>
        <v/>
      </c>
      <c r="C105" s="556" t="str">
        <f t="shared" si="4"/>
        <v/>
      </c>
      <c r="D105" s="557" t="str">
        <f t="shared" si="5"/>
        <v/>
      </c>
      <c r="E105" s="560"/>
      <c r="F105" s="559"/>
      <c r="G105" s="559" t="str">
        <f t="shared" si="6"/>
        <v/>
      </c>
      <c r="H105" s="559" t="str">
        <f t="shared" si="7"/>
        <v/>
      </c>
      <c r="I105" s="559" t="str">
        <f t="shared" si="8"/>
        <v/>
      </c>
    </row>
    <row r="106" spans="2:9">
      <c r="B106" s="555" t="str">
        <f t="shared" si="3"/>
        <v/>
      </c>
      <c r="C106" s="556" t="str">
        <f t="shared" si="4"/>
        <v/>
      </c>
      <c r="D106" s="557" t="str">
        <f t="shared" si="5"/>
        <v/>
      </c>
      <c r="E106" s="560"/>
      <c r="F106" s="559"/>
      <c r="G106" s="559" t="str">
        <f t="shared" si="6"/>
        <v/>
      </c>
      <c r="H106" s="559" t="str">
        <f t="shared" si="7"/>
        <v/>
      </c>
      <c r="I106" s="559" t="str">
        <f t="shared" si="8"/>
        <v/>
      </c>
    </row>
    <row r="107" spans="2:9">
      <c r="B107" s="555" t="str">
        <f t="shared" si="3"/>
        <v/>
      </c>
      <c r="C107" s="556" t="str">
        <f t="shared" si="4"/>
        <v/>
      </c>
      <c r="D107" s="557" t="str">
        <f t="shared" si="5"/>
        <v/>
      </c>
      <c r="E107" s="560"/>
      <c r="F107" s="559"/>
      <c r="G107" s="559" t="str">
        <f t="shared" si="6"/>
        <v/>
      </c>
      <c r="H107" s="559" t="str">
        <f t="shared" si="7"/>
        <v/>
      </c>
      <c r="I107" s="559" t="str">
        <f t="shared" si="8"/>
        <v/>
      </c>
    </row>
    <row r="108" spans="2:9">
      <c r="B108" s="555" t="str">
        <f t="shared" si="3"/>
        <v/>
      </c>
      <c r="C108" s="556" t="str">
        <f t="shared" si="4"/>
        <v/>
      </c>
      <c r="D108" s="557" t="str">
        <f t="shared" si="5"/>
        <v/>
      </c>
      <c r="E108" s="560"/>
      <c r="F108" s="559"/>
      <c r="G108" s="559" t="str">
        <f t="shared" si="6"/>
        <v/>
      </c>
      <c r="H108" s="559" t="str">
        <f t="shared" si="7"/>
        <v/>
      </c>
      <c r="I108" s="559" t="str">
        <f t="shared" si="8"/>
        <v/>
      </c>
    </row>
    <row r="109" spans="2:9">
      <c r="B109" s="555" t="str">
        <f t="shared" si="3"/>
        <v/>
      </c>
      <c r="C109" s="556" t="str">
        <f t="shared" si="4"/>
        <v/>
      </c>
      <c r="D109" s="557" t="str">
        <f t="shared" si="5"/>
        <v/>
      </c>
      <c r="E109" s="560"/>
      <c r="F109" s="559"/>
      <c r="G109" s="559" t="str">
        <f t="shared" si="6"/>
        <v/>
      </c>
      <c r="H109" s="559" t="str">
        <f t="shared" si="7"/>
        <v/>
      </c>
      <c r="I109" s="559" t="str">
        <f t="shared" si="8"/>
        <v/>
      </c>
    </row>
    <row r="110" spans="2:9">
      <c r="B110" s="555" t="str">
        <f t="shared" si="3"/>
        <v/>
      </c>
      <c r="C110" s="556" t="str">
        <f t="shared" si="4"/>
        <v/>
      </c>
      <c r="D110" s="557" t="str">
        <f t="shared" si="5"/>
        <v/>
      </c>
      <c r="E110" s="560"/>
      <c r="F110" s="559"/>
      <c r="G110" s="559" t="str">
        <f t="shared" si="6"/>
        <v/>
      </c>
      <c r="H110" s="559" t="str">
        <f t="shared" si="7"/>
        <v/>
      </c>
      <c r="I110" s="559" t="str">
        <f t="shared" si="8"/>
        <v/>
      </c>
    </row>
    <row r="111" spans="2:9">
      <c r="B111" s="555" t="str">
        <f t="shared" si="3"/>
        <v/>
      </c>
      <c r="C111" s="556" t="str">
        <f t="shared" si="4"/>
        <v/>
      </c>
      <c r="D111" s="557" t="str">
        <f t="shared" si="5"/>
        <v/>
      </c>
      <c r="E111" s="560"/>
      <c r="F111" s="559"/>
      <c r="G111" s="559" t="str">
        <f t="shared" si="6"/>
        <v/>
      </c>
      <c r="H111" s="559" t="str">
        <f t="shared" si="7"/>
        <v/>
      </c>
      <c r="I111" s="559" t="str">
        <f t="shared" si="8"/>
        <v/>
      </c>
    </row>
    <row r="112" spans="2:9">
      <c r="B112" s="555" t="str">
        <f t="shared" si="3"/>
        <v/>
      </c>
      <c r="C112" s="556" t="str">
        <f t="shared" si="4"/>
        <v/>
      </c>
      <c r="D112" s="557" t="str">
        <f t="shared" si="5"/>
        <v/>
      </c>
      <c r="E112" s="560"/>
      <c r="F112" s="559"/>
      <c r="G112" s="559" t="str">
        <f t="shared" si="6"/>
        <v/>
      </c>
      <c r="H112" s="559" t="str">
        <f t="shared" si="7"/>
        <v/>
      </c>
      <c r="I112" s="559" t="str">
        <f t="shared" si="8"/>
        <v/>
      </c>
    </row>
    <row r="113" spans="2:9">
      <c r="B113" s="555" t="str">
        <f t="shared" si="3"/>
        <v/>
      </c>
      <c r="C113" s="556" t="str">
        <f t="shared" si="4"/>
        <v/>
      </c>
      <c r="D113" s="557" t="str">
        <f t="shared" si="5"/>
        <v/>
      </c>
      <c r="E113" s="560"/>
      <c r="F113" s="559"/>
      <c r="G113" s="559" t="str">
        <f t="shared" si="6"/>
        <v/>
      </c>
      <c r="H113" s="559" t="str">
        <f t="shared" si="7"/>
        <v/>
      </c>
      <c r="I113" s="559" t="str">
        <f t="shared" si="8"/>
        <v/>
      </c>
    </row>
    <row r="114" spans="2:9">
      <c r="B114" s="555" t="str">
        <f t="shared" si="3"/>
        <v/>
      </c>
      <c r="C114" s="556" t="str">
        <f t="shared" si="4"/>
        <v/>
      </c>
      <c r="D114" s="557" t="str">
        <f t="shared" si="5"/>
        <v/>
      </c>
      <c r="E114" s="560"/>
      <c r="F114" s="559"/>
      <c r="G114" s="559" t="str">
        <f t="shared" si="6"/>
        <v/>
      </c>
      <c r="H114" s="559" t="str">
        <f t="shared" si="7"/>
        <v/>
      </c>
      <c r="I114" s="559" t="str">
        <f t="shared" si="8"/>
        <v/>
      </c>
    </row>
    <row r="115" spans="2:9">
      <c r="B115" s="555" t="str">
        <f t="shared" si="3"/>
        <v/>
      </c>
      <c r="C115" s="556" t="str">
        <f t="shared" si="4"/>
        <v/>
      </c>
      <c r="D115" s="557" t="str">
        <f t="shared" si="5"/>
        <v/>
      </c>
      <c r="E115" s="560"/>
      <c r="F115" s="559"/>
      <c r="G115" s="559" t="str">
        <f t="shared" si="6"/>
        <v/>
      </c>
      <c r="H115" s="559" t="str">
        <f t="shared" si="7"/>
        <v/>
      </c>
      <c r="I115" s="559" t="str">
        <f t="shared" si="8"/>
        <v/>
      </c>
    </row>
    <row r="116" spans="2:9">
      <c r="B116" s="555" t="str">
        <f t="shared" si="3"/>
        <v/>
      </c>
      <c r="C116" s="556" t="str">
        <f t="shared" si="4"/>
        <v/>
      </c>
      <c r="D116" s="557" t="str">
        <f t="shared" si="5"/>
        <v/>
      </c>
      <c r="E116" s="560"/>
      <c r="F116" s="559"/>
      <c r="G116" s="559" t="str">
        <f t="shared" si="6"/>
        <v/>
      </c>
      <c r="H116" s="559" t="str">
        <f t="shared" si="7"/>
        <v/>
      </c>
      <c r="I116" s="559" t="str">
        <f t="shared" si="8"/>
        <v/>
      </c>
    </row>
    <row r="117" spans="2:9">
      <c r="B117" s="555" t="str">
        <f t="shared" si="3"/>
        <v/>
      </c>
      <c r="C117" s="556" t="str">
        <f t="shared" si="4"/>
        <v/>
      </c>
      <c r="D117" s="557" t="str">
        <f t="shared" si="5"/>
        <v/>
      </c>
      <c r="E117" s="560"/>
      <c r="F117" s="559"/>
      <c r="G117" s="559" t="str">
        <f t="shared" si="6"/>
        <v/>
      </c>
      <c r="H117" s="559" t="str">
        <f t="shared" si="7"/>
        <v/>
      </c>
      <c r="I117" s="559" t="str">
        <f t="shared" si="8"/>
        <v/>
      </c>
    </row>
    <row r="118" spans="2:9">
      <c r="B118" s="555" t="str">
        <f t="shared" si="3"/>
        <v/>
      </c>
      <c r="C118" s="556" t="str">
        <f t="shared" si="4"/>
        <v/>
      </c>
      <c r="D118" s="557" t="str">
        <f t="shared" si="5"/>
        <v/>
      </c>
      <c r="E118" s="560"/>
      <c r="F118" s="559"/>
      <c r="G118" s="559" t="str">
        <f t="shared" si="6"/>
        <v/>
      </c>
      <c r="H118" s="559" t="str">
        <f t="shared" si="7"/>
        <v/>
      </c>
      <c r="I118" s="559" t="str">
        <f t="shared" si="8"/>
        <v/>
      </c>
    </row>
    <row r="119" spans="2:9">
      <c r="B119" s="555" t="str">
        <f t="shared" si="3"/>
        <v/>
      </c>
      <c r="C119" s="556" t="str">
        <f t="shared" si="4"/>
        <v/>
      </c>
      <c r="D119" s="557" t="str">
        <f t="shared" si="5"/>
        <v/>
      </c>
      <c r="E119" s="560"/>
      <c r="F119" s="559"/>
      <c r="G119" s="559" t="str">
        <f t="shared" si="6"/>
        <v/>
      </c>
      <c r="H119" s="559" t="str">
        <f t="shared" si="7"/>
        <v/>
      </c>
      <c r="I119" s="559" t="str">
        <f t="shared" si="8"/>
        <v/>
      </c>
    </row>
    <row r="120" spans="2:9">
      <c r="B120" s="555" t="str">
        <f t="shared" si="3"/>
        <v/>
      </c>
      <c r="C120" s="556" t="str">
        <f t="shared" si="4"/>
        <v/>
      </c>
      <c r="D120" s="557" t="str">
        <f t="shared" si="5"/>
        <v/>
      </c>
      <c r="E120" s="560"/>
      <c r="F120" s="559"/>
      <c r="G120" s="559" t="str">
        <f t="shared" si="6"/>
        <v/>
      </c>
      <c r="H120" s="559" t="str">
        <f t="shared" si="7"/>
        <v/>
      </c>
      <c r="I120" s="559" t="str">
        <f t="shared" si="8"/>
        <v/>
      </c>
    </row>
    <row r="121" spans="2:9">
      <c r="B121" s="555" t="str">
        <f t="shared" si="3"/>
        <v/>
      </c>
      <c r="C121" s="556" t="str">
        <f t="shared" si="4"/>
        <v/>
      </c>
      <c r="D121" s="557" t="str">
        <f t="shared" si="5"/>
        <v/>
      </c>
      <c r="E121" s="560"/>
      <c r="F121" s="559"/>
      <c r="G121" s="559" t="str">
        <f t="shared" si="6"/>
        <v/>
      </c>
      <c r="H121" s="559" t="str">
        <f t="shared" si="7"/>
        <v/>
      </c>
      <c r="I121" s="559" t="str">
        <f t="shared" si="8"/>
        <v/>
      </c>
    </row>
    <row r="122" spans="2:9">
      <c r="B122" s="555" t="str">
        <f t="shared" si="3"/>
        <v/>
      </c>
      <c r="C122" s="556" t="str">
        <f t="shared" si="4"/>
        <v/>
      </c>
      <c r="D122" s="557" t="str">
        <f t="shared" si="5"/>
        <v/>
      </c>
      <c r="E122" s="560"/>
      <c r="F122" s="559"/>
      <c r="G122" s="559" t="str">
        <f t="shared" si="6"/>
        <v/>
      </c>
      <c r="H122" s="559" t="str">
        <f t="shared" si="7"/>
        <v/>
      </c>
      <c r="I122" s="559" t="str">
        <f t="shared" si="8"/>
        <v/>
      </c>
    </row>
    <row r="123" spans="2:9">
      <c r="B123" s="555" t="str">
        <f t="shared" si="3"/>
        <v/>
      </c>
      <c r="C123" s="556" t="str">
        <f t="shared" si="4"/>
        <v/>
      </c>
      <c r="D123" s="557" t="str">
        <f t="shared" si="5"/>
        <v/>
      </c>
      <c r="E123" s="560"/>
      <c r="F123" s="559"/>
      <c r="G123" s="559" t="str">
        <f t="shared" si="6"/>
        <v/>
      </c>
      <c r="H123" s="559" t="str">
        <f t="shared" si="7"/>
        <v/>
      </c>
      <c r="I123" s="559" t="str">
        <f t="shared" si="8"/>
        <v/>
      </c>
    </row>
    <row r="124" spans="2:9">
      <c r="B124" s="555" t="str">
        <f t="shared" si="3"/>
        <v/>
      </c>
      <c r="C124" s="556" t="str">
        <f t="shared" si="4"/>
        <v/>
      </c>
      <c r="D124" s="557" t="str">
        <f t="shared" si="5"/>
        <v/>
      </c>
      <c r="E124" s="560"/>
      <c r="F124" s="559"/>
      <c r="G124" s="559" t="str">
        <f t="shared" si="6"/>
        <v/>
      </c>
      <c r="H124" s="559" t="str">
        <f t="shared" si="7"/>
        <v/>
      </c>
      <c r="I124" s="559" t="str">
        <f t="shared" si="8"/>
        <v/>
      </c>
    </row>
    <row r="125" spans="2:9">
      <c r="B125" s="555" t="str">
        <f t="shared" ref="B125:B188" si="9">IF(I124="","",IF(roundOpt,IF(OR(B124&gt;=nper,ROUND(I124,2)&lt;=0),"",B124+1),IF(OR(B124&gt;=nper,I124&lt;=0),"",B124+1)))</f>
        <v/>
      </c>
      <c r="C125" s="556" t="str">
        <f t="shared" ref="C125:C188" si="10">IF(B125="","",IF(OR(periods_per_year=26,periods_per_year=52),IF(periods_per_year=26,IF(B125=1,fpdate,C124+14),IF(periods_per_year=52,IF(B125=1,fpdate,C124+7),"n/a")),IF(periods_per_year=24,DATE(YEAR(fpdate),MONTH(fpdate)+(B125-1)/2+IF(AND(DAY(fpdate)&gt;=15,MOD(B125,2)=0),1,0),IF(MOD(B125,2)=0,IF(DAY(fpdate)&gt;=15,DAY(fpdate)-14,DAY(fpdate)+14),DAY(fpdate))),IF(DAY(DATE(YEAR(fpdate),MONTH(fpdate)+(B125-1)*months_per_period,DAY(fpdate)))&lt;&gt;DAY(fpdate),DATE(YEAR(fpdate),MONTH(fpdate)+(B125-1)*months_per_period+1,0),DATE(YEAR(fpdate),MONTH(fpdate)+(B125-1)*months_per_period,DAY(fpdate))))))</f>
        <v/>
      </c>
      <c r="D125" s="557" t="str">
        <f t="shared" ref="D125:D188" si="11">IF(B125="","",IF(roundOpt,IF(OR(B125=nper,payment&gt;ROUND((1+rate)*I124,2)),ROUND((1+rate)*I124,2),payment),IF(OR(B125=nper,payment&gt;(1+rate)*I124),(1+rate)*I124,payment)))</f>
        <v/>
      </c>
      <c r="E125" s="560"/>
      <c r="F125" s="559"/>
      <c r="G125" s="559" t="str">
        <f t="shared" ref="G125:G188" si="12">IF(B125="","",IF(AND(B125=1,pmtType=1),0,IF(roundOpt,ROUND(rate*I124,2),rate*I124)))</f>
        <v/>
      </c>
      <c r="H125" s="559" t="str">
        <f t="shared" ref="H125:H188" si="13">IF(B125="","",D125-G125+E125)</f>
        <v/>
      </c>
      <c r="I125" s="559" t="str">
        <f t="shared" ref="I125:I188" si="14">IF(B125="","",I124-H125)</f>
        <v/>
      </c>
    </row>
    <row r="126" spans="2:9">
      <c r="B126" s="555" t="str">
        <f t="shared" si="9"/>
        <v/>
      </c>
      <c r="C126" s="556" t="str">
        <f t="shared" si="10"/>
        <v/>
      </c>
      <c r="D126" s="557" t="str">
        <f t="shared" si="11"/>
        <v/>
      </c>
      <c r="E126" s="560"/>
      <c r="F126" s="559"/>
      <c r="G126" s="559" t="str">
        <f t="shared" si="12"/>
        <v/>
      </c>
      <c r="H126" s="559" t="str">
        <f t="shared" si="13"/>
        <v/>
      </c>
      <c r="I126" s="559" t="str">
        <f t="shared" si="14"/>
        <v/>
      </c>
    </row>
    <row r="127" spans="2:9">
      <c r="B127" s="555" t="str">
        <f t="shared" si="9"/>
        <v/>
      </c>
      <c r="C127" s="556" t="str">
        <f t="shared" si="10"/>
        <v/>
      </c>
      <c r="D127" s="557" t="str">
        <f t="shared" si="11"/>
        <v/>
      </c>
      <c r="E127" s="560"/>
      <c r="F127" s="559"/>
      <c r="G127" s="559" t="str">
        <f t="shared" si="12"/>
        <v/>
      </c>
      <c r="H127" s="559" t="str">
        <f t="shared" si="13"/>
        <v/>
      </c>
      <c r="I127" s="559" t="str">
        <f t="shared" si="14"/>
        <v/>
      </c>
    </row>
    <row r="128" spans="2:9">
      <c r="B128" s="555" t="str">
        <f t="shared" si="9"/>
        <v/>
      </c>
      <c r="C128" s="556" t="str">
        <f t="shared" si="10"/>
        <v/>
      </c>
      <c r="D128" s="557" t="str">
        <f t="shared" si="11"/>
        <v/>
      </c>
      <c r="E128" s="560"/>
      <c r="F128" s="559"/>
      <c r="G128" s="559" t="str">
        <f t="shared" si="12"/>
        <v/>
      </c>
      <c r="H128" s="559" t="str">
        <f t="shared" si="13"/>
        <v/>
      </c>
      <c r="I128" s="559" t="str">
        <f t="shared" si="14"/>
        <v/>
      </c>
    </row>
    <row r="129" spans="2:9">
      <c r="B129" s="555" t="str">
        <f t="shared" si="9"/>
        <v/>
      </c>
      <c r="C129" s="556" t="str">
        <f t="shared" si="10"/>
        <v/>
      </c>
      <c r="D129" s="557" t="str">
        <f t="shared" si="11"/>
        <v/>
      </c>
      <c r="E129" s="560"/>
      <c r="F129" s="559"/>
      <c r="G129" s="559" t="str">
        <f t="shared" si="12"/>
        <v/>
      </c>
      <c r="H129" s="559" t="str">
        <f t="shared" si="13"/>
        <v/>
      </c>
      <c r="I129" s="559" t="str">
        <f t="shared" si="14"/>
        <v/>
      </c>
    </row>
    <row r="130" spans="2:9">
      <c r="B130" s="555" t="str">
        <f t="shared" si="9"/>
        <v/>
      </c>
      <c r="C130" s="556" t="str">
        <f t="shared" si="10"/>
        <v/>
      </c>
      <c r="D130" s="557" t="str">
        <f t="shared" si="11"/>
        <v/>
      </c>
      <c r="E130" s="560"/>
      <c r="F130" s="559"/>
      <c r="G130" s="559" t="str">
        <f t="shared" si="12"/>
        <v/>
      </c>
      <c r="H130" s="559" t="str">
        <f t="shared" si="13"/>
        <v/>
      </c>
      <c r="I130" s="559" t="str">
        <f t="shared" si="14"/>
        <v/>
      </c>
    </row>
    <row r="131" spans="2:9">
      <c r="B131" s="555" t="str">
        <f t="shared" si="9"/>
        <v/>
      </c>
      <c r="C131" s="556" t="str">
        <f t="shared" si="10"/>
        <v/>
      </c>
      <c r="D131" s="557" t="str">
        <f t="shared" si="11"/>
        <v/>
      </c>
      <c r="E131" s="560"/>
      <c r="F131" s="559"/>
      <c r="G131" s="559" t="str">
        <f t="shared" si="12"/>
        <v/>
      </c>
      <c r="H131" s="559" t="str">
        <f t="shared" si="13"/>
        <v/>
      </c>
      <c r="I131" s="559" t="str">
        <f t="shared" si="14"/>
        <v/>
      </c>
    </row>
    <row r="132" spans="2:9">
      <c r="B132" s="555" t="str">
        <f t="shared" si="9"/>
        <v/>
      </c>
      <c r="C132" s="556" t="str">
        <f t="shared" si="10"/>
        <v/>
      </c>
      <c r="D132" s="557" t="str">
        <f t="shared" si="11"/>
        <v/>
      </c>
      <c r="E132" s="560"/>
      <c r="F132" s="559"/>
      <c r="G132" s="559" t="str">
        <f t="shared" si="12"/>
        <v/>
      </c>
      <c r="H132" s="559" t="str">
        <f t="shared" si="13"/>
        <v/>
      </c>
      <c r="I132" s="559" t="str">
        <f t="shared" si="14"/>
        <v/>
      </c>
    </row>
    <row r="133" spans="2:9">
      <c r="B133" s="555" t="str">
        <f t="shared" si="9"/>
        <v/>
      </c>
      <c r="C133" s="556" t="str">
        <f t="shared" si="10"/>
        <v/>
      </c>
      <c r="D133" s="557" t="str">
        <f t="shared" si="11"/>
        <v/>
      </c>
      <c r="E133" s="560"/>
      <c r="F133" s="559"/>
      <c r="G133" s="559" t="str">
        <f t="shared" si="12"/>
        <v/>
      </c>
      <c r="H133" s="559" t="str">
        <f t="shared" si="13"/>
        <v/>
      </c>
      <c r="I133" s="559" t="str">
        <f t="shared" si="14"/>
        <v/>
      </c>
    </row>
    <row r="134" spans="2:9">
      <c r="B134" s="555" t="str">
        <f t="shared" si="9"/>
        <v/>
      </c>
      <c r="C134" s="556" t="str">
        <f t="shared" si="10"/>
        <v/>
      </c>
      <c r="D134" s="557" t="str">
        <f t="shared" si="11"/>
        <v/>
      </c>
      <c r="E134" s="560"/>
      <c r="F134" s="559"/>
      <c r="G134" s="559" t="str">
        <f t="shared" si="12"/>
        <v/>
      </c>
      <c r="H134" s="559" t="str">
        <f t="shared" si="13"/>
        <v/>
      </c>
      <c r="I134" s="559" t="str">
        <f t="shared" si="14"/>
        <v/>
      </c>
    </row>
    <row r="135" spans="2:9">
      <c r="B135" s="555" t="str">
        <f t="shared" si="9"/>
        <v/>
      </c>
      <c r="C135" s="556" t="str">
        <f t="shared" si="10"/>
        <v/>
      </c>
      <c r="D135" s="557" t="str">
        <f t="shared" si="11"/>
        <v/>
      </c>
      <c r="E135" s="560"/>
      <c r="F135" s="559"/>
      <c r="G135" s="559" t="str">
        <f t="shared" si="12"/>
        <v/>
      </c>
      <c r="H135" s="559" t="str">
        <f t="shared" si="13"/>
        <v/>
      </c>
      <c r="I135" s="559" t="str">
        <f t="shared" si="14"/>
        <v/>
      </c>
    </row>
    <row r="136" spans="2:9">
      <c r="B136" s="555" t="str">
        <f t="shared" si="9"/>
        <v/>
      </c>
      <c r="C136" s="556" t="str">
        <f t="shared" si="10"/>
        <v/>
      </c>
      <c r="D136" s="557" t="str">
        <f t="shared" si="11"/>
        <v/>
      </c>
      <c r="E136" s="560"/>
      <c r="F136" s="559"/>
      <c r="G136" s="559" t="str">
        <f t="shared" si="12"/>
        <v/>
      </c>
      <c r="H136" s="559" t="str">
        <f t="shared" si="13"/>
        <v/>
      </c>
      <c r="I136" s="559" t="str">
        <f t="shared" si="14"/>
        <v/>
      </c>
    </row>
    <row r="137" spans="2:9">
      <c r="B137" s="555" t="str">
        <f t="shared" si="9"/>
        <v/>
      </c>
      <c r="C137" s="556" t="str">
        <f t="shared" si="10"/>
        <v/>
      </c>
      <c r="D137" s="557" t="str">
        <f t="shared" si="11"/>
        <v/>
      </c>
      <c r="E137" s="560"/>
      <c r="F137" s="559"/>
      <c r="G137" s="559" t="str">
        <f t="shared" si="12"/>
        <v/>
      </c>
      <c r="H137" s="559" t="str">
        <f t="shared" si="13"/>
        <v/>
      </c>
      <c r="I137" s="559" t="str">
        <f t="shared" si="14"/>
        <v/>
      </c>
    </row>
    <row r="138" spans="2:9">
      <c r="B138" s="555" t="str">
        <f t="shared" si="9"/>
        <v/>
      </c>
      <c r="C138" s="556" t="str">
        <f t="shared" si="10"/>
        <v/>
      </c>
      <c r="D138" s="557" t="str">
        <f t="shared" si="11"/>
        <v/>
      </c>
      <c r="E138" s="560"/>
      <c r="F138" s="559"/>
      <c r="G138" s="559" t="str">
        <f t="shared" si="12"/>
        <v/>
      </c>
      <c r="H138" s="559" t="str">
        <f t="shared" si="13"/>
        <v/>
      </c>
      <c r="I138" s="559" t="str">
        <f t="shared" si="14"/>
        <v/>
      </c>
    </row>
    <row r="139" spans="2:9">
      <c r="B139" s="555" t="str">
        <f t="shared" si="9"/>
        <v/>
      </c>
      <c r="C139" s="556" t="str">
        <f t="shared" si="10"/>
        <v/>
      </c>
      <c r="D139" s="557" t="str">
        <f t="shared" si="11"/>
        <v/>
      </c>
      <c r="E139" s="560"/>
      <c r="F139" s="559"/>
      <c r="G139" s="559" t="str">
        <f t="shared" si="12"/>
        <v/>
      </c>
      <c r="H139" s="559" t="str">
        <f t="shared" si="13"/>
        <v/>
      </c>
      <c r="I139" s="559" t="str">
        <f t="shared" si="14"/>
        <v/>
      </c>
    </row>
    <row r="140" spans="2:9">
      <c r="B140" s="555" t="str">
        <f t="shared" si="9"/>
        <v/>
      </c>
      <c r="C140" s="556" t="str">
        <f t="shared" si="10"/>
        <v/>
      </c>
      <c r="D140" s="557" t="str">
        <f t="shared" si="11"/>
        <v/>
      </c>
      <c r="E140" s="560"/>
      <c r="F140" s="559"/>
      <c r="G140" s="559" t="str">
        <f t="shared" si="12"/>
        <v/>
      </c>
      <c r="H140" s="559" t="str">
        <f t="shared" si="13"/>
        <v/>
      </c>
      <c r="I140" s="559" t="str">
        <f t="shared" si="14"/>
        <v/>
      </c>
    </row>
    <row r="141" spans="2:9">
      <c r="B141" s="555" t="str">
        <f t="shared" si="9"/>
        <v/>
      </c>
      <c r="C141" s="556" t="str">
        <f t="shared" si="10"/>
        <v/>
      </c>
      <c r="D141" s="557" t="str">
        <f t="shared" si="11"/>
        <v/>
      </c>
      <c r="E141" s="560"/>
      <c r="F141" s="559"/>
      <c r="G141" s="559" t="str">
        <f t="shared" si="12"/>
        <v/>
      </c>
      <c r="H141" s="559" t="str">
        <f t="shared" si="13"/>
        <v/>
      </c>
      <c r="I141" s="559" t="str">
        <f t="shared" si="14"/>
        <v/>
      </c>
    </row>
    <row r="142" spans="2:9">
      <c r="B142" s="555" t="str">
        <f t="shared" si="9"/>
        <v/>
      </c>
      <c r="C142" s="556" t="str">
        <f t="shared" si="10"/>
        <v/>
      </c>
      <c r="D142" s="557" t="str">
        <f t="shared" si="11"/>
        <v/>
      </c>
      <c r="E142" s="560"/>
      <c r="F142" s="559"/>
      <c r="G142" s="559" t="str">
        <f t="shared" si="12"/>
        <v/>
      </c>
      <c r="H142" s="559" t="str">
        <f t="shared" si="13"/>
        <v/>
      </c>
      <c r="I142" s="559" t="str">
        <f t="shared" si="14"/>
        <v/>
      </c>
    </row>
    <row r="143" spans="2:9">
      <c r="B143" s="555" t="str">
        <f t="shared" si="9"/>
        <v/>
      </c>
      <c r="C143" s="556" t="str">
        <f t="shared" si="10"/>
        <v/>
      </c>
      <c r="D143" s="557" t="str">
        <f t="shared" si="11"/>
        <v/>
      </c>
      <c r="E143" s="560"/>
      <c r="F143" s="559"/>
      <c r="G143" s="559" t="str">
        <f t="shared" si="12"/>
        <v/>
      </c>
      <c r="H143" s="559" t="str">
        <f t="shared" si="13"/>
        <v/>
      </c>
      <c r="I143" s="559" t="str">
        <f t="shared" si="14"/>
        <v/>
      </c>
    </row>
    <row r="144" spans="2:9">
      <c r="B144" s="555" t="str">
        <f t="shared" si="9"/>
        <v/>
      </c>
      <c r="C144" s="556" t="str">
        <f t="shared" si="10"/>
        <v/>
      </c>
      <c r="D144" s="557" t="str">
        <f t="shared" si="11"/>
        <v/>
      </c>
      <c r="E144" s="560"/>
      <c r="F144" s="559"/>
      <c r="G144" s="559" t="str">
        <f t="shared" si="12"/>
        <v/>
      </c>
      <c r="H144" s="559" t="str">
        <f t="shared" si="13"/>
        <v/>
      </c>
      <c r="I144" s="559" t="str">
        <f t="shared" si="14"/>
        <v/>
      </c>
    </row>
    <row r="145" spans="2:9">
      <c r="B145" s="555" t="str">
        <f t="shared" si="9"/>
        <v/>
      </c>
      <c r="C145" s="556" t="str">
        <f t="shared" si="10"/>
        <v/>
      </c>
      <c r="D145" s="557" t="str">
        <f t="shared" si="11"/>
        <v/>
      </c>
      <c r="E145" s="560"/>
      <c r="F145" s="559"/>
      <c r="G145" s="559" t="str">
        <f t="shared" si="12"/>
        <v/>
      </c>
      <c r="H145" s="559" t="str">
        <f t="shared" si="13"/>
        <v/>
      </c>
      <c r="I145" s="559" t="str">
        <f t="shared" si="14"/>
        <v/>
      </c>
    </row>
    <row r="146" spans="2:9">
      <c r="B146" s="555" t="str">
        <f t="shared" si="9"/>
        <v/>
      </c>
      <c r="C146" s="556" t="str">
        <f t="shared" si="10"/>
        <v/>
      </c>
      <c r="D146" s="557" t="str">
        <f t="shared" si="11"/>
        <v/>
      </c>
      <c r="E146" s="560"/>
      <c r="F146" s="559"/>
      <c r="G146" s="559" t="str">
        <f t="shared" si="12"/>
        <v/>
      </c>
      <c r="H146" s="559" t="str">
        <f t="shared" si="13"/>
        <v/>
      </c>
      <c r="I146" s="559" t="str">
        <f t="shared" si="14"/>
        <v/>
      </c>
    </row>
    <row r="147" spans="2:9">
      <c r="B147" s="555" t="str">
        <f t="shared" si="9"/>
        <v/>
      </c>
      <c r="C147" s="556" t="str">
        <f t="shared" si="10"/>
        <v/>
      </c>
      <c r="D147" s="557" t="str">
        <f t="shared" si="11"/>
        <v/>
      </c>
      <c r="E147" s="560"/>
      <c r="F147" s="559"/>
      <c r="G147" s="559" t="str">
        <f t="shared" si="12"/>
        <v/>
      </c>
      <c r="H147" s="559" t="str">
        <f t="shared" si="13"/>
        <v/>
      </c>
      <c r="I147" s="559" t="str">
        <f t="shared" si="14"/>
        <v/>
      </c>
    </row>
    <row r="148" spans="2:9">
      <c r="B148" s="555" t="str">
        <f t="shared" si="9"/>
        <v/>
      </c>
      <c r="C148" s="556" t="str">
        <f t="shared" si="10"/>
        <v/>
      </c>
      <c r="D148" s="557" t="str">
        <f t="shared" si="11"/>
        <v/>
      </c>
      <c r="E148" s="560"/>
      <c r="F148" s="559"/>
      <c r="G148" s="559" t="str">
        <f t="shared" si="12"/>
        <v/>
      </c>
      <c r="H148" s="559" t="str">
        <f t="shared" si="13"/>
        <v/>
      </c>
      <c r="I148" s="559" t="str">
        <f t="shared" si="14"/>
        <v/>
      </c>
    </row>
    <row r="149" spans="2:9">
      <c r="B149" s="555" t="str">
        <f t="shared" si="9"/>
        <v/>
      </c>
      <c r="C149" s="556" t="str">
        <f t="shared" si="10"/>
        <v/>
      </c>
      <c r="D149" s="557" t="str">
        <f t="shared" si="11"/>
        <v/>
      </c>
      <c r="E149" s="560"/>
      <c r="F149" s="559"/>
      <c r="G149" s="559" t="str">
        <f t="shared" si="12"/>
        <v/>
      </c>
      <c r="H149" s="559" t="str">
        <f t="shared" si="13"/>
        <v/>
      </c>
      <c r="I149" s="559" t="str">
        <f t="shared" si="14"/>
        <v/>
      </c>
    </row>
    <row r="150" spans="2:9">
      <c r="B150" s="555" t="str">
        <f t="shared" si="9"/>
        <v/>
      </c>
      <c r="C150" s="556" t="str">
        <f t="shared" si="10"/>
        <v/>
      </c>
      <c r="D150" s="557" t="str">
        <f t="shared" si="11"/>
        <v/>
      </c>
      <c r="E150" s="560"/>
      <c r="F150" s="559"/>
      <c r="G150" s="559" t="str">
        <f t="shared" si="12"/>
        <v/>
      </c>
      <c r="H150" s="559" t="str">
        <f t="shared" si="13"/>
        <v/>
      </c>
      <c r="I150" s="559" t="str">
        <f t="shared" si="14"/>
        <v/>
      </c>
    </row>
    <row r="151" spans="2:9">
      <c r="B151" s="555" t="str">
        <f t="shared" si="9"/>
        <v/>
      </c>
      <c r="C151" s="556" t="str">
        <f t="shared" si="10"/>
        <v/>
      </c>
      <c r="D151" s="557" t="str">
        <f t="shared" si="11"/>
        <v/>
      </c>
      <c r="E151" s="560"/>
      <c r="F151" s="559"/>
      <c r="G151" s="559" t="str">
        <f t="shared" si="12"/>
        <v/>
      </c>
      <c r="H151" s="559" t="str">
        <f t="shared" si="13"/>
        <v/>
      </c>
      <c r="I151" s="559" t="str">
        <f t="shared" si="14"/>
        <v/>
      </c>
    </row>
    <row r="152" spans="2:9">
      <c r="B152" s="555" t="str">
        <f t="shared" si="9"/>
        <v/>
      </c>
      <c r="C152" s="556" t="str">
        <f t="shared" si="10"/>
        <v/>
      </c>
      <c r="D152" s="557" t="str">
        <f t="shared" si="11"/>
        <v/>
      </c>
      <c r="E152" s="560"/>
      <c r="F152" s="559"/>
      <c r="G152" s="559" t="str">
        <f t="shared" si="12"/>
        <v/>
      </c>
      <c r="H152" s="559" t="str">
        <f t="shared" si="13"/>
        <v/>
      </c>
      <c r="I152" s="559" t="str">
        <f t="shared" si="14"/>
        <v/>
      </c>
    </row>
    <row r="153" spans="2:9">
      <c r="B153" s="555" t="str">
        <f t="shared" si="9"/>
        <v/>
      </c>
      <c r="C153" s="556" t="str">
        <f t="shared" si="10"/>
        <v/>
      </c>
      <c r="D153" s="557" t="str">
        <f t="shared" si="11"/>
        <v/>
      </c>
      <c r="E153" s="560"/>
      <c r="F153" s="559"/>
      <c r="G153" s="559" t="str">
        <f t="shared" si="12"/>
        <v/>
      </c>
      <c r="H153" s="559" t="str">
        <f t="shared" si="13"/>
        <v/>
      </c>
      <c r="I153" s="559" t="str">
        <f t="shared" si="14"/>
        <v/>
      </c>
    </row>
    <row r="154" spans="2:9">
      <c r="B154" s="555" t="str">
        <f t="shared" si="9"/>
        <v/>
      </c>
      <c r="C154" s="556" t="str">
        <f t="shared" si="10"/>
        <v/>
      </c>
      <c r="D154" s="557" t="str">
        <f t="shared" si="11"/>
        <v/>
      </c>
      <c r="E154" s="560"/>
      <c r="F154" s="559"/>
      <c r="G154" s="559" t="str">
        <f t="shared" si="12"/>
        <v/>
      </c>
      <c r="H154" s="559" t="str">
        <f t="shared" si="13"/>
        <v/>
      </c>
      <c r="I154" s="559" t="str">
        <f t="shared" si="14"/>
        <v/>
      </c>
    </row>
    <row r="155" spans="2:9">
      <c r="B155" s="555" t="str">
        <f t="shared" si="9"/>
        <v/>
      </c>
      <c r="C155" s="556" t="str">
        <f t="shared" si="10"/>
        <v/>
      </c>
      <c r="D155" s="557" t="str">
        <f t="shared" si="11"/>
        <v/>
      </c>
      <c r="E155" s="560"/>
      <c r="F155" s="559"/>
      <c r="G155" s="559" t="str">
        <f t="shared" si="12"/>
        <v/>
      </c>
      <c r="H155" s="559" t="str">
        <f t="shared" si="13"/>
        <v/>
      </c>
      <c r="I155" s="559" t="str">
        <f t="shared" si="14"/>
        <v/>
      </c>
    </row>
    <row r="156" spans="2:9">
      <c r="B156" s="555" t="str">
        <f t="shared" si="9"/>
        <v/>
      </c>
      <c r="C156" s="556" t="str">
        <f t="shared" si="10"/>
        <v/>
      </c>
      <c r="D156" s="557" t="str">
        <f t="shared" si="11"/>
        <v/>
      </c>
      <c r="E156" s="560"/>
      <c r="F156" s="559"/>
      <c r="G156" s="559" t="str">
        <f t="shared" si="12"/>
        <v/>
      </c>
      <c r="H156" s="559" t="str">
        <f t="shared" si="13"/>
        <v/>
      </c>
      <c r="I156" s="559" t="str">
        <f t="shared" si="14"/>
        <v/>
      </c>
    </row>
    <row r="157" spans="2:9">
      <c r="B157" s="555" t="str">
        <f t="shared" si="9"/>
        <v/>
      </c>
      <c r="C157" s="556" t="str">
        <f t="shared" si="10"/>
        <v/>
      </c>
      <c r="D157" s="557" t="str">
        <f t="shared" si="11"/>
        <v/>
      </c>
      <c r="E157" s="560"/>
      <c r="F157" s="559"/>
      <c r="G157" s="559" t="str">
        <f t="shared" si="12"/>
        <v/>
      </c>
      <c r="H157" s="559" t="str">
        <f t="shared" si="13"/>
        <v/>
      </c>
      <c r="I157" s="559" t="str">
        <f t="shared" si="14"/>
        <v/>
      </c>
    </row>
    <row r="158" spans="2:9">
      <c r="B158" s="555" t="str">
        <f t="shared" si="9"/>
        <v/>
      </c>
      <c r="C158" s="556" t="str">
        <f t="shared" si="10"/>
        <v/>
      </c>
      <c r="D158" s="557" t="str">
        <f t="shared" si="11"/>
        <v/>
      </c>
      <c r="E158" s="560"/>
      <c r="F158" s="559"/>
      <c r="G158" s="559" t="str">
        <f t="shared" si="12"/>
        <v/>
      </c>
      <c r="H158" s="559" t="str">
        <f t="shared" si="13"/>
        <v/>
      </c>
      <c r="I158" s="559" t="str">
        <f t="shared" si="14"/>
        <v/>
      </c>
    </row>
    <row r="159" spans="2:9">
      <c r="B159" s="555" t="str">
        <f t="shared" si="9"/>
        <v/>
      </c>
      <c r="C159" s="556" t="str">
        <f t="shared" si="10"/>
        <v/>
      </c>
      <c r="D159" s="557" t="str">
        <f t="shared" si="11"/>
        <v/>
      </c>
      <c r="E159" s="560"/>
      <c r="F159" s="559"/>
      <c r="G159" s="559" t="str">
        <f t="shared" si="12"/>
        <v/>
      </c>
      <c r="H159" s="559" t="str">
        <f t="shared" si="13"/>
        <v/>
      </c>
      <c r="I159" s="559" t="str">
        <f t="shared" si="14"/>
        <v/>
      </c>
    </row>
    <row r="160" spans="2:9">
      <c r="B160" s="555" t="str">
        <f t="shared" si="9"/>
        <v/>
      </c>
      <c r="C160" s="556" t="str">
        <f t="shared" si="10"/>
        <v/>
      </c>
      <c r="D160" s="557" t="str">
        <f t="shared" si="11"/>
        <v/>
      </c>
      <c r="E160" s="560"/>
      <c r="F160" s="559"/>
      <c r="G160" s="559" t="str">
        <f t="shared" si="12"/>
        <v/>
      </c>
      <c r="H160" s="559" t="str">
        <f t="shared" si="13"/>
        <v/>
      </c>
      <c r="I160" s="559" t="str">
        <f t="shared" si="14"/>
        <v/>
      </c>
    </row>
    <row r="161" spans="2:9">
      <c r="B161" s="555" t="str">
        <f t="shared" si="9"/>
        <v/>
      </c>
      <c r="C161" s="556" t="str">
        <f t="shared" si="10"/>
        <v/>
      </c>
      <c r="D161" s="557" t="str">
        <f t="shared" si="11"/>
        <v/>
      </c>
      <c r="E161" s="560"/>
      <c r="F161" s="559"/>
      <c r="G161" s="559" t="str">
        <f t="shared" si="12"/>
        <v/>
      </c>
      <c r="H161" s="559" t="str">
        <f t="shared" si="13"/>
        <v/>
      </c>
      <c r="I161" s="559" t="str">
        <f t="shared" si="14"/>
        <v/>
      </c>
    </row>
    <row r="162" spans="2:9">
      <c r="B162" s="555" t="str">
        <f t="shared" si="9"/>
        <v/>
      </c>
      <c r="C162" s="556" t="str">
        <f t="shared" si="10"/>
        <v/>
      </c>
      <c r="D162" s="557" t="str">
        <f t="shared" si="11"/>
        <v/>
      </c>
      <c r="E162" s="560"/>
      <c r="F162" s="559"/>
      <c r="G162" s="559" t="str">
        <f t="shared" si="12"/>
        <v/>
      </c>
      <c r="H162" s="559" t="str">
        <f t="shared" si="13"/>
        <v/>
      </c>
      <c r="I162" s="559" t="str">
        <f t="shared" si="14"/>
        <v/>
      </c>
    </row>
    <row r="163" spans="2:9">
      <c r="B163" s="555" t="str">
        <f t="shared" si="9"/>
        <v/>
      </c>
      <c r="C163" s="556" t="str">
        <f t="shared" si="10"/>
        <v/>
      </c>
      <c r="D163" s="557" t="str">
        <f t="shared" si="11"/>
        <v/>
      </c>
      <c r="E163" s="560"/>
      <c r="F163" s="559"/>
      <c r="G163" s="559" t="str">
        <f t="shared" si="12"/>
        <v/>
      </c>
      <c r="H163" s="559" t="str">
        <f t="shared" si="13"/>
        <v/>
      </c>
      <c r="I163" s="559" t="str">
        <f t="shared" si="14"/>
        <v/>
      </c>
    </row>
    <row r="164" spans="2:9">
      <c r="B164" s="555" t="str">
        <f t="shared" si="9"/>
        <v/>
      </c>
      <c r="C164" s="556" t="str">
        <f t="shared" si="10"/>
        <v/>
      </c>
      <c r="D164" s="557" t="str">
        <f t="shared" si="11"/>
        <v/>
      </c>
      <c r="E164" s="560"/>
      <c r="F164" s="559"/>
      <c r="G164" s="559" t="str">
        <f t="shared" si="12"/>
        <v/>
      </c>
      <c r="H164" s="559" t="str">
        <f t="shared" si="13"/>
        <v/>
      </c>
      <c r="I164" s="559" t="str">
        <f t="shared" si="14"/>
        <v/>
      </c>
    </row>
    <row r="165" spans="2:9">
      <c r="B165" s="555" t="str">
        <f t="shared" si="9"/>
        <v/>
      </c>
      <c r="C165" s="556" t="str">
        <f t="shared" si="10"/>
        <v/>
      </c>
      <c r="D165" s="557" t="str">
        <f t="shared" si="11"/>
        <v/>
      </c>
      <c r="E165" s="560"/>
      <c r="F165" s="559"/>
      <c r="G165" s="559" t="str">
        <f t="shared" si="12"/>
        <v/>
      </c>
      <c r="H165" s="559" t="str">
        <f t="shared" si="13"/>
        <v/>
      </c>
      <c r="I165" s="559" t="str">
        <f t="shared" si="14"/>
        <v/>
      </c>
    </row>
    <row r="166" spans="2:9">
      <c r="B166" s="555" t="str">
        <f t="shared" si="9"/>
        <v/>
      </c>
      <c r="C166" s="556" t="str">
        <f t="shared" si="10"/>
        <v/>
      </c>
      <c r="D166" s="557" t="str">
        <f t="shared" si="11"/>
        <v/>
      </c>
      <c r="E166" s="560"/>
      <c r="F166" s="559"/>
      <c r="G166" s="559" t="str">
        <f t="shared" si="12"/>
        <v/>
      </c>
      <c r="H166" s="559" t="str">
        <f t="shared" si="13"/>
        <v/>
      </c>
      <c r="I166" s="559" t="str">
        <f t="shared" si="14"/>
        <v/>
      </c>
    </row>
    <row r="167" spans="2:9">
      <c r="B167" s="555" t="str">
        <f t="shared" si="9"/>
        <v/>
      </c>
      <c r="C167" s="556" t="str">
        <f t="shared" si="10"/>
        <v/>
      </c>
      <c r="D167" s="557" t="str">
        <f t="shared" si="11"/>
        <v/>
      </c>
      <c r="E167" s="560"/>
      <c r="F167" s="559"/>
      <c r="G167" s="559" t="str">
        <f t="shared" si="12"/>
        <v/>
      </c>
      <c r="H167" s="559" t="str">
        <f t="shared" si="13"/>
        <v/>
      </c>
      <c r="I167" s="559" t="str">
        <f t="shared" si="14"/>
        <v/>
      </c>
    </row>
    <row r="168" spans="2:9">
      <c r="B168" s="555" t="str">
        <f t="shared" si="9"/>
        <v/>
      </c>
      <c r="C168" s="556" t="str">
        <f t="shared" si="10"/>
        <v/>
      </c>
      <c r="D168" s="557" t="str">
        <f t="shared" si="11"/>
        <v/>
      </c>
      <c r="E168" s="560"/>
      <c r="F168" s="559"/>
      <c r="G168" s="559" t="str">
        <f t="shared" si="12"/>
        <v/>
      </c>
      <c r="H168" s="559" t="str">
        <f t="shared" si="13"/>
        <v/>
      </c>
      <c r="I168" s="559" t="str">
        <f t="shared" si="14"/>
        <v/>
      </c>
    </row>
    <row r="169" spans="2:9">
      <c r="B169" s="555" t="str">
        <f t="shared" si="9"/>
        <v/>
      </c>
      <c r="C169" s="556" t="str">
        <f t="shared" si="10"/>
        <v/>
      </c>
      <c r="D169" s="557" t="str">
        <f t="shared" si="11"/>
        <v/>
      </c>
      <c r="E169" s="560"/>
      <c r="F169" s="559"/>
      <c r="G169" s="559" t="str">
        <f t="shared" si="12"/>
        <v/>
      </c>
      <c r="H169" s="559" t="str">
        <f t="shared" si="13"/>
        <v/>
      </c>
      <c r="I169" s="559" t="str">
        <f t="shared" si="14"/>
        <v/>
      </c>
    </row>
    <row r="170" spans="2:9">
      <c r="B170" s="555" t="str">
        <f t="shared" si="9"/>
        <v/>
      </c>
      <c r="C170" s="556" t="str">
        <f t="shared" si="10"/>
        <v/>
      </c>
      <c r="D170" s="557" t="str">
        <f t="shared" si="11"/>
        <v/>
      </c>
      <c r="E170" s="560"/>
      <c r="F170" s="559"/>
      <c r="G170" s="559" t="str">
        <f t="shared" si="12"/>
        <v/>
      </c>
      <c r="H170" s="559" t="str">
        <f t="shared" si="13"/>
        <v/>
      </c>
      <c r="I170" s="559" t="str">
        <f t="shared" si="14"/>
        <v/>
      </c>
    </row>
    <row r="171" spans="2:9">
      <c r="B171" s="555" t="str">
        <f t="shared" si="9"/>
        <v/>
      </c>
      <c r="C171" s="556" t="str">
        <f t="shared" si="10"/>
        <v/>
      </c>
      <c r="D171" s="557" t="str">
        <f t="shared" si="11"/>
        <v/>
      </c>
      <c r="E171" s="560"/>
      <c r="F171" s="559"/>
      <c r="G171" s="559" t="str">
        <f t="shared" si="12"/>
        <v/>
      </c>
      <c r="H171" s="559" t="str">
        <f t="shared" si="13"/>
        <v/>
      </c>
      <c r="I171" s="559" t="str">
        <f t="shared" si="14"/>
        <v/>
      </c>
    </row>
    <row r="172" spans="2:9">
      <c r="B172" s="555" t="str">
        <f t="shared" si="9"/>
        <v/>
      </c>
      <c r="C172" s="556" t="str">
        <f t="shared" si="10"/>
        <v/>
      </c>
      <c r="D172" s="557" t="str">
        <f t="shared" si="11"/>
        <v/>
      </c>
      <c r="E172" s="560"/>
      <c r="F172" s="559"/>
      <c r="G172" s="559" t="str">
        <f t="shared" si="12"/>
        <v/>
      </c>
      <c r="H172" s="559" t="str">
        <f t="shared" si="13"/>
        <v/>
      </c>
      <c r="I172" s="559" t="str">
        <f t="shared" si="14"/>
        <v/>
      </c>
    </row>
    <row r="173" spans="2:9">
      <c r="B173" s="555" t="str">
        <f t="shared" si="9"/>
        <v/>
      </c>
      <c r="C173" s="556" t="str">
        <f t="shared" si="10"/>
        <v/>
      </c>
      <c r="D173" s="557" t="str">
        <f t="shared" si="11"/>
        <v/>
      </c>
      <c r="E173" s="560"/>
      <c r="F173" s="559"/>
      <c r="G173" s="559" t="str">
        <f t="shared" si="12"/>
        <v/>
      </c>
      <c r="H173" s="559" t="str">
        <f t="shared" si="13"/>
        <v/>
      </c>
      <c r="I173" s="559" t="str">
        <f t="shared" si="14"/>
        <v/>
      </c>
    </row>
    <row r="174" spans="2:9">
      <c r="B174" s="555" t="str">
        <f t="shared" si="9"/>
        <v/>
      </c>
      <c r="C174" s="556" t="str">
        <f t="shared" si="10"/>
        <v/>
      </c>
      <c r="D174" s="557" t="str">
        <f t="shared" si="11"/>
        <v/>
      </c>
      <c r="E174" s="560"/>
      <c r="F174" s="559"/>
      <c r="G174" s="559" t="str">
        <f t="shared" si="12"/>
        <v/>
      </c>
      <c r="H174" s="559" t="str">
        <f t="shared" si="13"/>
        <v/>
      </c>
      <c r="I174" s="559" t="str">
        <f t="shared" si="14"/>
        <v/>
      </c>
    </row>
    <row r="175" spans="2:9">
      <c r="B175" s="555" t="str">
        <f t="shared" si="9"/>
        <v/>
      </c>
      <c r="C175" s="556" t="str">
        <f t="shared" si="10"/>
        <v/>
      </c>
      <c r="D175" s="557" t="str">
        <f t="shared" si="11"/>
        <v/>
      </c>
      <c r="E175" s="560"/>
      <c r="F175" s="559"/>
      <c r="G175" s="559" t="str">
        <f t="shared" si="12"/>
        <v/>
      </c>
      <c r="H175" s="559" t="str">
        <f t="shared" si="13"/>
        <v/>
      </c>
      <c r="I175" s="559" t="str">
        <f t="shared" si="14"/>
        <v/>
      </c>
    </row>
    <row r="176" spans="2:9">
      <c r="B176" s="555" t="str">
        <f t="shared" si="9"/>
        <v/>
      </c>
      <c r="C176" s="556" t="str">
        <f t="shared" si="10"/>
        <v/>
      </c>
      <c r="D176" s="557" t="str">
        <f t="shared" si="11"/>
        <v/>
      </c>
      <c r="E176" s="560"/>
      <c r="F176" s="559"/>
      <c r="G176" s="559" t="str">
        <f t="shared" si="12"/>
        <v/>
      </c>
      <c r="H176" s="559" t="str">
        <f t="shared" si="13"/>
        <v/>
      </c>
      <c r="I176" s="559" t="str">
        <f t="shared" si="14"/>
        <v/>
      </c>
    </row>
    <row r="177" spans="2:9">
      <c r="B177" s="555" t="str">
        <f t="shared" si="9"/>
        <v/>
      </c>
      <c r="C177" s="556" t="str">
        <f t="shared" si="10"/>
        <v/>
      </c>
      <c r="D177" s="557" t="str">
        <f t="shared" si="11"/>
        <v/>
      </c>
      <c r="E177" s="560"/>
      <c r="F177" s="559"/>
      <c r="G177" s="559" t="str">
        <f t="shared" si="12"/>
        <v/>
      </c>
      <c r="H177" s="559" t="str">
        <f t="shared" si="13"/>
        <v/>
      </c>
      <c r="I177" s="559" t="str">
        <f t="shared" si="14"/>
        <v/>
      </c>
    </row>
    <row r="178" spans="2:9">
      <c r="B178" s="555" t="str">
        <f t="shared" si="9"/>
        <v/>
      </c>
      <c r="C178" s="556" t="str">
        <f t="shared" si="10"/>
        <v/>
      </c>
      <c r="D178" s="557" t="str">
        <f t="shared" si="11"/>
        <v/>
      </c>
      <c r="E178" s="560"/>
      <c r="F178" s="559"/>
      <c r="G178" s="559" t="str">
        <f t="shared" si="12"/>
        <v/>
      </c>
      <c r="H178" s="559" t="str">
        <f t="shared" si="13"/>
        <v/>
      </c>
      <c r="I178" s="559" t="str">
        <f t="shared" si="14"/>
        <v/>
      </c>
    </row>
    <row r="179" spans="2:9">
      <c r="B179" s="555" t="str">
        <f t="shared" si="9"/>
        <v/>
      </c>
      <c r="C179" s="556" t="str">
        <f t="shared" si="10"/>
        <v/>
      </c>
      <c r="D179" s="557" t="str">
        <f t="shared" si="11"/>
        <v/>
      </c>
      <c r="E179" s="560"/>
      <c r="F179" s="559"/>
      <c r="G179" s="559" t="str">
        <f t="shared" si="12"/>
        <v/>
      </c>
      <c r="H179" s="559" t="str">
        <f t="shared" si="13"/>
        <v/>
      </c>
      <c r="I179" s="559" t="str">
        <f t="shared" si="14"/>
        <v/>
      </c>
    </row>
    <row r="180" spans="2:9">
      <c r="B180" s="555" t="str">
        <f t="shared" si="9"/>
        <v/>
      </c>
      <c r="C180" s="556" t="str">
        <f t="shared" si="10"/>
        <v/>
      </c>
      <c r="D180" s="557" t="str">
        <f t="shared" si="11"/>
        <v/>
      </c>
      <c r="E180" s="560"/>
      <c r="F180" s="559"/>
      <c r="G180" s="559" t="str">
        <f t="shared" si="12"/>
        <v/>
      </c>
      <c r="H180" s="559" t="str">
        <f t="shared" si="13"/>
        <v/>
      </c>
      <c r="I180" s="559" t="str">
        <f t="shared" si="14"/>
        <v/>
      </c>
    </row>
    <row r="181" spans="2:9">
      <c r="B181" s="555" t="str">
        <f t="shared" si="9"/>
        <v/>
      </c>
      <c r="C181" s="556" t="str">
        <f t="shared" si="10"/>
        <v/>
      </c>
      <c r="D181" s="557" t="str">
        <f t="shared" si="11"/>
        <v/>
      </c>
      <c r="E181" s="560"/>
      <c r="F181" s="559"/>
      <c r="G181" s="559" t="str">
        <f t="shared" si="12"/>
        <v/>
      </c>
      <c r="H181" s="559" t="str">
        <f t="shared" si="13"/>
        <v/>
      </c>
      <c r="I181" s="559" t="str">
        <f t="shared" si="14"/>
        <v/>
      </c>
    </row>
    <row r="182" spans="2:9">
      <c r="B182" s="555" t="str">
        <f t="shared" si="9"/>
        <v/>
      </c>
      <c r="C182" s="556" t="str">
        <f t="shared" si="10"/>
        <v/>
      </c>
      <c r="D182" s="557" t="str">
        <f t="shared" si="11"/>
        <v/>
      </c>
      <c r="E182" s="560"/>
      <c r="F182" s="559"/>
      <c r="G182" s="559" t="str">
        <f t="shared" si="12"/>
        <v/>
      </c>
      <c r="H182" s="559" t="str">
        <f t="shared" si="13"/>
        <v/>
      </c>
      <c r="I182" s="559" t="str">
        <f t="shared" si="14"/>
        <v/>
      </c>
    </row>
    <row r="183" spans="2:9">
      <c r="B183" s="555" t="str">
        <f t="shared" si="9"/>
        <v/>
      </c>
      <c r="C183" s="556" t="str">
        <f t="shared" si="10"/>
        <v/>
      </c>
      <c r="D183" s="557" t="str">
        <f t="shared" si="11"/>
        <v/>
      </c>
      <c r="E183" s="560"/>
      <c r="F183" s="559"/>
      <c r="G183" s="559" t="str">
        <f t="shared" si="12"/>
        <v/>
      </c>
      <c r="H183" s="559" t="str">
        <f t="shared" si="13"/>
        <v/>
      </c>
      <c r="I183" s="559" t="str">
        <f t="shared" si="14"/>
        <v/>
      </c>
    </row>
    <row r="184" spans="2:9">
      <c r="B184" s="555" t="str">
        <f t="shared" si="9"/>
        <v/>
      </c>
      <c r="C184" s="556" t="str">
        <f t="shared" si="10"/>
        <v/>
      </c>
      <c r="D184" s="557" t="str">
        <f t="shared" si="11"/>
        <v/>
      </c>
      <c r="E184" s="560"/>
      <c r="F184" s="559"/>
      <c r="G184" s="559" t="str">
        <f t="shared" si="12"/>
        <v/>
      </c>
      <c r="H184" s="559" t="str">
        <f t="shared" si="13"/>
        <v/>
      </c>
      <c r="I184" s="559" t="str">
        <f t="shared" si="14"/>
        <v/>
      </c>
    </row>
    <row r="185" spans="2:9">
      <c r="B185" s="555" t="str">
        <f t="shared" si="9"/>
        <v/>
      </c>
      <c r="C185" s="556" t="str">
        <f t="shared" si="10"/>
        <v/>
      </c>
      <c r="D185" s="557" t="str">
        <f t="shared" si="11"/>
        <v/>
      </c>
      <c r="E185" s="560"/>
      <c r="F185" s="559"/>
      <c r="G185" s="559" t="str">
        <f t="shared" si="12"/>
        <v/>
      </c>
      <c r="H185" s="559" t="str">
        <f t="shared" si="13"/>
        <v/>
      </c>
      <c r="I185" s="559" t="str">
        <f t="shared" si="14"/>
        <v/>
      </c>
    </row>
    <row r="186" spans="2:9">
      <c r="B186" s="555" t="str">
        <f t="shared" si="9"/>
        <v/>
      </c>
      <c r="C186" s="556" t="str">
        <f t="shared" si="10"/>
        <v/>
      </c>
      <c r="D186" s="557" t="str">
        <f t="shared" si="11"/>
        <v/>
      </c>
      <c r="E186" s="560"/>
      <c r="F186" s="559"/>
      <c r="G186" s="559" t="str">
        <f t="shared" si="12"/>
        <v/>
      </c>
      <c r="H186" s="559" t="str">
        <f t="shared" si="13"/>
        <v/>
      </c>
      <c r="I186" s="559" t="str">
        <f t="shared" si="14"/>
        <v/>
      </c>
    </row>
    <row r="187" spans="2:9">
      <c r="B187" s="555" t="str">
        <f t="shared" si="9"/>
        <v/>
      </c>
      <c r="C187" s="556" t="str">
        <f t="shared" si="10"/>
        <v/>
      </c>
      <c r="D187" s="557" t="str">
        <f t="shared" si="11"/>
        <v/>
      </c>
      <c r="E187" s="560"/>
      <c r="F187" s="559"/>
      <c r="G187" s="559" t="str">
        <f t="shared" si="12"/>
        <v/>
      </c>
      <c r="H187" s="559" t="str">
        <f t="shared" si="13"/>
        <v/>
      </c>
      <c r="I187" s="559" t="str">
        <f t="shared" si="14"/>
        <v/>
      </c>
    </row>
    <row r="188" spans="2:9">
      <c r="B188" s="555" t="str">
        <f t="shared" si="9"/>
        <v/>
      </c>
      <c r="C188" s="556" t="str">
        <f t="shared" si="10"/>
        <v/>
      </c>
      <c r="D188" s="557" t="str">
        <f t="shared" si="11"/>
        <v/>
      </c>
      <c r="E188" s="560"/>
      <c r="F188" s="559"/>
      <c r="G188" s="559" t="str">
        <f t="shared" si="12"/>
        <v/>
      </c>
      <c r="H188" s="559" t="str">
        <f t="shared" si="13"/>
        <v/>
      </c>
      <c r="I188" s="559" t="str">
        <f t="shared" si="14"/>
        <v/>
      </c>
    </row>
    <row r="189" spans="2:9">
      <c r="B189" s="555" t="str">
        <f t="shared" ref="B189:B252" si="15">IF(I188="","",IF(roundOpt,IF(OR(B188&gt;=nper,ROUND(I188,2)&lt;=0),"",B188+1),IF(OR(B188&gt;=nper,I188&lt;=0),"",B188+1)))</f>
        <v/>
      </c>
      <c r="C189" s="556" t="str">
        <f t="shared" ref="C189:C252" si="16">IF(B189="","",IF(OR(periods_per_year=26,periods_per_year=52),IF(periods_per_year=26,IF(B189=1,fpdate,C188+14),IF(periods_per_year=52,IF(B189=1,fpdate,C188+7),"n/a")),IF(periods_per_year=24,DATE(YEAR(fpdate),MONTH(fpdate)+(B189-1)/2+IF(AND(DAY(fpdate)&gt;=15,MOD(B189,2)=0),1,0),IF(MOD(B189,2)=0,IF(DAY(fpdate)&gt;=15,DAY(fpdate)-14,DAY(fpdate)+14),DAY(fpdate))),IF(DAY(DATE(YEAR(fpdate),MONTH(fpdate)+(B189-1)*months_per_period,DAY(fpdate)))&lt;&gt;DAY(fpdate),DATE(YEAR(fpdate),MONTH(fpdate)+(B189-1)*months_per_period+1,0),DATE(YEAR(fpdate),MONTH(fpdate)+(B189-1)*months_per_period,DAY(fpdate))))))</f>
        <v/>
      </c>
      <c r="D189" s="557" t="str">
        <f t="shared" ref="D189:D252" si="17">IF(B189="","",IF(roundOpt,IF(OR(B189=nper,payment&gt;ROUND((1+rate)*I188,2)),ROUND((1+rate)*I188,2),payment),IF(OR(B189=nper,payment&gt;(1+rate)*I188),(1+rate)*I188,payment)))</f>
        <v/>
      </c>
      <c r="E189" s="560"/>
      <c r="F189" s="559"/>
      <c r="G189" s="559" t="str">
        <f t="shared" ref="G189:G252" si="18">IF(B189="","",IF(AND(B189=1,pmtType=1),0,IF(roundOpt,ROUND(rate*I188,2),rate*I188)))</f>
        <v/>
      </c>
      <c r="H189" s="559" t="str">
        <f t="shared" ref="H189:H252" si="19">IF(B189="","",D189-G189+E189)</f>
        <v/>
      </c>
      <c r="I189" s="559" t="str">
        <f t="shared" ref="I189:I252" si="20">IF(B189="","",I188-H189)</f>
        <v/>
      </c>
    </row>
    <row r="190" spans="2:9">
      <c r="B190" s="555" t="str">
        <f t="shared" si="15"/>
        <v/>
      </c>
      <c r="C190" s="556" t="str">
        <f t="shared" si="16"/>
        <v/>
      </c>
      <c r="D190" s="557" t="str">
        <f t="shared" si="17"/>
        <v/>
      </c>
      <c r="E190" s="560"/>
      <c r="F190" s="559"/>
      <c r="G190" s="559" t="str">
        <f t="shared" si="18"/>
        <v/>
      </c>
      <c r="H190" s="559" t="str">
        <f t="shared" si="19"/>
        <v/>
      </c>
      <c r="I190" s="559" t="str">
        <f t="shared" si="20"/>
        <v/>
      </c>
    </row>
    <row r="191" spans="2:9">
      <c r="B191" s="555" t="str">
        <f t="shared" si="15"/>
        <v/>
      </c>
      <c r="C191" s="556" t="str">
        <f t="shared" si="16"/>
        <v/>
      </c>
      <c r="D191" s="557" t="str">
        <f t="shared" si="17"/>
        <v/>
      </c>
      <c r="E191" s="560"/>
      <c r="F191" s="559"/>
      <c r="G191" s="559" t="str">
        <f t="shared" si="18"/>
        <v/>
      </c>
      <c r="H191" s="559" t="str">
        <f t="shared" si="19"/>
        <v/>
      </c>
      <c r="I191" s="559" t="str">
        <f t="shared" si="20"/>
        <v/>
      </c>
    </row>
    <row r="192" spans="2:9">
      <c r="B192" s="555" t="str">
        <f t="shared" si="15"/>
        <v/>
      </c>
      <c r="C192" s="556" t="str">
        <f t="shared" si="16"/>
        <v/>
      </c>
      <c r="D192" s="557" t="str">
        <f t="shared" si="17"/>
        <v/>
      </c>
      <c r="E192" s="560"/>
      <c r="F192" s="559"/>
      <c r="G192" s="559" t="str">
        <f t="shared" si="18"/>
        <v/>
      </c>
      <c r="H192" s="559" t="str">
        <f t="shared" si="19"/>
        <v/>
      </c>
      <c r="I192" s="559" t="str">
        <f t="shared" si="20"/>
        <v/>
      </c>
    </row>
    <row r="193" spans="2:9">
      <c r="B193" s="555" t="str">
        <f t="shared" si="15"/>
        <v/>
      </c>
      <c r="C193" s="556" t="str">
        <f t="shared" si="16"/>
        <v/>
      </c>
      <c r="D193" s="557" t="str">
        <f t="shared" si="17"/>
        <v/>
      </c>
      <c r="E193" s="560"/>
      <c r="F193" s="559"/>
      <c r="G193" s="559" t="str">
        <f t="shared" si="18"/>
        <v/>
      </c>
      <c r="H193" s="559" t="str">
        <f t="shared" si="19"/>
        <v/>
      </c>
      <c r="I193" s="559" t="str">
        <f t="shared" si="20"/>
        <v/>
      </c>
    </row>
    <row r="194" spans="2:9">
      <c r="B194" s="555" t="str">
        <f t="shared" si="15"/>
        <v/>
      </c>
      <c r="C194" s="556" t="str">
        <f t="shared" si="16"/>
        <v/>
      </c>
      <c r="D194" s="557" t="str">
        <f t="shared" si="17"/>
        <v/>
      </c>
      <c r="E194" s="560"/>
      <c r="F194" s="559"/>
      <c r="G194" s="559" t="str">
        <f t="shared" si="18"/>
        <v/>
      </c>
      <c r="H194" s="559" t="str">
        <f t="shared" si="19"/>
        <v/>
      </c>
      <c r="I194" s="559" t="str">
        <f t="shared" si="20"/>
        <v/>
      </c>
    </row>
    <row r="195" spans="2:9">
      <c r="B195" s="555" t="str">
        <f t="shared" si="15"/>
        <v/>
      </c>
      <c r="C195" s="556" t="str">
        <f t="shared" si="16"/>
        <v/>
      </c>
      <c r="D195" s="557" t="str">
        <f t="shared" si="17"/>
        <v/>
      </c>
      <c r="E195" s="560"/>
      <c r="F195" s="559"/>
      <c r="G195" s="559" t="str">
        <f t="shared" si="18"/>
        <v/>
      </c>
      <c r="H195" s="559" t="str">
        <f t="shared" si="19"/>
        <v/>
      </c>
      <c r="I195" s="559" t="str">
        <f t="shared" si="20"/>
        <v/>
      </c>
    </row>
    <row r="196" spans="2:9">
      <c r="B196" s="555" t="str">
        <f t="shared" si="15"/>
        <v/>
      </c>
      <c r="C196" s="556" t="str">
        <f t="shared" si="16"/>
        <v/>
      </c>
      <c r="D196" s="557" t="str">
        <f t="shared" si="17"/>
        <v/>
      </c>
      <c r="E196" s="560"/>
      <c r="F196" s="559"/>
      <c r="G196" s="559" t="str">
        <f t="shared" si="18"/>
        <v/>
      </c>
      <c r="H196" s="559" t="str">
        <f t="shared" si="19"/>
        <v/>
      </c>
      <c r="I196" s="559" t="str">
        <f t="shared" si="20"/>
        <v/>
      </c>
    </row>
    <row r="197" spans="2:9">
      <c r="B197" s="555" t="str">
        <f t="shared" si="15"/>
        <v/>
      </c>
      <c r="C197" s="556" t="str">
        <f t="shared" si="16"/>
        <v/>
      </c>
      <c r="D197" s="557" t="str">
        <f t="shared" si="17"/>
        <v/>
      </c>
      <c r="E197" s="560"/>
      <c r="F197" s="559"/>
      <c r="G197" s="559" t="str">
        <f t="shared" si="18"/>
        <v/>
      </c>
      <c r="H197" s="559" t="str">
        <f t="shared" si="19"/>
        <v/>
      </c>
      <c r="I197" s="559" t="str">
        <f t="shared" si="20"/>
        <v/>
      </c>
    </row>
    <row r="198" spans="2:9">
      <c r="B198" s="555" t="str">
        <f t="shared" si="15"/>
        <v/>
      </c>
      <c r="C198" s="556" t="str">
        <f t="shared" si="16"/>
        <v/>
      </c>
      <c r="D198" s="557" t="str">
        <f t="shared" si="17"/>
        <v/>
      </c>
      <c r="E198" s="560"/>
      <c r="F198" s="559"/>
      <c r="G198" s="559" t="str">
        <f t="shared" si="18"/>
        <v/>
      </c>
      <c r="H198" s="559" t="str">
        <f t="shared" si="19"/>
        <v/>
      </c>
      <c r="I198" s="559" t="str">
        <f t="shared" si="20"/>
        <v/>
      </c>
    </row>
    <row r="199" spans="2:9">
      <c r="B199" s="555" t="str">
        <f t="shared" si="15"/>
        <v/>
      </c>
      <c r="C199" s="556" t="str">
        <f t="shared" si="16"/>
        <v/>
      </c>
      <c r="D199" s="557" t="str">
        <f t="shared" si="17"/>
        <v/>
      </c>
      <c r="E199" s="560"/>
      <c r="F199" s="559"/>
      <c r="G199" s="559" t="str">
        <f t="shared" si="18"/>
        <v/>
      </c>
      <c r="H199" s="559" t="str">
        <f t="shared" si="19"/>
        <v/>
      </c>
      <c r="I199" s="559" t="str">
        <f t="shared" si="20"/>
        <v/>
      </c>
    </row>
    <row r="200" spans="2:9">
      <c r="B200" s="555" t="str">
        <f t="shared" si="15"/>
        <v/>
      </c>
      <c r="C200" s="556" t="str">
        <f t="shared" si="16"/>
        <v/>
      </c>
      <c r="D200" s="557" t="str">
        <f t="shared" si="17"/>
        <v/>
      </c>
      <c r="E200" s="560"/>
      <c r="F200" s="559"/>
      <c r="G200" s="559" t="str">
        <f t="shared" si="18"/>
        <v/>
      </c>
      <c r="H200" s="559" t="str">
        <f t="shared" si="19"/>
        <v/>
      </c>
      <c r="I200" s="559" t="str">
        <f t="shared" si="20"/>
        <v/>
      </c>
    </row>
    <row r="201" spans="2:9">
      <c r="B201" s="555" t="str">
        <f t="shared" si="15"/>
        <v/>
      </c>
      <c r="C201" s="556" t="str">
        <f t="shared" si="16"/>
        <v/>
      </c>
      <c r="D201" s="557" t="str">
        <f t="shared" si="17"/>
        <v/>
      </c>
      <c r="E201" s="560"/>
      <c r="F201" s="559"/>
      <c r="G201" s="559" t="str">
        <f t="shared" si="18"/>
        <v/>
      </c>
      <c r="H201" s="559" t="str">
        <f t="shared" si="19"/>
        <v/>
      </c>
      <c r="I201" s="559" t="str">
        <f t="shared" si="20"/>
        <v/>
      </c>
    </row>
    <row r="202" spans="2:9">
      <c r="B202" s="555" t="str">
        <f t="shared" si="15"/>
        <v/>
      </c>
      <c r="C202" s="556" t="str">
        <f t="shared" si="16"/>
        <v/>
      </c>
      <c r="D202" s="557" t="str">
        <f t="shared" si="17"/>
        <v/>
      </c>
      <c r="E202" s="560"/>
      <c r="F202" s="559"/>
      <c r="G202" s="559" t="str">
        <f t="shared" si="18"/>
        <v/>
      </c>
      <c r="H202" s="559" t="str">
        <f t="shared" si="19"/>
        <v/>
      </c>
      <c r="I202" s="559" t="str">
        <f t="shared" si="20"/>
        <v/>
      </c>
    </row>
    <row r="203" spans="2:9">
      <c r="B203" s="555" t="str">
        <f t="shared" si="15"/>
        <v/>
      </c>
      <c r="C203" s="556" t="str">
        <f t="shared" si="16"/>
        <v/>
      </c>
      <c r="D203" s="557" t="str">
        <f t="shared" si="17"/>
        <v/>
      </c>
      <c r="E203" s="560"/>
      <c r="F203" s="559"/>
      <c r="G203" s="559" t="str">
        <f t="shared" si="18"/>
        <v/>
      </c>
      <c r="H203" s="559" t="str">
        <f t="shared" si="19"/>
        <v/>
      </c>
      <c r="I203" s="559" t="str">
        <f t="shared" si="20"/>
        <v/>
      </c>
    </row>
    <row r="204" spans="2:9">
      <c r="B204" s="555" t="str">
        <f t="shared" si="15"/>
        <v/>
      </c>
      <c r="C204" s="556" t="str">
        <f t="shared" si="16"/>
        <v/>
      </c>
      <c r="D204" s="557" t="str">
        <f t="shared" si="17"/>
        <v/>
      </c>
      <c r="E204" s="560"/>
      <c r="F204" s="559"/>
      <c r="G204" s="559" t="str">
        <f t="shared" si="18"/>
        <v/>
      </c>
      <c r="H204" s="559" t="str">
        <f t="shared" si="19"/>
        <v/>
      </c>
      <c r="I204" s="559" t="str">
        <f t="shared" si="20"/>
        <v/>
      </c>
    </row>
    <row r="205" spans="2:9">
      <c r="B205" s="555" t="str">
        <f t="shared" si="15"/>
        <v/>
      </c>
      <c r="C205" s="556" t="str">
        <f t="shared" si="16"/>
        <v/>
      </c>
      <c r="D205" s="557" t="str">
        <f t="shared" si="17"/>
        <v/>
      </c>
      <c r="E205" s="560"/>
      <c r="F205" s="559"/>
      <c r="G205" s="559" t="str">
        <f t="shared" si="18"/>
        <v/>
      </c>
      <c r="H205" s="559" t="str">
        <f t="shared" si="19"/>
        <v/>
      </c>
      <c r="I205" s="559" t="str">
        <f t="shared" si="20"/>
        <v/>
      </c>
    </row>
    <row r="206" spans="2:9">
      <c r="B206" s="555" t="str">
        <f t="shared" si="15"/>
        <v/>
      </c>
      <c r="C206" s="556" t="str">
        <f t="shared" si="16"/>
        <v/>
      </c>
      <c r="D206" s="557" t="str">
        <f t="shared" si="17"/>
        <v/>
      </c>
      <c r="E206" s="560"/>
      <c r="F206" s="559"/>
      <c r="G206" s="559" t="str">
        <f t="shared" si="18"/>
        <v/>
      </c>
      <c r="H206" s="559" t="str">
        <f t="shared" si="19"/>
        <v/>
      </c>
      <c r="I206" s="559" t="str">
        <f t="shared" si="20"/>
        <v/>
      </c>
    </row>
    <row r="207" spans="2:9">
      <c r="B207" s="555" t="str">
        <f t="shared" si="15"/>
        <v/>
      </c>
      <c r="C207" s="556" t="str">
        <f t="shared" si="16"/>
        <v/>
      </c>
      <c r="D207" s="557" t="str">
        <f t="shared" si="17"/>
        <v/>
      </c>
      <c r="E207" s="560"/>
      <c r="F207" s="559"/>
      <c r="G207" s="559" t="str">
        <f t="shared" si="18"/>
        <v/>
      </c>
      <c r="H207" s="559" t="str">
        <f t="shared" si="19"/>
        <v/>
      </c>
      <c r="I207" s="559" t="str">
        <f t="shared" si="20"/>
        <v/>
      </c>
    </row>
    <row r="208" spans="2:9">
      <c r="B208" s="555" t="str">
        <f t="shared" si="15"/>
        <v/>
      </c>
      <c r="C208" s="556" t="str">
        <f t="shared" si="16"/>
        <v/>
      </c>
      <c r="D208" s="557" t="str">
        <f t="shared" si="17"/>
        <v/>
      </c>
      <c r="E208" s="560"/>
      <c r="F208" s="559"/>
      <c r="G208" s="559" t="str">
        <f t="shared" si="18"/>
        <v/>
      </c>
      <c r="H208" s="559" t="str">
        <f t="shared" si="19"/>
        <v/>
      </c>
      <c r="I208" s="559" t="str">
        <f t="shared" si="20"/>
        <v/>
      </c>
    </row>
    <row r="209" spans="2:9">
      <c r="B209" s="555" t="str">
        <f t="shared" si="15"/>
        <v/>
      </c>
      <c r="C209" s="556" t="str">
        <f t="shared" si="16"/>
        <v/>
      </c>
      <c r="D209" s="557" t="str">
        <f t="shared" si="17"/>
        <v/>
      </c>
      <c r="E209" s="560"/>
      <c r="F209" s="559"/>
      <c r="G209" s="559" t="str">
        <f t="shared" si="18"/>
        <v/>
      </c>
      <c r="H209" s="559" t="str">
        <f t="shared" si="19"/>
        <v/>
      </c>
      <c r="I209" s="559" t="str">
        <f t="shared" si="20"/>
        <v/>
      </c>
    </row>
    <row r="210" spans="2:9">
      <c r="B210" s="555" t="str">
        <f t="shared" si="15"/>
        <v/>
      </c>
      <c r="C210" s="556" t="str">
        <f t="shared" si="16"/>
        <v/>
      </c>
      <c r="D210" s="557" t="str">
        <f t="shared" si="17"/>
        <v/>
      </c>
      <c r="E210" s="560"/>
      <c r="F210" s="559"/>
      <c r="G210" s="559" t="str">
        <f t="shared" si="18"/>
        <v/>
      </c>
      <c r="H210" s="559" t="str">
        <f t="shared" si="19"/>
        <v/>
      </c>
      <c r="I210" s="559" t="str">
        <f t="shared" si="20"/>
        <v/>
      </c>
    </row>
    <row r="211" spans="2:9">
      <c r="B211" s="555" t="str">
        <f t="shared" si="15"/>
        <v/>
      </c>
      <c r="C211" s="556" t="str">
        <f t="shared" si="16"/>
        <v/>
      </c>
      <c r="D211" s="557" t="str">
        <f t="shared" si="17"/>
        <v/>
      </c>
      <c r="E211" s="560"/>
      <c r="F211" s="559"/>
      <c r="G211" s="559" t="str">
        <f t="shared" si="18"/>
        <v/>
      </c>
      <c r="H211" s="559" t="str">
        <f t="shared" si="19"/>
        <v/>
      </c>
      <c r="I211" s="559" t="str">
        <f t="shared" si="20"/>
        <v/>
      </c>
    </row>
    <row r="212" spans="2:9">
      <c r="B212" s="555" t="str">
        <f t="shared" si="15"/>
        <v/>
      </c>
      <c r="C212" s="556" t="str">
        <f t="shared" si="16"/>
        <v/>
      </c>
      <c r="D212" s="557" t="str">
        <f t="shared" si="17"/>
        <v/>
      </c>
      <c r="E212" s="560"/>
      <c r="F212" s="559"/>
      <c r="G212" s="559" t="str">
        <f t="shared" si="18"/>
        <v/>
      </c>
      <c r="H212" s="559" t="str">
        <f t="shared" si="19"/>
        <v/>
      </c>
      <c r="I212" s="559" t="str">
        <f t="shared" si="20"/>
        <v/>
      </c>
    </row>
    <row r="213" spans="2:9">
      <c r="B213" s="555" t="str">
        <f t="shared" si="15"/>
        <v/>
      </c>
      <c r="C213" s="556" t="str">
        <f t="shared" si="16"/>
        <v/>
      </c>
      <c r="D213" s="557" t="str">
        <f t="shared" si="17"/>
        <v/>
      </c>
      <c r="E213" s="560"/>
      <c r="F213" s="559"/>
      <c r="G213" s="559" t="str">
        <f t="shared" si="18"/>
        <v/>
      </c>
      <c r="H213" s="559" t="str">
        <f t="shared" si="19"/>
        <v/>
      </c>
      <c r="I213" s="559" t="str">
        <f t="shared" si="20"/>
        <v/>
      </c>
    </row>
    <row r="214" spans="2:9">
      <c r="B214" s="555" t="str">
        <f t="shared" si="15"/>
        <v/>
      </c>
      <c r="C214" s="556" t="str">
        <f t="shared" si="16"/>
        <v/>
      </c>
      <c r="D214" s="557" t="str">
        <f t="shared" si="17"/>
        <v/>
      </c>
      <c r="E214" s="560"/>
      <c r="F214" s="559"/>
      <c r="G214" s="559" t="str">
        <f t="shared" si="18"/>
        <v/>
      </c>
      <c r="H214" s="559" t="str">
        <f t="shared" si="19"/>
        <v/>
      </c>
      <c r="I214" s="559" t="str">
        <f t="shared" si="20"/>
        <v/>
      </c>
    </row>
    <row r="215" spans="2:9">
      <c r="B215" s="555" t="str">
        <f t="shared" si="15"/>
        <v/>
      </c>
      <c r="C215" s="556" t="str">
        <f t="shared" si="16"/>
        <v/>
      </c>
      <c r="D215" s="557" t="str">
        <f t="shared" si="17"/>
        <v/>
      </c>
      <c r="E215" s="560"/>
      <c r="F215" s="559"/>
      <c r="G215" s="559" t="str">
        <f t="shared" si="18"/>
        <v/>
      </c>
      <c r="H215" s="559" t="str">
        <f t="shared" si="19"/>
        <v/>
      </c>
      <c r="I215" s="559" t="str">
        <f t="shared" si="20"/>
        <v/>
      </c>
    </row>
    <row r="216" spans="2:9">
      <c r="B216" s="555" t="str">
        <f t="shared" si="15"/>
        <v/>
      </c>
      <c r="C216" s="556" t="str">
        <f t="shared" si="16"/>
        <v/>
      </c>
      <c r="D216" s="557" t="str">
        <f t="shared" si="17"/>
        <v/>
      </c>
      <c r="E216" s="560"/>
      <c r="F216" s="559"/>
      <c r="G216" s="559" t="str">
        <f t="shared" si="18"/>
        <v/>
      </c>
      <c r="H216" s="559" t="str">
        <f t="shared" si="19"/>
        <v/>
      </c>
      <c r="I216" s="559" t="str">
        <f t="shared" si="20"/>
        <v/>
      </c>
    </row>
    <row r="217" spans="2:9">
      <c r="B217" s="555" t="str">
        <f t="shared" si="15"/>
        <v/>
      </c>
      <c r="C217" s="556" t="str">
        <f t="shared" si="16"/>
        <v/>
      </c>
      <c r="D217" s="557" t="str">
        <f t="shared" si="17"/>
        <v/>
      </c>
      <c r="E217" s="560"/>
      <c r="F217" s="559"/>
      <c r="G217" s="559" t="str">
        <f t="shared" si="18"/>
        <v/>
      </c>
      <c r="H217" s="559" t="str">
        <f t="shared" si="19"/>
        <v/>
      </c>
      <c r="I217" s="559" t="str">
        <f t="shared" si="20"/>
        <v/>
      </c>
    </row>
    <row r="218" spans="2:9">
      <c r="B218" s="555" t="str">
        <f t="shared" si="15"/>
        <v/>
      </c>
      <c r="C218" s="556" t="str">
        <f t="shared" si="16"/>
        <v/>
      </c>
      <c r="D218" s="557" t="str">
        <f t="shared" si="17"/>
        <v/>
      </c>
      <c r="E218" s="560"/>
      <c r="F218" s="559"/>
      <c r="G218" s="559" t="str">
        <f t="shared" si="18"/>
        <v/>
      </c>
      <c r="H218" s="559" t="str">
        <f t="shared" si="19"/>
        <v/>
      </c>
      <c r="I218" s="559" t="str">
        <f t="shared" si="20"/>
        <v/>
      </c>
    </row>
    <row r="219" spans="2:9">
      <c r="B219" s="555" t="str">
        <f t="shared" si="15"/>
        <v/>
      </c>
      <c r="C219" s="556" t="str">
        <f t="shared" si="16"/>
        <v/>
      </c>
      <c r="D219" s="557" t="str">
        <f t="shared" si="17"/>
        <v/>
      </c>
      <c r="E219" s="560"/>
      <c r="F219" s="559"/>
      <c r="G219" s="559" t="str">
        <f t="shared" si="18"/>
        <v/>
      </c>
      <c r="H219" s="559" t="str">
        <f t="shared" si="19"/>
        <v/>
      </c>
      <c r="I219" s="559" t="str">
        <f t="shared" si="20"/>
        <v/>
      </c>
    </row>
    <row r="220" spans="2:9">
      <c r="B220" s="555" t="str">
        <f t="shared" si="15"/>
        <v/>
      </c>
      <c r="C220" s="556" t="str">
        <f t="shared" si="16"/>
        <v/>
      </c>
      <c r="D220" s="557" t="str">
        <f t="shared" si="17"/>
        <v/>
      </c>
      <c r="E220" s="560"/>
      <c r="F220" s="559"/>
      <c r="G220" s="559" t="str">
        <f t="shared" si="18"/>
        <v/>
      </c>
      <c r="H220" s="559" t="str">
        <f t="shared" si="19"/>
        <v/>
      </c>
      <c r="I220" s="559" t="str">
        <f t="shared" si="20"/>
        <v/>
      </c>
    </row>
    <row r="221" spans="2:9">
      <c r="B221" s="555" t="str">
        <f t="shared" si="15"/>
        <v/>
      </c>
      <c r="C221" s="556" t="str">
        <f t="shared" si="16"/>
        <v/>
      </c>
      <c r="D221" s="557" t="str">
        <f t="shared" si="17"/>
        <v/>
      </c>
      <c r="E221" s="560"/>
      <c r="F221" s="559"/>
      <c r="G221" s="559" t="str">
        <f t="shared" si="18"/>
        <v/>
      </c>
      <c r="H221" s="559" t="str">
        <f t="shared" si="19"/>
        <v/>
      </c>
      <c r="I221" s="559" t="str">
        <f t="shared" si="20"/>
        <v/>
      </c>
    </row>
    <row r="222" spans="2:9">
      <c r="B222" s="555" t="str">
        <f t="shared" si="15"/>
        <v/>
      </c>
      <c r="C222" s="556" t="str">
        <f t="shared" si="16"/>
        <v/>
      </c>
      <c r="D222" s="557" t="str">
        <f t="shared" si="17"/>
        <v/>
      </c>
      <c r="E222" s="560"/>
      <c r="F222" s="559"/>
      <c r="G222" s="559" t="str">
        <f t="shared" si="18"/>
        <v/>
      </c>
      <c r="H222" s="559" t="str">
        <f t="shared" si="19"/>
        <v/>
      </c>
      <c r="I222" s="559" t="str">
        <f t="shared" si="20"/>
        <v/>
      </c>
    </row>
    <row r="223" spans="2:9">
      <c r="B223" s="555" t="str">
        <f t="shared" si="15"/>
        <v/>
      </c>
      <c r="C223" s="556" t="str">
        <f t="shared" si="16"/>
        <v/>
      </c>
      <c r="D223" s="557" t="str">
        <f t="shared" si="17"/>
        <v/>
      </c>
      <c r="E223" s="560"/>
      <c r="F223" s="559"/>
      <c r="G223" s="559" t="str">
        <f t="shared" si="18"/>
        <v/>
      </c>
      <c r="H223" s="559" t="str">
        <f t="shared" si="19"/>
        <v/>
      </c>
      <c r="I223" s="559" t="str">
        <f t="shared" si="20"/>
        <v/>
      </c>
    </row>
    <row r="224" spans="2:9">
      <c r="B224" s="555" t="str">
        <f t="shared" si="15"/>
        <v/>
      </c>
      <c r="C224" s="556" t="str">
        <f t="shared" si="16"/>
        <v/>
      </c>
      <c r="D224" s="557" t="str">
        <f t="shared" si="17"/>
        <v/>
      </c>
      <c r="E224" s="560"/>
      <c r="F224" s="559"/>
      <c r="G224" s="559" t="str">
        <f t="shared" si="18"/>
        <v/>
      </c>
      <c r="H224" s="559" t="str">
        <f t="shared" si="19"/>
        <v/>
      </c>
      <c r="I224" s="559" t="str">
        <f t="shared" si="20"/>
        <v/>
      </c>
    </row>
    <row r="225" spans="2:9">
      <c r="B225" s="555" t="str">
        <f t="shared" si="15"/>
        <v/>
      </c>
      <c r="C225" s="556" t="str">
        <f t="shared" si="16"/>
        <v/>
      </c>
      <c r="D225" s="557" t="str">
        <f t="shared" si="17"/>
        <v/>
      </c>
      <c r="E225" s="560"/>
      <c r="F225" s="559"/>
      <c r="G225" s="559" t="str">
        <f t="shared" si="18"/>
        <v/>
      </c>
      <c r="H225" s="559" t="str">
        <f t="shared" si="19"/>
        <v/>
      </c>
      <c r="I225" s="559" t="str">
        <f t="shared" si="20"/>
        <v/>
      </c>
    </row>
    <row r="226" spans="2:9">
      <c r="B226" s="555" t="str">
        <f t="shared" si="15"/>
        <v/>
      </c>
      <c r="C226" s="556" t="str">
        <f t="shared" si="16"/>
        <v/>
      </c>
      <c r="D226" s="557" t="str">
        <f t="shared" si="17"/>
        <v/>
      </c>
      <c r="E226" s="560"/>
      <c r="F226" s="559"/>
      <c r="G226" s="559" t="str">
        <f t="shared" si="18"/>
        <v/>
      </c>
      <c r="H226" s="559" t="str">
        <f t="shared" si="19"/>
        <v/>
      </c>
      <c r="I226" s="559" t="str">
        <f t="shared" si="20"/>
        <v/>
      </c>
    </row>
    <row r="227" spans="2:9">
      <c r="B227" s="555" t="str">
        <f t="shared" si="15"/>
        <v/>
      </c>
      <c r="C227" s="556" t="str">
        <f t="shared" si="16"/>
        <v/>
      </c>
      <c r="D227" s="557" t="str">
        <f t="shared" si="17"/>
        <v/>
      </c>
      <c r="E227" s="560"/>
      <c r="F227" s="559"/>
      <c r="G227" s="559" t="str">
        <f t="shared" si="18"/>
        <v/>
      </c>
      <c r="H227" s="559" t="str">
        <f t="shared" si="19"/>
        <v/>
      </c>
      <c r="I227" s="559" t="str">
        <f t="shared" si="20"/>
        <v/>
      </c>
    </row>
    <row r="228" spans="2:9">
      <c r="B228" s="555" t="str">
        <f t="shared" si="15"/>
        <v/>
      </c>
      <c r="C228" s="556" t="str">
        <f t="shared" si="16"/>
        <v/>
      </c>
      <c r="D228" s="557" t="str">
        <f t="shared" si="17"/>
        <v/>
      </c>
      <c r="E228" s="560"/>
      <c r="F228" s="559"/>
      <c r="G228" s="559" t="str">
        <f t="shared" si="18"/>
        <v/>
      </c>
      <c r="H228" s="559" t="str">
        <f t="shared" si="19"/>
        <v/>
      </c>
      <c r="I228" s="559" t="str">
        <f t="shared" si="20"/>
        <v/>
      </c>
    </row>
    <row r="229" spans="2:9">
      <c r="B229" s="555" t="str">
        <f t="shared" si="15"/>
        <v/>
      </c>
      <c r="C229" s="556" t="str">
        <f t="shared" si="16"/>
        <v/>
      </c>
      <c r="D229" s="557" t="str">
        <f t="shared" si="17"/>
        <v/>
      </c>
      <c r="E229" s="560"/>
      <c r="F229" s="559"/>
      <c r="G229" s="559" t="str">
        <f t="shared" si="18"/>
        <v/>
      </c>
      <c r="H229" s="559" t="str">
        <f t="shared" si="19"/>
        <v/>
      </c>
      <c r="I229" s="559" t="str">
        <f t="shared" si="20"/>
        <v/>
      </c>
    </row>
    <row r="230" spans="2:9">
      <c r="B230" s="555" t="str">
        <f t="shared" si="15"/>
        <v/>
      </c>
      <c r="C230" s="556" t="str">
        <f t="shared" si="16"/>
        <v/>
      </c>
      <c r="D230" s="557" t="str">
        <f t="shared" si="17"/>
        <v/>
      </c>
      <c r="E230" s="560"/>
      <c r="F230" s="559"/>
      <c r="G230" s="559" t="str">
        <f t="shared" si="18"/>
        <v/>
      </c>
      <c r="H230" s="559" t="str">
        <f t="shared" si="19"/>
        <v/>
      </c>
      <c r="I230" s="559" t="str">
        <f t="shared" si="20"/>
        <v/>
      </c>
    </row>
    <row r="231" spans="2:9">
      <c r="B231" s="555" t="str">
        <f t="shared" si="15"/>
        <v/>
      </c>
      <c r="C231" s="556" t="str">
        <f t="shared" si="16"/>
        <v/>
      </c>
      <c r="D231" s="557" t="str">
        <f t="shared" si="17"/>
        <v/>
      </c>
      <c r="E231" s="560"/>
      <c r="F231" s="559"/>
      <c r="G231" s="559" t="str">
        <f t="shared" si="18"/>
        <v/>
      </c>
      <c r="H231" s="559" t="str">
        <f t="shared" si="19"/>
        <v/>
      </c>
      <c r="I231" s="559" t="str">
        <f t="shared" si="20"/>
        <v/>
      </c>
    </row>
    <row r="232" spans="2:9">
      <c r="B232" s="555" t="str">
        <f t="shared" si="15"/>
        <v/>
      </c>
      <c r="C232" s="556" t="str">
        <f t="shared" si="16"/>
        <v/>
      </c>
      <c r="D232" s="557" t="str">
        <f t="shared" si="17"/>
        <v/>
      </c>
      <c r="E232" s="560"/>
      <c r="F232" s="559"/>
      <c r="G232" s="559" t="str">
        <f t="shared" si="18"/>
        <v/>
      </c>
      <c r="H232" s="559" t="str">
        <f t="shared" si="19"/>
        <v/>
      </c>
      <c r="I232" s="559" t="str">
        <f t="shared" si="20"/>
        <v/>
      </c>
    </row>
    <row r="233" spans="2:9">
      <c r="B233" s="555" t="str">
        <f t="shared" si="15"/>
        <v/>
      </c>
      <c r="C233" s="556" t="str">
        <f t="shared" si="16"/>
        <v/>
      </c>
      <c r="D233" s="557" t="str">
        <f t="shared" si="17"/>
        <v/>
      </c>
      <c r="E233" s="560"/>
      <c r="F233" s="559"/>
      <c r="G233" s="559" t="str">
        <f t="shared" si="18"/>
        <v/>
      </c>
      <c r="H233" s="559" t="str">
        <f t="shared" si="19"/>
        <v/>
      </c>
      <c r="I233" s="559" t="str">
        <f t="shared" si="20"/>
        <v/>
      </c>
    </row>
    <row r="234" spans="2:9">
      <c r="B234" s="555" t="str">
        <f t="shared" si="15"/>
        <v/>
      </c>
      <c r="C234" s="556" t="str">
        <f t="shared" si="16"/>
        <v/>
      </c>
      <c r="D234" s="557" t="str">
        <f t="shared" si="17"/>
        <v/>
      </c>
      <c r="E234" s="560"/>
      <c r="F234" s="559"/>
      <c r="G234" s="559" t="str">
        <f t="shared" si="18"/>
        <v/>
      </c>
      <c r="H234" s="559" t="str">
        <f t="shared" si="19"/>
        <v/>
      </c>
      <c r="I234" s="559" t="str">
        <f t="shared" si="20"/>
        <v/>
      </c>
    </row>
    <row r="235" spans="2:9">
      <c r="B235" s="555" t="str">
        <f t="shared" si="15"/>
        <v/>
      </c>
      <c r="C235" s="556" t="str">
        <f t="shared" si="16"/>
        <v/>
      </c>
      <c r="D235" s="557" t="str">
        <f t="shared" si="17"/>
        <v/>
      </c>
      <c r="E235" s="560"/>
      <c r="F235" s="559"/>
      <c r="G235" s="559" t="str">
        <f t="shared" si="18"/>
        <v/>
      </c>
      <c r="H235" s="559" t="str">
        <f t="shared" si="19"/>
        <v/>
      </c>
      <c r="I235" s="559" t="str">
        <f t="shared" si="20"/>
        <v/>
      </c>
    </row>
    <row r="236" spans="2:9">
      <c r="B236" s="555" t="str">
        <f t="shared" si="15"/>
        <v/>
      </c>
      <c r="C236" s="556" t="str">
        <f t="shared" si="16"/>
        <v/>
      </c>
      <c r="D236" s="557" t="str">
        <f t="shared" si="17"/>
        <v/>
      </c>
      <c r="E236" s="560"/>
      <c r="F236" s="559"/>
      <c r="G236" s="559" t="str">
        <f t="shared" si="18"/>
        <v/>
      </c>
      <c r="H236" s="559" t="str">
        <f t="shared" si="19"/>
        <v/>
      </c>
      <c r="I236" s="559" t="str">
        <f t="shared" si="20"/>
        <v/>
      </c>
    </row>
    <row r="237" spans="2:9">
      <c r="B237" s="555" t="str">
        <f t="shared" si="15"/>
        <v/>
      </c>
      <c r="C237" s="556" t="str">
        <f t="shared" si="16"/>
        <v/>
      </c>
      <c r="D237" s="557" t="str">
        <f t="shared" si="17"/>
        <v/>
      </c>
      <c r="E237" s="560"/>
      <c r="F237" s="559"/>
      <c r="G237" s="559" t="str">
        <f t="shared" si="18"/>
        <v/>
      </c>
      <c r="H237" s="559" t="str">
        <f t="shared" si="19"/>
        <v/>
      </c>
      <c r="I237" s="559" t="str">
        <f t="shared" si="20"/>
        <v/>
      </c>
    </row>
    <row r="238" spans="2:9">
      <c r="B238" s="555" t="str">
        <f t="shared" si="15"/>
        <v/>
      </c>
      <c r="C238" s="556" t="str">
        <f t="shared" si="16"/>
        <v/>
      </c>
      <c r="D238" s="557" t="str">
        <f t="shared" si="17"/>
        <v/>
      </c>
      <c r="E238" s="560"/>
      <c r="F238" s="559"/>
      <c r="G238" s="559" t="str">
        <f t="shared" si="18"/>
        <v/>
      </c>
      <c r="H238" s="559" t="str">
        <f t="shared" si="19"/>
        <v/>
      </c>
      <c r="I238" s="559" t="str">
        <f t="shared" si="20"/>
        <v/>
      </c>
    </row>
    <row r="239" spans="2:9">
      <c r="B239" s="555" t="str">
        <f t="shared" si="15"/>
        <v/>
      </c>
      <c r="C239" s="556" t="str">
        <f t="shared" si="16"/>
        <v/>
      </c>
      <c r="D239" s="557" t="str">
        <f t="shared" si="17"/>
        <v/>
      </c>
      <c r="E239" s="560"/>
      <c r="F239" s="559"/>
      <c r="G239" s="559" t="str">
        <f t="shared" si="18"/>
        <v/>
      </c>
      <c r="H239" s="559" t="str">
        <f t="shared" si="19"/>
        <v/>
      </c>
      <c r="I239" s="559" t="str">
        <f t="shared" si="20"/>
        <v/>
      </c>
    </row>
    <row r="240" spans="2:9">
      <c r="B240" s="555" t="str">
        <f t="shared" si="15"/>
        <v/>
      </c>
      <c r="C240" s="556" t="str">
        <f t="shared" si="16"/>
        <v/>
      </c>
      <c r="D240" s="557" t="str">
        <f t="shared" si="17"/>
        <v/>
      </c>
      <c r="E240" s="560"/>
      <c r="F240" s="559"/>
      <c r="G240" s="559" t="str">
        <f t="shared" si="18"/>
        <v/>
      </c>
      <c r="H240" s="559" t="str">
        <f t="shared" si="19"/>
        <v/>
      </c>
      <c r="I240" s="559" t="str">
        <f t="shared" si="20"/>
        <v/>
      </c>
    </row>
    <row r="241" spans="2:9">
      <c r="B241" s="555" t="str">
        <f t="shared" si="15"/>
        <v/>
      </c>
      <c r="C241" s="556" t="str">
        <f t="shared" si="16"/>
        <v/>
      </c>
      <c r="D241" s="557" t="str">
        <f t="shared" si="17"/>
        <v/>
      </c>
      <c r="E241" s="560"/>
      <c r="F241" s="559"/>
      <c r="G241" s="559" t="str">
        <f t="shared" si="18"/>
        <v/>
      </c>
      <c r="H241" s="559" t="str">
        <f t="shared" si="19"/>
        <v/>
      </c>
      <c r="I241" s="559" t="str">
        <f t="shared" si="20"/>
        <v/>
      </c>
    </row>
    <row r="242" spans="2:9">
      <c r="B242" s="555" t="str">
        <f t="shared" si="15"/>
        <v/>
      </c>
      <c r="C242" s="556" t="str">
        <f t="shared" si="16"/>
        <v/>
      </c>
      <c r="D242" s="557" t="str">
        <f t="shared" si="17"/>
        <v/>
      </c>
      <c r="E242" s="560"/>
      <c r="F242" s="559"/>
      <c r="G242" s="559" t="str">
        <f t="shared" si="18"/>
        <v/>
      </c>
      <c r="H242" s="559" t="str">
        <f t="shared" si="19"/>
        <v/>
      </c>
      <c r="I242" s="559" t="str">
        <f t="shared" si="20"/>
        <v/>
      </c>
    </row>
    <row r="243" spans="2:9">
      <c r="B243" s="555" t="str">
        <f t="shared" si="15"/>
        <v/>
      </c>
      <c r="C243" s="556" t="str">
        <f t="shared" si="16"/>
        <v/>
      </c>
      <c r="D243" s="557" t="str">
        <f t="shared" si="17"/>
        <v/>
      </c>
      <c r="E243" s="560"/>
      <c r="F243" s="559"/>
      <c r="G243" s="559" t="str">
        <f t="shared" si="18"/>
        <v/>
      </c>
      <c r="H243" s="559" t="str">
        <f t="shared" si="19"/>
        <v/>
      </c>
      <c r="I243" s="559" t="str">
        <f t="shared" si="20"/>
        <v/>
      </c>
    </row>
    <row r="244" spans="2:9">
      <c r="B244" s="555" t="str">
        <f t="shared" si="15"/>
        <v/>
      </c>
      <c r="C244" s="556" t="str">
        <f t="shared" si="16"/>
        <v/>
      </c>
      <c r="D244" s="557" t="str">
        <f t="shared" si="17"/>
        <v/>
      </c>
      <c r="E244" s="560"/>
      <c r="F244" s="559"/>
      <c r="G244" s="559" t="str">
        <f t="shared" si="18"/>
        <v/>
      </c>
      <c r="H244" s="559" t="str">
        <f t="shared" si="19"/>
        <v/>
      </c>
      <c r="I244" s="559" t="str">
        <f t="shared" si="20"/>
        <v/>
      </c>
    </row>
    <row r="245" spans="2:9">
      <c r="B245" s="555" t="str">
        <f t="shared" si="15"/>
        <v/>
      </c>
      <c r="C245" s="556" t="str">
        <f t="shared" si="16"/>
        <v/>
      </c>
      <c r="D245" s="557" t="str">
        <f t="shared" si="17"/>
        <v/>
      </c>
      <c r="E245" s="560"/>
      <c r="F245" s="559"/>
      <c r="G245" s="559" t="str">
        <f t="shared" si="18"/>
        <v/>
      </c>
      <c r="H245" s="559" t="str">
        <f t="shared" si="19"/>
        <v/>
      </c>
      <c r="I245" s="559" t="str">
        <f t="shared" si="20"/>
        <v/>
      </c>
    </row>
    <row r="246" spans="2:9">
      <c r="B246" s="555" t="str">
        <f t="shared" si="15"/>
        <v/>
      </c>
      <c r="C246" s="556" t="str">
        <f t="shared" si="16"/>
        <v/>
      </c>
      <c r="D246" s="557" t="str">
        <f t="shared" si="17"/>
        <v/>
      </c>
      <c r="E246" s="560"/>
      <c r="F246" s="559"/>
      <c r="G246" s="559" t="str">
        <f t="shared" si="18"/>
        <v/>
      </c>
      <c r="H246" s="559" t="str">
        <f t="shared" si="19"/>
        <v/>
      </c>
      <c r="I246" s="559" t="str">
        <f t="shared" si="20"/>
        <v/>
      </c>
    </row>
    <row r="247" spans="2:9">
      <c r="B247" s="555" t="str">
        <f t="shared" si="15"/>
        <v/>
      </c>
      <c r="C247" s="556" t="str">
        <f t="shared" si="16"/>
        <v/>
      </c>
      <c r="D247" s="557" t="str">
        <f t="shared" si="17"/>
        <v/>
      </c>
      <c r="E247" s="560"/>
      <c r="F247" s="559"/>
      <c r="G247" s="559" t="str">
        <f t="shared" si="18"/>
        <v/>
      </c>
      <c r="H247" s="559" t="str">
        <f t="shared" si="19"/>
        <v/>
      </c>
      <c r="I247" s="559" t="str">
        <f t="shared" si="20"/>
        <v/>
      </c>
    </row>
    <row r="248" spans="2:9">
      <c r="B248" s="555" t="str">
        <f t="shared" si="15"/>
        <v/>
      </c>
      <c r="C248" s="556" t="str">
        <f t="shared" si="16"/>
        <v/>
      </c>
      <c r="D248" s="557" t="str">
        <f t="shared" si="17"/>
        <v/>
      </c>
      <c r="E248" s="560"/>
      <c r="F248" s="559"/>
      <c r="G248" s="559" t="str">
        <f t="shared" si="18"/>
        <v/>
      </c>
      <c r="H248" s="559" t="str">
        <f t="shared" si="19"/>
        <v/>
      </c>
      <c r="I248" s="559" t="str">
        <f t="shared" si="20"/>
        <v/>
      </c>
    </row>
    <row r="249" spans="2:9">
      <c r="B249" s="555" t="str">
        <f t="shared" si="15"/>
        <v/>
      </c>
      <c r="C249" s="556" t="str">
        <f t="shared" si="16"/>
        <v/>
      </c>
      <c r="D249" s="557" t="str">
        <f t="shared" si="17"/>
        <v/>
      </c>
      <c r="E249" s="560"/>
      <c r="F249" s="559"/>
      <c r="G249" s="559" t="str">
        <f t="shared" si="18"/>
        <v/>
      </c>
      <c r="H249" s="559" t="str">
        <f t="shared" si="19"/>
        <v/>
      </c>
      <c r="I249" s="559" t="str">
        <f t="shared" si="20"/>
        <v/>
      </c>
    </row>
    <row r="250" spans="2:9">
      <c r="B250" s="555" t="str">
        <f t="shared" si="15"/>
        <v/>
      </c>
      <c r="C250" s="556" t="str">
        <f t="shared" si="16"/>
        <v/>
      </c>
      <c r="D250" s="557" t="str">
        <f t="shared" si="17"/>
        <v/>
      </c>
      <c r="E250" s="560"/>
      <c r="F250" s="559"/>
      <c r="G250" s="559" t="str">
        <f t="shared" si="18"/>
        <v/>
      </c>
      <c r="H250" s="559" t="str">
        <f t="shared" si="19"/>
        <v/>
      </c>
      <c r="I250" s="559" t="str">
        <f t="shared" si="20"/>
        <v/>
      </c>
    </row>
    <row r="251" spans="2:9">
      <c r="B251" s="555" t="str">
        <f t="shared" si="15"/>
        <v/>
      </c>
      <c r="C251" s="556" t="str">
        <f t="shared" si="16"/>
        <v/>
      </c>
      <c r="D251" s="557" t="str">
        <f t="shared" si="17"/>
        <v/>
      </c>
      <c r="E251" s="560"/>
      <c r="F251" s="559"/>
      <c r="G251" s="559" t="str">
        <f t="shared" si="18"/>
        <v/>
      </c>
      <c r="H251" s="559" t="str">
        <f t="shared" si="19"/>
        <v/>
      </c>
      <c r="I251" s="559" t="str">
        <f t="shared" si="20"/>
        <v/>
      </c>
    </row>
    <row r="252" spans="2:9">
      <c r="B252" s="555" t="str">
        <f t="shared" si="15"/>
        <v/>
      </c>
      <c r="C252" s="556" t="str">
        <f t="shared" si="16"/>
        <v/>
      </c>
      <c r="D252" s="557" t="str">
        <f t="shared" si="17"/>
        <v/>
      </c>
      <c r="E252" s="560"/>
      <c r="F252" s="559"/>
      <c r="G252" s="559" t="str">
        <f t="shared" si="18"/>
        <v/>
      </c>
      <c r="H252" s="559" t="str">
        <f t="shared" si="19"/>
        <v/>
      </c>
      <c r="I252" s="559" t="str">
        <f t="shared" si="20"/>
        <v/>
      </c>
    </row>
    <row r="253" spans="2:9">
      <c r="B253" s="555" t="str">
        <f t="shared" ref="B253:B316" si="21">IF(I252="","",IF(roundOpt,IF(OR(B252&gt;=nper,ROUND(I252,2)&lt;=0),"",B252+1),IF(OR(B252&gt;=nper,I252&lt;=0),"",B252+1)))</f>
        <v/>
      </c>
      <c r="C253" s="556" t="str">
        <f t="shared" ref="C253:C316" si="22">IF(B253="","",IF(OR(periods_per_year=26,periods_per_year=52),IF(periods_per_year=26,IF(B253=1,fpdate,C252+14),IF(periods_per_year=52,IF(B253=1,fpdate,C252+7),"n/a")),IF(periods_per_year=24,DATE(YEAR(fpdate),MONTH(fpdate)+(B253-1)/2+IF(AND(DAY(fpdate)&gt;=15,MOD(B253,2)=0),1,0),IF(MOD(B253,2)=0,IF(DAY(fpdate)&gt;=15,DAY(fpdate)-14,DAY(fpdate)+14),DAY(fpdate))),IF(DAY(DATE(YEAR(fpdate),MONTH(fpdate)+(B253-1)*months_per_period,DAY(fpdate)))&lt;&gt;DAY(fpdate),DATE(YEAR(fpdate),MONTH(fpdate)+(B253-1)*months_per_period+1,0),DATE(YEAR(fpdate),MONTH(fpdate)+(B253-1)*months_per_period,DAY(fpdate))))))</f>
        <v/>
      </c>
      <c r="D253" s="557" t="str">
        <f t="shared" ref="D253:D316" si="23">IF(B253="","",IF(roundOpt,IF(OR(B253=nper,payment&gt;ROUND((1+rate)*I252,2)),ROUND((1+rate)*I252,2),payment),IF(OR(B253=nper,payment&gt;(1+rate)*I252),(1+rate)*I252,payment)))</f>
        <v/>
      </c>
      <c r="E253" s="560"/>
      <c r="F253" s="559"/>
      <c r="G253" s="559" t="str">
        <f t="shared" ref="G253:G316" si="24">IF(B253="","",IF(AND(B253=1,pmtType=1),0,IF(roundOpt,ROUND(rate*I252,2),rate*I252)))</f>
        <v/>
      </c>
      <c r="H253" s="559" t="str">
        <f t="shared" ref="H253:H316" si="25">IF(B253="","",D253-G253+E253)</f>
        <v/>
      </c>
      <c r="I253" s="559" t="str">
        <f t="shared" ref="I253:I316" si="26">IF(B253="","",I252-H253)</f>
        <v/>
      </c>
    </row>
    <row r="254" spans="2:9">
      <c r="B254" s="555" t="str">
        <f t="shared" si="21"/>
        <v/>
      </c>
      <c r="C254" s="556" t="str">
        <f t="shared" si="22"/>
        <v/>
      </c>
      <c r="D254" s="557" t="str">
        <f t="shared" si="23"/>
        <v/>
      </c>
      <c r="E254" s="560"/>
      <c r="F254" s="559"/>
      <c r="G254" s="559" t="str">
        <f t="shared" si="24"/>
        <v/>
      </c>
      <c r="H254" s="559" t="str">
        <f t="shared" si="25"/>
        <v/>
      </c>
      <c r="I254" s="559" t="str">
        <f t="shared" si="26"/>
        <v/>
      </c>
    </row>
    <row r="255" spans="2:9">
      <c r="B255" s="555" t="str">
        <f t="shared" si="21"/>
        <v/>
      </c>
      <c r="C255" s="556" t="str">
        <f t="shared" si="22"/>
        <v/>
      </c>
      <c r="D255" s="557" t="str">
        <f t="shared" si="23"/>
        <v/>
      </c>
      <c r="E255" s="560"/>
      <c r="F255" s="559"/>
      <c r="G255" s="559" t="str">
        <f t="shared" si="24"/>
        <v/>
      </c>
      <c r="H255" s="559" t="str">
        <f t="shared" si="25"/>
        <v/>
      </c>
      <c r="I255" s="559" t="str">
        <f t="shared" si="26"/>
        <v/>
      </c>
    </row>
    <row r="256" spans="2:9">
      <c r="B256" s="555" t="str">
        <f t="shared" si="21"/>
        <v/>
      </c>
      <c r="C256" s="556" t="str">
        <f t="shared" si="22"/>
        <v/>
      </c>
      <c r="D256" s="557" t="str">
        <f t="shared" si="23"/>
        <v/>
      </c>
      <c r="E256" s="560"/>
      <c r="F256" s="559"/>
      <c r="G256" s="559" t="str">
        <f t="shared" si="24"/>
        <v/>
      </c>
      <c r="H256" s="559" t="str">
        <f t="shared" si="25"/>
        <v/>
      </c>
      <c r="I256" s="559" t="str">
        <f t="shared" si="26"/>
        <v/>
      </c>
    </row>
    <row r="257" spans="2:9">
      <c r="B257" s="555" t="str">
        <f t="shared" si="21"/>
        <v/>
      </c>
      <c r="C257" s="556" t="str">
        <f t="shared" si="22"/>
        <v/>
      </c>
      <c r="D257" s="557" t="str">
        <f t="shared" si="23"/>
        <v/>
      </c>
      <c r="E257" s="560"/>
      <c r="F257" s="559"/>
      <c r="G257" s="559" t="str">
        <f t="shared" si="24"/>
        <v/>
      </c>
      <c r="H257" s="559" t="str">
        <f t="shared" si="25"/>
        <v/>
      </c>
      <c r="I257" s="559" t="str">
        <f t="shared" si="26"/>
        <v/>
      </c>
    </row>
    <row r="258" spans="2:9">
      <c r="B258" s="555" t="str">
        <f t="shared" si="21"/>
        <v/>
      </c>
      <c r="C258" s="556" t="str">
        <f t="shared" si="22"/>
        <v/>
      </c>
      <c r="D258" s="557" t="str">
        <f t="shared" si="23"/>
        <v/>
      </c>
      <c r="E258" s="560"/>
      <c r="F258" s="559"/>
      <c r="G258" s="559" t="str">
        <f t="shared" si="24"/>
        <v/>
      </c>
      <c r="H258" s="559" t="str">
        <f t="shared" si="25"/>
        <v/>
      </c>
      <c r="I258" s="559" t="str">
        <f t="shared" si="26"/>
        <v/>
      </c>
    </row>
    <row r="259" spans="2:9">
      <c r="B259" s="555" t="str">
        <f t="shared" si="21"/>
        <v/>
      </c>
      <c r="C259" s="556" t="str">
        <f t="shared" si="22"/>
        <v/>
      </c>
      <c r="D259" s="557" t="str">
        <f t="shared" si="23"/>
        <v/>
      </c>
      <c r="E259" s="560"/>
      <c r="F259" s="559"/>
      <c r="G259" s="559" t="str">
        <f t="shared" si="24"/>
        <v/>
      </c>
      <c r="H259" s="559" t="str">
        <f t="shared" si="25"/>
        <v/>
      </c>
      <c r="I259" s="559" t="str">
        <f t="shared" si="26"/>
        <v/>
      </c>
    </row>
    <row r="260" spans="2:9">
      <c r="B260" s="555" t="str">
        <f t="shared" si="21"/>
        <v/>
      </c>
      <c r="C260" s="556" t="str">
        <f t="shared" si="22"/>
        <v/>
      </c>
      <c r="D260" s="557" t="str">
        <f t="shared" si="23"/>
        <v/>
      </c>
      <c r="E260" s="560"/>
      <c r="F260" s="559"/>
      <c r="G260" s="559" t="str">
        <f t="shared" si="24"/>
        <v/>
      </c>
      <c r="H260" s="559" t="str">
        <f t="shared" si="25"/>
        <v/>
      </c>
      <c r="I260" s="559" t="str">
        <f t="shared" si="26"/>
        <v/>
      </c>
    </row>
    <row r="261" spans="2:9">
      <c r="B261" s="555" t="str">
        <f t="shared" si="21"/>
        <v/>
      </c>
      <c r="C261" s="556" t="str">
        <f t="shared" si="22"/>
        <v/>
      </c>
      <c r="D261" s="557" t="str">
        <f t="shared" si="23"/>
        <v/>
      </c>
      <c r="E261" s="560"/>
      <c r="F261" s="559"/>
      <c r="G261" s="559" t="str">
        <f t="shared" si="24"/>
        <v/>
      </c>
      <c r="H261" s="559" t="str">
        <f t="shared" si="25"/>
        <v/>
      </c>
      <c r="I261" s="559" t="str">
        <f t="shared" si="26"/>
        <v/>
      </c>
    </row>
    <row r="262" spans="2:9">
      <c r="B262" s="555" t="str">
        <f t="shared" si="21"/>
        <v/>
      </c>
      <c r="C262" s="556" t="str">
        <f t="shared" si="22"/>
        <v/>
      </c>
      <c r="D262" s="557" t="str">
        <f t="shared" si="23"/>
        <v/>
      </c>
      <c r="E262" s="560"/>
      <c r="F262" s="559"/>
      <c r="G262" s="559" t="str">
        <f t="shared" si="24"/>
        <v/>
      </c>
      <c r="H262" s="559" t="str">
        <f t="shared" si="25"/>
        <v/>
      </c>
      <c r="I262" s="559" t="str">
        <f t="shared" si="26"/>
        <v/>
      </c>
    </row>
    <row r="263" spans="2:9">
      <c r="B263" s="555" t="str">
        <f t="shared" si="21"/>
        <v/>
      </c>
      <c r="C263" s="556" t="str">
        <f t="shared" si="22"/>
        <v/>
      </c>
      <c r="D263" s="557" t="str">
        <f t="shared" si="23"/>
        <v/>
      </c>
      <c r="E263" s="560"/>
      <c r="F263" s="559"/>
      <c r="G263" s="559" t="str">
        <f t="shared" si="24"/>
        <v/>
      </c>
      <c r="H263" s="559" t="str">
        <f t="shared" si="25"/>
        <v/>
      </c>
      <c r="I263" s="559" t="str">
        <f t="shared" si="26"/>
        <v/>
      </c>
    </row>
    <row r="264" spans="2:9">
      <c r="B264" s="555" t="str">
        <f t="shared" si="21"/>
        <v/>
      </c>
      <c r="C264" s="556" t="str">
        <f t="shared" si="22"/>
        <v/>
      </c>
      <c r="D264" s="557" t="str">
        <f t="shared" si="23"/>
        <v/>
      </c>
      <c r="E264" s="560"/>
      <c r="F264" s="559"/>
      <c r="G264" s="559" t="str">
        <f t="shared" si="24"/>
        <v/>
      </c>
      <c r="H264" s="559" t="str">
        <f t="shared" si="25"/>
        <v/>
      </c>
      <c r="I264" s="559" t="str">
        <f t="shared" si="26"/>
        <v/>
      </c>
    </row>
    <row r="265" spans="2:9">
      <c r="B265" s="555" t="str">
        <f t="shared" si="21"/>
        <v/>
      </c>
      <c r="C265" s="556" t="str">
        <f t="shared" si="22"/>
        <v/>
      </c>
      <c r="D265" s="557" t="str">
        <f t="shared" si="23"/>
        <v/>
      </c>
      <c r="E265" s="560"/>
      <c r="F265" s="559"/>
      <c r="G265" s="559" t="str">
        <f t="shared" si="24"/>
        <v/>
      </c>
      <c r="H265" s="559" t="str">
        <f t="shared" si="25"/>
        <v/>
      </c>
      <c r="I265" s="559" t="str">
        <f t="shared" si="26"/>
        <v/>
      </c>
    </row>
    <row r="266" spans="2:9">
      <c r="B266" s="555" t="str">
        <f t="shared" si="21"/>
        <v/>
      </c>
      <c r="C266" s="556" t="str">
        <f t="shared" si="22"/>
        <v/>
      </c>
      <c r="D266" s="557" t="str">
        <f t="shared" si="23"/>
        <v/>
      </c>
      <c r="E266" s="560"/>
      <c r="F266" s="559"/>
      <c r="G266" s="559" t="str">
        <f t="shared" si="24"/>
        <v/>
      </c>
      <c r="H266" s="559" t="str">
        <f t="shared" si="25"/>
        <v/>
      </c>
      <c r="I266" s="559" t="str">
        <f t="shared" si="26"/>
        <v/>
      </c>
    </row>
    <row r="267" spans="2:9">
      <c r="B267" s="555" t="str">
        <f t="shared" si="21"/>
        <v/>
      </c>
      <c r="C267" s="556" t="str">
        <f t="shared" si="22"/>
        <v/>
      </c>
      <c r="D267" s="557" t="str">
        <f t="shared" si="23"/>
        <v/>
      </c>
      <c r="E267" s="560"/>
      <c r="F267" s="559"/>
      <c r="G267" s="559" t="str">
        <f t="shared" si="24"/>
        <v/>
      </c>
      <c r="H267" s="559" t="str">
        <f t="shared" si="25"/>
        <v/>
      </c>
      <c r="I267" s="559" t="str">
        <f t="shared" si="26"/>
        <v/>
      </c>
    </row>
    <row r="268" spans="2:9">
      <c r="B268" s="555" t="str">
        <f t="shared" si="21"/>
        <v/>
      </c>
      <c r="C268" s="556" t="str">
        <f t="shared" si="22"/>
        <v/>
      </c>
      <c r="D268" s="557" t="str">
        <f t="shared" si="23"/>
        <v/>
      </c>
      <c r="E268" s="560"/>
      <c r="F268" s="559"/>
      <c r="G268" s="559" t="str">
        <f t="shared" si="24"/>
        <v/>
      </c>
      <c r="H268" s="559" t="str">
        <f t="shared" si="25"/>
        <v/>
      </c>
      <c r="I268" s="559" t="str">
        <f t="shared" si="26"/>
        <v/>
      </c>
    </row>
    <row r="269" spans="2:9">
      <c r="B269" s="555" t="str">
        <f t="shared" si="21"/>
        <v/>
      </c>
      <c r="C269" s="556" t="str">
        <f t="shared" si="22"/>
        <v/>
      </c>
      <c r="D269" s="557" t="str">
        <f t="shared" si="23"/>
        <v/>
      </c>
      <c r="E269" s="560"/>
      <c r="F269" s="559"/>
      <c r="G269" s="559" t="str">
        <f t="shared" si="24"/>
        <v/>
      </c>
      <c r="H269" s="559" t="str">
        <f t="shared" si="25"/>
        <v/>
      </c>
      <c r="I269" s="559" t="str">
        <f t="shared" si="26"/>
        <v/>
      </c>
    </row>
    <row r="270" spans="2:9">
      <c r="B270" s="555" t="str">
        <f t="shared" si="21"/>
        <v/>
      </c>
      <c r="C270" s="556" t="str">
        <f t="shared" si="22"/>
        <v/>
      </c>
      <c r="D270" s="557" t="str">
        <f t="shared" si="23"/>
        <v/>
      </c>
      <c r="E270" s="560"/>
      <c r="F270" s="559"/>
      <c r="G270" s="559" t="str">
        <f t="shared" si="24"/>
        <v/>
      </c>
      <c r="H270" s="559" t="str">
        <f t="shared" si="25"/>
        <v/>
      </c>
      <c r="I270" s="559" t="str">
        <f t="shared" si="26"/>
        <v/>
      </c>
    </row>
    <row r="271" spans="2:9">
      <c r="B271" s="555" t="str">
        <f t="shared" si="21"/>
        <v/>
      </c>
      <c r="C271" s="556" t="str">
        <f t="shared" si="22"/>
        <v/>
      </c>
      <c r="D271" s="557" t="str">
        <f t="shared" si="23"/>
        <v/>
      </c>
      <c r="E271" s="560"/>
      <c r="F271" s="559"/>
      <c r="G271" s="559" t="str">
        <f t="shared" si="24"/>
        <v/>
      </c>
      <c r="H271" s="559" t="str">
        <f t="shared" si="25"/>
        <v/>
      </c>
      <c r="I271" s="559" t="str">
        <f t="shared" si="26"/>
        <v/>
      </c>
    </row>
    <row r="272" spans="2:9">
      <c r="B272" s="555" t="str">
        <f t="shared" si="21"/>
        <v/>
      </c>
      <c r="C272" s="556" t="str">
        <f t="shared" si="22"/>
        <v/>
      </c>
      <c r="D272" s="557" t="str">
        <f t="shared" si="23"/>
        <v/>
      </c>
      <c r="E272" s="560"/>
      <c r="F272" s="559"/>
      <c r="G272" s="559" t="str">
        <f t="shared" si="24"/>
        <v/>
      </c>
      <c r="H272" s="559" t="str">
        <f t="shared" si="25"/>
        <v/>
      </c>
      <c r="I272" s="559" t="str">
        <f t="shared" si="26"/>
        <v/>
      </c>
    </row>
    <row r="273" spans="2:9">
      <c r="B273" s="555" t="str">
        <f t="shared" si="21"/>
        <v/>
      </c>
      <c r="C273" s="556" t="str">
        <f t="shared" si="22"/>
        <v/>
      </c>
      <c r="D273" s="557" t="str">
        <f t="shared" si="23"/>
        <v/>
      </c>
      <c r="E273" s="560"/>
      <c r="F273" s="559"/>
      <c r="G273" s="559" t="str">
        <f t="shared" si="24"/>
        <v/>
      </c>
      <c r="H273" s="559" t="str">
        <f t="shared" si="25"/>
        <v/>
      </c>
      <c r="I273" s="559" t="str">
        <f t="shared" si="26"/>
        <v/>
      </c>
    </row>
    <row r="274" spans="2:9">
      <c r="B274" s="555" t="str">
        <f t="shared" si="21"/>
        <v/>
      </c>
      <c r="C274" s="556" t="str">
        <f t="shared" si="22"/>
        <v/>
      </c>
      <c r="D274" s="557" t="str">
        <f t="shared" si="23"/>
        <v/>
      </c>
      <c r="E274" s="560"/>
      <c r="F274" s="559"/>
      <c r="G274" s="559" t="str">
        <f t="shared" si="24"/>
        <v/>
      </c>
      <c r="H274" s="559" t="str">
        <f t="shared" si="25"/>
        <v/>
      </c>
      <c r="I274" s="559" t="str">
        <f t="shared" si="26"/>
        <v/>
      </c>
    </row>
    <row r="275" spans="2:9">
      <c r="B275" s="555" t="str">
        <f t="shared" si="21"/>
        <v/>
      </c>
      <c r="C275" s="556" t="str">
        <f t="shared" si="22"/>
        <v/>
      </c>
      <c r="D275" s="557" t="str">
        <f t="shared" si="23"/>
        <v/>
      </c>
      <c r="E275" s="560"/>
      <c r="F275" s="559"/>
      <c r="G275" s="559" t="str">
        <f t="shared" si="24"/>
        <v/>
      </c>
      <c r="H275" s="559" t="str">
        <f t="shared" si="25"/>
        <v/>
      </c>
      <c r="I275" s="559" t="str">
        <f t="shared" si="26"/>
        <v/>
      </c>
    </row>
    <row r="276" spans="2:9">
      <c r="B276" s="555" t="str">
        <f t="shared" si="21"/>
        <v/>
      </c>
      <c r="C276" s="556" t="str">
        <f t="shared" si="22"/>
        <v/>
      </c>
      <c r="D276" s="557" t="str">
        <f t="shared" si="23"/>
        <v/>
      </c>
      <c r="E276" s="560"/>
      <c r="F276" s="559"/>
      <c r="G276" s="559" t="str">
        <f t="shared" si="24"/>
        <v/>
      </c>
      <c r="H276" s="559" t="str">
        <f t="shared" si="25"/>
        <v/>
      </c>
      <c r="I276" s="559" t="str">
        <f t="shared" si="26"/>
        <v/>
      </c>
    </row>
    <row r="277" spans="2:9">
      <c r="B277" s="555" t="str">
        <f t="shared" si="21"/>
        <v/>
      </c>
      <c r="C277" s="556" t="str">
        <f t="shared" si="22"/>
        <v/>
      </c>
      <c r="D277" s="557" t="str">
        <f t="shared" si="23"/>
        <v/>
      </c>
      <c r="E277" s="560"/>
      <c r="F277" s="559"/>
      <c r="G277" s="559" t="str">
        <f t="shared" si="24"/>
        <v/>
      </c>
      <c r="H277" s="559" t="str">
        <f t="shared" si="25"/>
        <v/>
      </c>
      <c r="I277" s="559" t="str">
        <f t="shared" si="26"/>
        <v/>
      </c>
    </row>
    <row r="278" spans="2:9">
      <c r="B278" s="555" t="str">
        <f t="shared" si="21"/>
        <v/>
      </c>
      <c r="C278" s="556" t="str">
        <f t="shared" si="22"/>
        <v/>
      </c>
      <c r="D278" s="557" t="str">
        <f t="shared" si="23"/>
        <v/>
      </c>
      <c r="E278" s="560"/>
      <c r="F278" s="559"/>
      <c r="G278" s="559" t="str">
        <f t="shared" si="24"/>
        <v/>
      </c>
      <c r="H278" s="559" t="str">
        <f t="shared" si="25"/>
        <v/>
      </c>
      <c r="I278" s="559" t="str">
        <f t="shared" si="26"/>
        <v/>
      </c>
    </row>
    <row r="279" spans="2:9">
      <c r="B279" s="555" t="str">
        <f t="shared" si="21"/>
        <v/>
      </c>
      <c r="C279" s="556" t="str">
        <f t="shared" si="22"/>
        <v/>
      </c>
      <c r="D279" s="557" t="str">
        <f t="shared" si="23"/>
        <v/>
      </c>
      <c r="E279" s="560"/>
      <c r="F279" s="559"/>
      <c r="G279" s="559" t="str">
        <f t="shared" si="24"/>
        <v/>
      </c>
      <c r="H279" s="559" t="str">
        <f t="shared" si="25"/>
        <v/>
      </c>
      <c r="I279" s="559" t="str">
        <f t="shared" si="26"/>
        <v/>
      </c>
    </row>
    <row r="280" spans="2:9">
      <c r="B280" s="555" t="str">
        <f t="shared" si="21"/>
        <v/>
      </c>
      <c r="C280" s="556" t="str">
        <f t="shared" si="22"/>
        <v/>
      </c>
      <c r="D280" s="557" t="str">
        <f t="shared" si="23"/>
        <v/>
      </c>
      <c r="E280" s="560"/>
      <c r="F280" s="559"/>
      <c r="G280" s="559" t="str">
        <f t="shared" si="24"/>
        <v/>
      </c>
      <c r="H280" s="559" t="str">
        <f t="shared" si="25"/>
        <v/>
      </c>
      <c r="I280" s="559" t="str">
        <f t="shared" si="26"/>
        <v/>
      </c>
    </row>
    <row r="281" spans="2:9">
      <c r="B281" s="555" t="str">
        <f t="shared" si="21"/>
        <v/>
      </c>
      <c r="C281" s="556" t="str">
        <f t="shared" si="22"/>
        <v/>
      </c>
      <c r="D281" s="557" t="str">
        <f t="shared" si="23"/>
        <v/>
      </c>
      <c r="E281" s="560"/>
      <c r="F281" s="559"/>
      <c r="G281" s="559" t="str">
        <f t="shared" si="24"/>
        <v/>
      </c>
      <c r="H281" s="559" t="str">
        <f t="shared" si="25"/>
        <v/>
      </c>
      <c r="I281" s="559" t="str">
        <f t="shared" si="26"/>
        <v/>
      </c>
    </row>
    <row r="282" spans="2:9">
      <c r="B282" s="555" t="str">
        <f t="shared" si="21"/>
        <v/>
      </c>
      <c r="C282" s="556" t="str">
        <f t="shared" si="22"/>
        <v/>
      </c>
      <c r="D282" s="557" t="str">
        <f t="shared" si="23"/>
        <v/>
      </c>
      <c r="E282" s="560"/>
      <c r="F282" s="559"/>
      <c r="G282" s="559" t="str">
        <f t="shared" si="24"/>
        <v/>
      </c>
      <c r="H282" s="559" t="str">
        <f t="shared" si="25"/>
        <v/>
      </c>
      <c r="I282" s="559" t="str">
        <f t="shared" si="26"/>
        <v/>
      </c>
    </row>
    <row r="283" spans="2:9">
      <c r="B283" s="555" t="str">
        <f t="shared" si="21"/>
        <v/>
      </c>
      <c r="C283" s="556" t="str">
        <f t="shared" si="22"/>
        <v/>
      </c>
      <c r="D283" s="557" t="str">
        <f t="shared" si="23"/>
        <v/>
      </c>
      <c r="E283" s="560"/>
      <c r="F283" s="559"/>
      <c r="G283" s="559" t="str">
        <f t="shared" si="24"/>
        <v/>
      </c>
      <c r="H283" s="559" t="str">
        <f t="shared" si="25"/>
        <v/>
      </c>
      <c r="I283" s="559" t="str">
        <f t="shared" si="26"/>
        <v/>
      </c>
    </row>
    <row r="284" spans="2:9">
      <c r="B284" s="555" t="str">
        <f t="shared" si="21"/>
        <v/>
      </c>
      <c r="C284" s="556" t="str">
        <f t="shared" si="22"/>
        <v/>
      </c>
      <c r="D284" s="557" t="str">
        <f t="shared" si="23"/>
        <v/>
      </c>
      <c r="E284" s="560"/>
      <c r="F284" s="559"/>
      <c r="G284" s="559" t="str">
        <f t="shared" si="24"/>
        <v/>
      </c>
      <c r="H284" s="559" t="str">
        <f t="shared" si="25"/>
        <v/>
      </c>
      <c r="I284" s="559" t="str">
        <f t="shared" si="26"/>
        <v/>
      </c>
    </row>
    <row r="285" spans="2:9">
      <c r="B285" s="555" t="str">
        <f t="shared" si="21"/>
        <v/>
      </c>
      <c r="C285" s="556" t="str">
        <f t="shared" si="22"/>
        <v/>
      </c>
      <c r="D285" s="557" t="str">
        <f t="shared" si="23"/>
        <v/>
      </c>
      <c r="E285" s="560"/>
      <c r="F285" s="559"/>
      <c r="G285" s="559" t="str">
        <f t="shared" si="24"/>
        <v/>
      </c>
      <c r="H285" s="559" t="str">
        <f t="shared" si="25"/>
        <v/>
      </c>
      <c r="I285" s="559" t="str">
        <f t="shared" si="26"/>
        <v/>
      </c>
    </row>
    <row r="286" spans="2:9">
      <c r="B286" s="555" t="str">
        <f t="shared" si="21"/>
        <v/>
      </c>
      <c r="C286" s="556" t="str">
        <f t="shared" si="22"/>
        <v/>
      </c>
      <c r="D286" s="557" t="str">
        <f t="shared" si="23"/>
        <v/>
      </c>
      <c r="E286" s="560"/>
      <c r="F286" s="559"/>
      <c r="G286" s="559" t="str">
        <f t="shared" si="24"/>
        <v/>
      </c>
      <c r="H286" s="559" t="str">
        <f t="shared" si="25"/>
        <v/>
      </c>
      <c r="I286" s="559" t="str">
        <f t="shared" si="26"/>
        <v/>
      </c>
    </row>
    <row r="287" spans="2:9">
      <c r="B287" s="555" t="str">
        <f t="shared" si="21"/>
        <v/>
      </c>
      <c r="C287" s="556" t="str">
        <f t="shared" si="22"/>
        <v/>
      </c>
      <c r="D287" s="557" t="str">
        <f t="shared" si="23"/>
        <v/>
      </c>
      <c r="E287" s="560"/>
      <c r="F287" s="559"/>
      <c r="G287" s="559" t="str">
        <f t="shared" si="24"/>
        <v/>
      </c>
      <c r="H287" s="559" t="str">
        <f t="shared" si="25"/>
        <v/>
      </c>
      <c r="I287" s="559" t="str">
        <f t="shared" si="26"/>
        <v/>
      </c>
    </row>
    <row r="288" spans="2:9">
      <c r="B288" s="555" t="str">
        <f t="shared" si="21"/>
        <v/>
      </c>
      <c r="C288" s="556" t="str">
        <f t="shared" si="22"/>
        <v/>
      </c>
      <c r="D288" s="557" t="str">
        <f t="shared" si="23"/>
        <v/>
      </c>
      <c r="E288" s="560"/>
      <c r="F288" s="559"/>
      <c r="G288" s="559" t="str">
        <f t="shared" si="24"/>
        <v/>
      </c>
      <c r="H288" s="559" t="str">
        <f t="shared" si="25"/>
        <v/>
      </c>
      <c r="I288" s="559" t="str">
        <f t="shared" si="26"/>
        <v/>
      </c>
    </row>
    <row r="289" spans="2:9">
      <c r="B289" s="555" t="str">
        <f t="shared" si="21"/>
        <v/>
      </c>
      <c r="C289" s="556" t="str">
        <f t="shared" si="22"/>
        <v/>
      </c>
      <c r="D289" s="557" t="str">
        <f t="shared" si="23"/>
        <v/>
      </c>
      <c r="E289" s="560"/>
      <c r="F289" s="559"/>
      <c r="G289" s="559" t="str">
        <f t="shared" si="24"/>
        <v/>
      </c>
      <c r="H289" s="559" t="str">
        <f t="shared" si="25"/>
        <v/>
      </c>
      <c r="I289" s="559" t="str">
        <f t="shared" si="26"/>
        <v/>
      </c>
    </row>
    <row r="290" spans="2:9">
      <c r="B290" s="555" t="str">
        <f t="shared" si="21"/>
        <v/>
      </c>
      <c r="C290" s="556" t="str">
        <f t="shared" si="22"/>
        <v/>
      </c>
      <c r="D290" s="557" t="str">
        <f t="shared" si="23"/>
        <v/>
      </c>
      <c r="E290" s="560"/>
      <c r="F290" s="559"/>
      <c r="G290" s="559" t="str">
        <f t="shared" si="24"/>
        <v/>
      </c>
      <c r="H290" s="559" t="str">
        <f t="shared" si="25"/>
        <v/>
      </c>
      <c r="I290" s="559" t="str">
        <f t="shared" si="26"/>
        <v/>
      </c>
    </row>
    <row r="291" spans="2:9">
      <c r="B291" s="555" t="str">
        <f t="shared" si="21"/>
        <v/>
      </c>
      <c r="C291" s="556" t="str">
        <f t="shared" si="22"/>
        <v/>
      </c>
      <c r="D291" s="557" t="str">
        <f t="shared" si="23"/>
        <v/>
      </c>
      <c r="E291" s="560"/>
      <c r="F291" s="559"/>
      <c r="G291" s="559" t="str">
        <f t="shared" si="24"/>
        <v/>
      </c>
      <c r="H291" s="559" t="str">
        <f t="shared" si="25"/>
        <v/>
      </c>
      <c r="I291" s="559" t="str">
        <f t="shared" si="26"/>
        <v/>
      </c>
    </row>
    <row r="292" spans="2:9">
      <c r="B292" s="555" t="str">
        <f t="shared" si="21"/>
        <v/>
      </c>
      <c r="C292" s="556" t="str">
        <f t="shared" si="22"/>
        <v/>
      </c>
      <c r="D292" s="557" t="str">
        <f t="shared" si="23"/>
        <v/>
      </c>
      <c r="E292" s="560"/>
      <c r="F292" s="559"/>
      <c r="G292" s="559" t="str">
        <f t="shared" si="24"/>
        <v/>
      </c>
      <c r="H292" s="559" t="str">
        <f t="shared" si="25"/>
        <v/>
      </c>
      <c r="I292" s="559" t="str">
        <f t="shared" si="26"/>
        <v/>
      </c>
    </row>
    <row r="293" spans="2:9">
      <c r="B293" s="555" t="str">
        <f t="shared" si="21"/>
        <v/>
      </c>
      <c r="C293" s="556" t="str">
        <f t="shared" si="22"/>
        <v/>
      </c>
      <c r="D293" s="557" t="str">
        <f t="shared" si="23"/>
        <v/>
      </c>
      <c r="E293" s="560"/>
      <c r="F293" s="559"/>
      <c r="G293" s="559" t="str">
        <f t="shared" si="24"/>
        <v/>
      </c>
      <c r="H293" s="559" t="str">
        <f t="shared" si="25"/>
        <v/>
      </c>
      <c r="I293" s="559" t="str">
        <f t="shared" si="26"/>
        <v/>
      </c>
    </row>
    <row r="294" spans="2:9">
      <c r="B294" s="555" t="str">
        <f t="shared" si="21"/>
        <v/>
      </c>
      <c r="C294" s="556" t="str">
        <f t="shared" si="22"/>
        <v/>
      </c>
      <c r="D294" s="557" t="str">
        <f t="shared" si="23"/>
        <v/>
      </c>
      <c r="E294" s="560"/>
      <c r="F294" s="559"/>
      <c r="G294" s="559" t="str">
        <f t="shared" si="24"/>
        <v/>
      </c>
      <c r="H294" s="559" t="str">
        <f t="shared" si="25"/>
        <v/>
      </c>
      <c r="I294" s="559" t="str">
        <f t="shared" si="26"/>
        <v/>
      </c>
    </row>
    <row r="295" spans="2:9">
      <c r="B295" s="555" t="str">
        <f t="shared" si="21"/>
        <v/>
      </c>
      <c r="C295" s="556" t="str">
        <f t="shared" si="22"/>
        <v/>
      </c>
      <c r="D295" s="557" t="str">
        <f t="shared" si="23"/>
        <v/>
      </c>
      <c r="E295" s="560"/>
      <c r="F295" s="559"/>
      <c r="G295" s="559" t="str">
        <f t="shared" si="24"/>
        <v/>
      </c>
      <c r="H295" s="559" t="str">
        <f t="shared" si="25"/>
        <v/>
      </c>
      <c r="I295" s="559" t="str">
        <f t="shared" si="26"/>
        <v/>
      </c>
    </row>
    <row r="296" spans="2:9">
      <c r="B296" s="555" t="str">
        <f t="shared" si="21"/>
        <v/>
      </c>
      <c r="C296" s="556" t="str">
        <f t="shared" si="22"/>
        <v/>
      </c>
      <c r="D296" s="557" t="str">
        <f t="shared" si="23"/>
        <v/>
      </c>
      <c r="E296" s="560"/>
      <c r="F296" s="559"/>
      <c r="G296" s="559" t="str">
        <f t="shared" si="24"/>
        <v/>
      </c>
      <c r="H296" s="559" t="str">
        <f t="shared" si="25"/>
        <v/>
      </c>
      <c r="I296" s="559" t="str">
        <f t="shared" si="26"/>
        <v/>
      </c>
    </row>
    <row r="297" spans="2:9">
      <c r="B297" s="555" t="str">
        <f t="shared" si="21"/>
        <v/>
      </c>
      <c r="C297" s="556" t="str">
        <f t="shared" si="22"/>
        <v/>
      </c>
      <c r="D297" s="557" t="str">
        <f t="shared" si="23"/>
        <v/>
      </c>
      <c r="E297" s="560"/>
      <c r="F297" s="559"/>
      <c r="G297" s="559" t="str">
        <f t="shared" si="24"/>
        <v/>
      </c>
      <c r="H297" s="559" t="str">
        <f t="shared" si="25"/>
        <v/>
      </c>
      <c r="I297" s="559" t="str">
        <f t="shared" si="26"/>
        <v/>
      </c>
    </row>
    <row r="298" spans="2:9">
      <c r="B298" s="555" t="str">
        <f t="shared" si="21"/>
        <v/>
      </c>
      <c r="C298" s="556" t="str">
        <f t="shared" si="22"/>
        <v/>
      </c>
      <c r="D298" s="557" t="str">
        <f t="shared" si="23"/>
        <v/>
      </c>
      <c r="E298" s="560"/>
      <c r="F298" s="559"/>
      <c r="G298" s="559" t="str">
        <f t="shared" si="24"/>
        <v/>
      </c>
      <c r="H298" s="559" t="str">
        <f t="shared" si="25"/>
        <v/>
      </c>
      <c r="I298" s="559" t="str">
        <f t="shared" si="26"/>
        <v/>
      </c>
    </row>
    <row r="299" spans="2:9">
      <c r="B299" s="555" t="str">
        <f t="shared" si="21"/>
        <v/>
      </c>
      <c r="C299" s="556" t="str">
        <f t="shared" si="22"/>
        <v/>
      </c>
      <c r="D299" s="557" t="str">
        <f t="shared" si="23"/>
        <v/>
      </c>
      <c r="E299" s="560"/>
      <c r="F299" s="559"/>
      <c r="G299" s="559" t="str">
        <f t="shared" si="24"/>
        <v/>
      </c>
      <c r="H299" s="559" t="str">
        <f t="shared" si="25"/>
        <v/>
      </c>
      <c r="I299" s="559" t="str">
        <f t="shared" si="26"/>
        <v/>
      </c>
    </row>
    <row r="300" spans="2:9">
      <c r="B300" s="555" t="str">
        <f t="shared" si="21"/>
        <v/>
      </c>
      <c r="C300" s="556" t="str">
        <f t="shared" si="22"/>
        <v/>
      </c>
      <c r="D300" s="557" t="str">
        <f t="shared" si="23"/>
        <v/>
      </c>
      <c r="E300" s="560"/>
      <c r="F300" s="559"/>
      <c r="G300" s="559" t="str">
        <f t="shared" si="24"/>
        <v/>
      </c>
      <c r="H300" s="559" t="str">
        <f t="shared" si="25"/>
        <v/>
      </c>
      <c r="I300" s="559" t="str">
        <f t="shared" si="26"/>
        <v/>
      </c>
    </row>
    <row r="301" spans="2:9">
      <c r="B301" s="555" t="str">
        <f t="shared" si="21"/>
        <v/>
      </c>
      <c r="C301" s="556" t="str">
        <f t="shared" si="22"/>
        <v/>
      </c>
      <c r="D301" s="557" t="str">
        <f t="shared" si="23"/>
        <v/>
      </c>
      <c r="E301" s="560"/>
      <c r="F301" s="559"/>
      <c r="G301" s="559" t="str">
        <f t="shared" si="24"/>
        <v/>
      </c>
      <c r="H301" s="559" t="str">
        <f t="shared" si="25"/>
        <v/>
      </c>
      <c r="I301" s="559" t="str">
        <f t="shared" si="26"/>
        <v/>
      </c>
    </row>
    <row r="302" spans="2:9">
      <c r="B302" s="555" t="str">
        <f t="shared" si="21"/>
        <v/>
      </c>
      <c r="C302" s="556" t="str">
        <f t="shared" si="22"/>
        <v/>
      </c>
      <c r="D302" s="557" t="str">
        <f t="shared" si="23"/>
        <v/>
      </c>
      <c r="E302" s="560"/>
      <c r="F302" s="559"/>
      <c r="G302" s="559" t="str">
        <f t="shared" si="24"/>
        <v/>
      </c>
      <c r="H302" s="559" t="str">
        <f t="shared" si="25"/>
        <v/>
      </c>
      <c r="I302" s="559" t="str">
        <f t="shared" si="26"/>
        <v/>
      </c>
    </row>
    <row r="303" spans="2:9">
      <c r="B303" s="555" t="str">
        <f t="shared" si="21"/>
        <v/>
      </c>
      <c r="C303" s="556" t="str">
        <f t="shared" si="22"/>
        <v/>
      </c>
      <c r="D303" s="557" t="str">
        <f t="shared" si="23"/>
        <v/>
      </c>
      <c r="E303" s="560"/>
      <c r="F303" s="559"/>
      <c r="G303" s="559" t="str">
        <f t="shared" si="24"/>
        <v/>
      </c>
      <c r="H303" s="559" t="str">
        <f t="shared" si="25"/>
        <v/>
      </c>
      <c r="I303" s="559" t="str">
        <f t="shared" si="26"/>
        <v/>
      </c>
    </row>
    <row r="304" spans="2:9">
      <c r="B304" s="555" t="str">
        <f t="shared" si="21"/>
        <v/>
      </c>
      <c r="C304" s="556" t="str">
        <f t="shared" si="22"/>
        <v/>
      </c>
      <c r="D304" s="557" t="str">
        <f t="shared" si="23"/>
        <v/>
      </c>
      <c r="E304" s="560"/>
      <c r="F304" s="559"/>
      <c r="G304" s="559" t="str">
        <f t="shared" si="24"/>
        <v/>
      </c>
      <c r="H304" s="559" t="str">
        <f t="shared" si="25"/>
        <v/>
      </c>
      <c r="I304" s="559" t="str">
        <f t="shared" si="26"/>
        <v/>
      </c>
    </row>
    <row r="305" spans="2:9">
      <c r="B305" s="555" t="str">
        <f t="shared" si="21"/>
        <v/>
      </c>
      <c r="C305" s="556" t="str">
        <f t="shared" si="22"/>
        <v/>
      </c>
      <c r="D305" s="557" t="str">
        <f t="shared" si="23"/>
        <v/>
      </c>
      <c r="E305" s="560"/>
      <c r="F305" s="559"/>
      <c r="G305" s="559" t="str">
        <f t="shared" si="24"/>
        <v/>
      </c>
      <c r="H305" s="559" t="str">
        <f t="shared" si="25"/>
        <v/>
      </c>
      <c r="I305" s="559" t="str">
        <f t="shared" si="26"/>
        <v/>
      </c>
    </row>
    <row r="306" spans="2:9">
      <c r="B306" s="555" t="str">
        <f t="shared" si="21"/>
        <v/>
      </c>
      <c r="C306" s="556" t="str">
        <f t="shared" si="22"/>
        <v/>
      </c>
      <c r="D306" s="557" t="str">
        <f t="shared" si="23"/>
        <v/>
      </c>
      <c r="E306" s="560"/>
      <c r="F306" s="559"/>
      <c r="G306" s="559" t="str">
        <f t="shared" si="24"/>
        <v/>
      </c>
      <c r="H306" s="559" t="str">
        <f t="shared" si="25"/>
        <v/>
      </c>
      <c r="I306" s="559" t="str">
        <f t="shared" si="26"/>
        <v/>
      </c>
    </row>
    <row r="307" spans="2:9">
      <c r="B307" s="555" t="str">
        <f t="shared" si="21"/>
        <v/>
      </c>
      <c r="C307" s="556" t="str">
        <f t="shared" si="22"/>
        <v/>
      </c>
      <c r="D307" s="557" t="str">
        <f t="shared" si="23"/>
        <v/>
      </c>
      <c r="E307" s="560"/>
      <c r="F307" s="559"/>
      <c r="G307" s="559" t="str">
        <f t="shared" si="24"/>
        <v/>
      </c>
      <c r="H307" s="559" t="str">
        <f t="shared" si="25"/>
        <v/>
      </c>
      <c r="I307" s="559" t="str">
        <f t="shared" si="26"/>
        <v/>
      </c>
    </row>
    <row r="308" spans="2:9">
      <c r="B308" s="555" t="str">
        <f t="shared" si="21"/>
        <v/>
      </c>
      <c r="C308" s="556" t="str">
        <f t="shared" si="22"/>
        <v/>
      </c>
      <c r="D308" s="557" t="str">
        <f t="shared" si="23"/>
        <v/>
      </c>
      <c r="E308" s="560"/>
      <c r="F308" s="559"/>
      <c r="G308" s="559" t="str">
        <f t="shared" si="24"/>
        <v/>
      </c>
      <c r="H308" s="559" t="str">
        <f t="shared" si="25"/>
        <v/>
      </c>
      <c r="I308" s="559" t="str">
        <f t="shared" si="26"/>
        <v/>
      </c>
    </row>
    <row r="309" spans="2:9">
      <c r="B309" s="555" t="str">
        <f t="shared" si="21"/>
        <v/>
      </c>
      <c r="C309" s="556" t="str">
        <f t="shared" si="22"/>
        <v/>
      </c>
      <c r="D309" s="557" t="str">
        <f t="shared" si="23"/>
        <v/>
      </c>
      <c r="E309" s="560"/>
      <c r="F309" s="559"/>
      <c r="G309" s="559" t="str">
        <f t="shared" si="24"/>
        <v/>
      </c>
      <c r="H309" s="559" t="str">
        <f t="shared" si="25"/>
        <v/>
      </c>
      <c r="I309" s="559" t="str">
        <f t="shared" si="26"/>
        <v/>
      </c>
    </row>
    <row r="310" spans="2:9">
      <c r="B310" s="555" t="str">
        <f t="shared" si="21"/>
        <v/>
      </c>
      <c r="C310" s="556" t="str">
        <f t="shared" si="22"/>
        <v/>
      </c>
      <c r="D310" s="557" t="str">
        <f t="shared" si="23"/>
        <v/>
      </c>
      <c r="E310" s="560"/>
      <c r="F310" s="559"/>
      <c r="G310" s="559" t="str">
        <f t="shared" si="24"/>
        <v/>
      </c>
      <c r="H310" s="559" t="str">
        <f t="shared" si="25"/>
        <v/>
      </c>
      <c r="I310" s="559" t="str">
        <f t="shared" si="26"/>
        <v/>
      </c>
    </row>
    <row r="311" spans="2:9">
      <c r="B311" s="555" t="str">
        <f t="shared" si="21"/>
        <v/>
      </c>
      <c r="C311" s="556" t="str">
        <f t="shared" si="22"/>
        <v/>
      </c>
      <c r="D311" s="557" t="str">
        <f t="shared" si="23"/>
        <v/>
      </c>
      <c r="E311" s="560"/>
      <c r="F311" s="559"/>
      <c r="G311" s="559" t="str">
        <f t="shared" si="24"/>
        <v/>
      </c>
      <c r="H311" s="559" t="str">
        <f t="shared" si="25"/>
        <v/>
      </c>
      <c r="I311" s="559" t="str">
        <f t="shared" si="26"/>
        <v/>
      </c>
    </row>
    <row r="312" spans="2:9">
      <c r="B312" s="555" t="str">
        <f t="shared" si="21"/>
        <v/>
      </c>
      <c r="C312" s="556" t="str">
        <f t="shared" si="22"/>
        <v/>
      </c>
      <c r="D312" s="557" t="str">
        <f t="shared" si="23"/>
        <v/>
      </c>
      <c r="E312" s="560"/>
      <c r="F312" s="559"/>
      <c r="G312" s="559" t="str">
        <f t="shared" si="24"/>
        <v/>
      </c>
      <c r="H312" s="559" t="str">
        <f t="shared" si="25"/>
        <v/>
      </c>
      <c r="I312" s="559" t="str">
        <f t="shared" si="26"/>
        <v/>
      </c>
    </row>
    <row r="313" spans="2:9">
      <c r="B313" s="555" t="str">
        <f t="shared" si="21"/>
        <v/>
      </c>
      <c r="C313" s="556" t="str">
        <f t="shared" si="22"/>
        <v/>
      </c>
      <c r="D313" s="557" t="str">
        <f t="shared" si="23"/>
        <v/>
      </c>
      <c r="E313" s="560"/>
      <c r="F313" s="559"/>
      <c r="G313" s="559" t="str">
        <f t="shared" si="24"/>
        <v/>
      </c>
      <c r="H313" s="559" t="str">
        <f t="shared" si="25"/>
        <v/>
      </c>
      <c r="I313" s="559" t="str">
        <f t="shared" si="26"/>
        <v/>
      </c>
    </row>
    <row r="314" spans="2:9">
      <c r="B314" s="555" t="str">
        <f t="shared" si="21"/>
        <v/>
      </c>
      <c r="C314" s="556" t="str">
        <f t="shared" si="22"/>
        <v/>
      </c>
      <c r="D314" s="557" t="str">
        <f t="shared" si="23"/>
        <v/>
      </c>
      <c r="E314" s="560"/>
      <c r="F314" s="559"/>
      <c r="G314" s="559" t="str">
        <f t="shared" si="24"/>
        <v/>
      </c>
      <c r="H314" s="559" t="str">
        <f t="shared" si="25"/>
        <v/>
      </c>
      <c r="I314" s="559" t="str">
        <f t="shared" si="26"/>
        <v/>
      </c>
    </row>
    <row r="315" spans="2:9">
      <c r="B315" s="555" t="str">
        <f t="shared" si="21"/>
        <v/>
      </c>
      <c r="C315" s="556" t="str">
        <f t="shared" si="22"/>
        <v/>
      </c>
      <c r="D315" s="557" t="str">
        <f t="shared" si="23"/>
        <v/>
      </c>
      <c r="E315" s="560"/>
      <c r="F315" s="559"/>
      <c r="G315" s="559" t="str">
        <f t="shared" si="24"/>
        <v/>
      </c>
      <c r="H315" s="559" t="str">
        <f t="shared" si="25"/>
        <v/>
      </c>
      <c r="I315" s="559" t="str">
        <f t="shared" si="26"/>
        <v/>
      </c>
    </row>
    <row r="316" spans="2:9">
      <c r="B316" s="555" t="str">
        <f t="shared" si="21"/>
        <v/>
      </c>
      <c r="C316" s="556" t="str">
        <f t="shared" si="22"/>
        <v/>
      </c>
      <c r="D316" s="557" t="str">
        <f t="shared" si="23"/>
        <v/>
      </c>
      <c r="E316" s="560"/>
      <c r="F316" s="559"/>
      <c r="G316" s="559" t="str">
        <f t="shared" si="24"/>
        <v/>
      </c>
      <c r="H316" s="559" t="str">
        <f t="shared" si="25"/>
        <v/>
      </c>
      <c r="I316" s="559" t="str">
        <f t="shared" si="26"/>
        <v/>
      </c>
    </row>
    <row r="317" spans="2:9">
      <c r="B317" s="555" t="str">
        <f t="shared" ref="B317:B380" si="27">IF(I316="","",IF(roundOpt,IF(OR(B316&gt;=nper,ROUND(I316,2)&lt;=0),"",B316+1),IF(OR(B316&gt;=nper,I316&lt;=0),"",B316+1)))</f>
        <v/>
      </c>
      <c r="C317" s="556" t="str">
        <f t="shared" ref="C317:C380" si="28">IF(B317="","",IF(OR(periods_per_year=26,periods_per_year=52),IF(periods_per_year=26,IF(B317=1,fpdate,C316+14),IF(periods_per_year=52,IF(B317=1,fpdate,C316+7),"n/a")),IF(periods_per_year=24,DATE(YEAR(fpdate),MONTH(fpdate)+(B317-1)/2+IF(AND(DAY(fpdate)&gt;=15,MOD(B317,2)=0),1,0),IF(MOD(B317,2)=0,IF(DAY(fpdate)&gt;=15,DAY(fpdate)-14,DAY(fpdate)+14),DAY(fpdate))),IF(DAY(DATE(YEAR(fpdate),MONTH(fpdate)+(B317-1)*months_per_period,DAY(fpdate)))&lt;&gt;DAY(fpdate),DATE(YEAR(fpdate),MONTH(fpdate)+(B317-1)*months_per_period+1,0),DATE(YEAR(fpdate),MONTH(fpdate)+(B317-1)*months_per_period,DAY(fpdate))))))</f>
        <v/>
      </c>
      <c r="D317" s="557" t="str">
        <f t="shared" ref="D317:D380" si="29">IF(B317="","",IF(roundOpt,IF(OR(B317=nper,payment&gt;ROUND((1+rate)*I316,2)),ROUND((1+rate)*I316,2),payment),IF(OR(B317=nper,payment&gt;(1+rate)*I316),(1+rate)*I316,payment)))</f>
        <v/>
      </c>
      <c r="E317" s="560"/>
      <c r="F317" s="559"/>
      <c r="G317" s="559" t="str">
        <f t="shared" ref="G317:G380" si="30">IF(B317="","",IF(AND(B317=1,pmtType=1),0,IF(roundOpt,ROUND(rate*I316,2),rate*I316)))</f>
        <v/>
      </c>
      <c r="H317" s="559" t="str">
        <f t="shared" ref="H317:H380" si="31">IF(B317="","",D317-G317+E317)</f>
        <v/>
      </c>
      <c r="I317" s="559" t="str">
        <f t="shared" ref="I317:I380" si="32">IF(B317="","",I316-H317)</f>
        <v/>
      </c>
    </row>
    <row r="318" spans="2:9">
      <c r="B318" s="555" t="str">
        <f t="shared" si="27"/>
        <v/>
      </c>
      <c r="C318" s="556" t="str">
        <f t="shared" si="28"/>
        <v/>
      </c>
      <c r="D318" s="557" t="str">
        <f t="shared" si="29"/>
        <v/>
      </c>
      <c r="E318" s="560"/>
      <c r="F318" s="559"/>
      <c r="G318" s="559" t="str">
        <f t="shared" si="30"/>
        <v/>
      </c>
      <c r="H318" s="559" t="str">
        <f t="shared" si="31"/>
        <v/>
      </c>
      <c r="I318" s="559" t="str">
        <f t="shared" si="32"/>
        <v/>
      </c>
    </row>
    <row r="319" spans="2:9">
      <c r="B319" s="555" t="str">
        <f t="shared" si="27"/>
        <v/>
      </c>
      <c r="C319" s="556" t="str">
        <f t="shared" si="28"/>
        <v/>
      </c>
      <c r="D319" s="557" t="str">
        <f t="shared" si="29"/>
        <v/>
      </c>
      <c r="E319" s="560"/>
      <c r="F319" s="559"/>
      <c r="G319" s="559" t="str">
        <f t="shared" si="30"/>
        <v/>
      </c>
      <c r="H319" s="559" t="str">
        <f t="shared" si="31"/>
        <v/>
      </c>
      <c r="I319" s="559" t="str">
        <f t="shared" si="32"/>
        <v/>
      </c>
    </row>
    <row r="320" spans="2:9">
      <c r="B320" s="555" t="str">
        <f t="shared" si="27"/>
        <v/>
      </c>
      <c r="C320" s="556" t="str">
        <f t="shared" si="28"/>
        <v/>
      </c>
      <c r="D320" s="557" t="str">
        <f t="shared" si="29"/>
        <v/>
      </c>
      <c r="E320" s="560"/>
      <c r="F320" s="559"/>
      <c r="G320" s="559" t="str">
        <f t="shared" si="30"/>
        <v/>
      </c>
      <c r="H320" s="559" t="str">
        <f t="shared" si="31"/>
        <v/>
      </c>
      <c r="I320" s="559" t="str">
        <f t="shared" si="32"/>
        <v/>
      </c>
    </row>
    <row r="321" spans="2:9">
      <c r="B321" s="555" t="str">
        <f t="shared" si="27"/>
        <v/>
      </c>
      <c r="C321" s="556" t="str">
        <f t="shared" si="28"/>
        <v/>
      </c>
      <c r="D321" s="557" t="str">
        <f t="shared" si="29"/>
        <v/>
      </c>
      <c r="E321" s="560"/>
      <c r="F321" s="559"/>
      <c r="G321" s="559" t="str">
        <f t="shared" si="30"/>
        <v/>
      </c>
      <c r="H321" s="559" t="str">
        <f t="shared" si="31"/>
        <v/>
      </c>
      <c r="I321" s="559" t="str">
        <f t="shared" si="32"/>
        <v/>
      </c>
    </row>
    <row r="322" spans="2:9">
      <c r="B322" s="555" t="str">
        <f t="shared" si="27"/>
        <v/>
      </c>
      <c r="C322" s="556" t="str">
        <f t="shared" si="28"/>
        <v/>
      </c>
      <c r="D322" s="557" t="str">
        <f t="shared" si="29"/>
        <v/>
      </c>
      <c r="E322" s="560"/>
      <c r="F322" s="559"/>
      <c r="G322" s="559" t="str">
        <f t="shared" si="30"/>
        <v/>
      </c>
      <c r="H322" s="559" t="str">
        <f t="shared" si="31"/>
        <v/>
      </c>
      <c r="I322" s="559" t="str">
        <f t="shared" si="32"/>
        <v/>
      </c>
    </row>
    <row r="323" spans="2:9">
      <c r="B323" s="555" t="str">
        <f t="shared" si="27"/>
        <v/>
      </c>
      <c r="C323" s="556" t="str">
        <f t="shared" si="28"/>
        <v/>
      </c>
      <c r="D323" s="557" t="str">
        <f t="shared" si="29"/>
        <v/>
      </c>
      <c r="E323" s="560"/>
      <c r="F323" s="559"/>
      <c r="G323" s="559" t="str">
        <f t="shared" si="30"/>
        <v/>
      </c>
      <c r="H323" s="559" t="str">
        <f t="shared" si="31"/>
        <v/>
      </c>
      <c r="I323" s="559" t="str">
        <f t="shared" si="32"/>
        <v/>
      </c>
    </row>
    <row r="324" spans="2:9">
      <c r="B324" s="555" t="str">
        <f t="shared" si="27"/>
        <v/>
      </c>
      <c r="C324" s="556" t="str">
        <f t="shared" si="28"/>
        <v/>
      </c>
      <c r="D324" s="557" t="str">
        <f t="shared" si="29"/>
        <v/>
      </c>
      <c r="E324" s="560"/>
      <c r="F324" s="559"/>
      <c r="G324" s="559" t="str">
        <f t="shared" si="30"/>
        <v/>
      </c>
      <c r="H324" s="559" t="str">
        <f t="shared" si="31"/>
        <v/>
      </c>
      <c r="I324" s="559" t="str">
        <f t="shared" si="32"/>
        <v/>
      </c>
    </row>
    <row r="325" spans="2:9">
      <c r="B325" s="555" t="str">
        <f t="shared" si="27"/>
        <v/>
      </c>
      <c r="C325" s="556" t="str">
        <f t="shared" si="28"/>
        <v/>
      </c>
      <c r="D325" s="557" t="str">
        <f t="shared" si="29"/>
        <v/>
      </c>
      <c r="E325" s="560"/>
      <c r="F325" s="559"/>
      <c r="G325" s="559" t="str">
        <f t="shared" si="30"/>
        <v/>
      </c>
      <c r="H325" s="559" t="str">
        <f t="shared" si="31"/>
        <v/>
      </c>
      <c r="I325" s="559" t="str">
        <f t="shared" si="32"/>
        <v/>
      </c>
    </row>
    <row r="326" spans="2:9">
      <c r="B326" s="555" t="str">
        <f t="shared" si="27"/>
        <v/>
      </c>
      <c r="C326" s="556" t="str">
        <f t="shared" si="28"/>
        <v/>
      </c>
      <c r="D326" s="557" t="str">
        <f t="shared" si="29"/>
        <v/>
      </c>
      <c r="E326" s="560"/>
      <c r="F326" s="559"/>
      <c r="G326" s="559" t="str">
        <f t="shared" si="30"/>
        <v/>
      </c>
      <c r="H326" s="559" t="str">
        <f t="shared" si="31"/>
        <v/>
      </c>
      <c r="I326" s="559" t="str">
        <f t="shared" si="32"/>
        <v/>
      </c>
    </row>
    <row r="327" spans="2:9">
      <c r="B327" s="555" t="str">
        <f t="shared" si="27"/>
        <v/>
      </c>
      <c r="C327" s="556" t="str">
        <f t="shared" si="28"/>
        <v/>
      </c>
      <c r="D327" s="557" t="str">
        <f t="shared" si="29"/>
        <v/>
      </c>
      <c r="E327" s="560"/>
      <c r="F327" s="559"/>
      <c r="G327" s="559" t="str">
        <f t="shared" si="30"/>
        <v/>
      </c>
      <c r="H327" s="559" t="str">
        <f t="shared" si="31"/>
        <v/>
      </c>
      <c r="I327" s="559" t="str">
        <f t="shared" si="32"/>
        <v/>
      </c>
    </row>
    <row r="328" spans="2:9">
      <c r="B328" s="555" t="str">
        <f t="shared" si="27"/>
        <v/>
      </c>
      <c r="C328" s="556" t="str">
        <f t="shared" si="28"/>
        <v/>
      </c>
      <c r="D328" s="557" t="str">
        <f t="shared" si="29"/>
        <v/>
      </c>
      <c r="E328" s="560"/>
      <c r="F328" s="559"/>
      <c r="G328" s="559" t="str">
        <f t="shared" si="30"/>
        <v/>
      </c>
      <c r="H328" s="559" t="str">
        <f t="shared" si="31"/>
        <v/>
      </c>
      <c r="I328" s="559" t="str">
        <f t="shared" si="32"/>
        <v/>
      </c>
    </row>
    <row r="329" spans="2:9">
      <c r="B329" s="555" t="str">
        <f t="shared" si="27"/>
        <v/>
      </c>
      <c r="C329" s="556" t="str">
        <f t="shared" si="28"/>
        <v/>
      </c>
      <c r="D329" s="557" t="str">
        <f t="shared" si="29"/>
        <v/>
      </c>
      <c r="E329" s="560"/>
      <c r="F329" s="559"/>
      <c r="G329" s="559" t="str">
        <f t="shared" si="30"/>
        <v/>
      </c>
      <c r="H329" s="559" t="str">
        <f t="shared" si="31"/>
        <v/>
      </c>
      <c r="I329" s="559" t="str">
        <f t="shared" si="32"/>
        <v/>
      </c>
    </row>
    <row r="330" spans="2:9">
      <c r="B330" s="555" t="str">
        <f t="shared" si="27"/>
        <v/>
      </c>
      <c r="C330" s="556" t="str">
        <f t="shared" si="28"/>
        <v/>
      </c>
      <c r="D330" s="557" t="str">
        <f t="shared" si="29"/>
        <v/>
      </c>
      <c r="E330" s="560"/>
      <c r="F330" s="559"/>
      <c r="G330" s="559" t="str">
        <f t="shared" si="30"/>
        <v/>
      </c>
      <c r="H330" s="559" t="str">
        <f t="shared" si="31"/>
        <v/>
      </c>
      <c r="I330" s="559" t="str">
        <f t="shared" si="32"/>
        <v/>
      </c>
    </row>
    <row r="331" spans="2:9">
      <c r="B331" s="555" t="str">
        <f t="shared" si="27"/>
        <v/>
      </c>
      <c r="C331" s="556" t="str">
        <f t="shared" si="28"/>
        <v/>
      </c>
      <c r="D331" s="557" t="str">
        <f t="shared" si="29"/>
        <v/>
      </c>
      <c r="E331" s="560"/>
      <c r="F331" s="559"/>
      <c r="G331" s="559" t="str">
        <f t="shared" si="30"/>
        <v/>
      </c>
      <c r="H331" s="559" t="str">
        <f t="shared" si="31"/>
        <v/>
      </c>
      <c r="I331" s="559" t="str">
        <f t="shared" si="32"/>
        <v/>
      </c>
    </row>
    <row r="332" spans="2:9">
      <c r="B332" s="555" t="str">
        <f t="shared" si="27"/>
        <v/>
      </c>
      <c r="C332" s="556" t="str">
        <f t="shared" si="28"/>
        <v/>
      </c>
      <c r="D332" s="557" t="str">
        <f t="shared" si="29"/>
        <v/>
      </c>
      <c r="E332" s="560"/>
      <c r="F332" s="559"/>
      <c r="G332" s="559" t="str">
        <f t="shared" si="30"/>
        <v/>
      </c>
      <c r="H332" s="559" t="str">
        <f t="shared" si="31"/>
        <v/>
      </c>
      <c r="I332" s="559" t="str">
        <f t="shared" si="32"/>
        <v/>
      </c>
    </row>
    <row r="333" spans="2:9">
      <c r="B333" s="555" t="str">
        <f t="shared" si="27"/>
        <v/>
      </c>
      <c r="C333" s="556" t="str">
        <f t="shared" si="28"/>
        <v/>
      </c>
      <c r="D333" s="557" t="str">
        <f t="shared" si="29"/>
        <v/>
      </c>
      <c r="E333" s="560"/>
      <c r="F333" s="559"/>
      <c r="G333" s="559" t="str">
        <f t="shared" si="30"/>
        <v/>
      </c>
      <c r="H333" s="559" t="str">
        <f t="shared" si="31"/>
        <v/>
      </c>
      <c r="I333" s="559" t="str">
        <f t="shared" si="32"/>
        <v/>
      </c>
    </row>
    <row r="334" spans="2:9">
      <c r="B334" s="555" t="str">
        <f t="shared" si="27"/>
        <v/>
      </c>
      <c r="C334" s="556" t="str">
        <f t="shared" si="28"/>
        <v/>
      </c>
      <c r="D334" s="557" t="str">
        <f t="shared" si="29"/>
        <v/>
      </c>
      <c r="E334" s="560"/>
      <c r="F334" s="559"/>
      <c r="G334" s="559" t="str">
        <f t="shared" si="30"/>
        <v/>
      </c>
      <c r="H334" s="559" t="str">
        <f t="shared" si="31"/>
        <v/>
      </c>
      <c r="I334" s="559" t="str">
        <f t="shared" si="32"/>
        <v/>
      </c>
    </row>
    <row r="335" spans="2:9">
      <c r="B335" s="555" t="str">
        <f t="shared" si="27"/>
        <v/>
      </c>
      <c r="C335" s="556" t="str">
        <f t="shared" si="28"/>
        <v/>
      </c>
      <c r="D335" s="557" t="str">
        <f t="shared" si="29"/>
        <v/>
      </c>
      <c r="E335" s="560"/>
      <c r="F335" s="559"/>
      <c r="G335" s="559" t="str">
        <f t="shared" si="30"/>
        <v/>
      </c>
      <c r="H335" s="559" t="str">
        <f t="shared" si="31"/>
        <v/>
      </c>
      <c r="I335" s="559" t="str">
        <f t="shared" si="32"/>
        <v/>
      </c>
    </row>
    <row r="336" spans="2:9">
      <c r="B336" s="555" t="str">
        <f t="shared" si="27"/>
        <v/>
      </c>
      <c r="C336" s="556" t="str">
        <f t="shared" si="28"/>
        <v/>
      </c>
      <c r="D336" s="557" t="str">
        <f t="shared" si="29"/>
        <v/>
      </c>
      <c r="E336" s="560"/>
      <c r="F336" s="559"/>
      <c r="G336" s="559" t="str">
        <f t="shared" si="30"/>
        <v/>
      </c>
      <c r="H336" s="559" t="str">
        <f t="shared" si="31"/>
        <v/>
      </c>
      <c r="I336" s="559" t="str">
        <f t="shared" si="32"/>
        <v/>
      </c>
    </row>
    <row r="337" spans="2:9">
      <c r="B337" s="555" t="str">
        <f t="shared" si="27"/>
        <v/>
      </c>
      <c r="C337" s="556" t="str">
        <f t="shared" si="28"/>
        <v/>
      </c>
      <c r="D337" s="557" t="str">
        <f t="shared" si="29"/>
        <v/>
      </c>
      <c r="E337" s="560"/>
      <c r="F337" s="559"/>
      <c r="G337" s="559" t="str">
        <f t="shared" si="30"/>
        <v/>
      </c>
      <c r="H337" s="559" t="str">
        <f t="shared" si="31"/>
        <v/>
      </c>
      <c r="I337" s="559" t="str">
        <f t="shared" si="32"/>
        <v/>
      </c>
    </row>
    <row r="338" spans="2:9">
      <c r="B338" s="555" t="str">
        <f t="shared" si="27"/>
        <v/>
      </c>
      <c r="C338" s="556" t="str">
        <f t="shared" si="28"/>
        <v/>
      </c>
      <c r="D338" s="557" t="str">
        <f t="shared" si="29"/>
        <v/>
      </c>
      <c r="E338" s="560"/>
      <c r="F338" s="559"/>
      <c r="G338" s="559" t="str">
        <f t="shared" si="30"/>
        <v/>
      </c>
      <c r="H338" s="559" t="str">
        <f t="shared" si="31"/>
        <v/>
      </c>
      <c r="I338" s="559" t="str">
        <f t="shared" si="32"/>
        <v/>
      </c>
    </row>
    <row r="339" spans="2:9">
      <c r="B339" s="555" t="str">
        <f t="shared" si="27"/>
        <v/>
      </c>
      <c r="C339" s="556" t="str">
        <f t="shared" si="28"/>
        <v/>
      </c>
      <c r="D339" s="557" t="str">
        <f t="shared" si="29"/>
        <v/>
      </c>
      <c r="E339" s="560"/>
      <c r="F339" s="559"/>
      <c r="G339" s="559" t="str">
        <f t="shared" si="30"/>
        <v/>
      </c>
      <c r="H339" s="559" t="str">
        <f t="shared" si="31"/>
        <v/>
      </c>
      <c r="I339" s="559" t="str">
        <f t="shared" si="32"/>
        <v/>
      </c>
    </row>
    <row r="340" spans="2:9">
      <c r="B340" s="555" t="str">
        <f t="shared" si="27"/>
        <v/>
      </c>
      <c r="C340" s="556" t="str">
        <f t="shared" si="28"/>
        <v/>
      </c>
      <c r="D340" s="557" t="str">
        <f t="shared" si="29"/>
        <v/>
      </c>
      <c r="E340" s="560"/>
      <c r="F340" s="559"/>
      <c r="G340" s="559" t="str">
        <f t="shared" si="30"/>
        <v/>
      </c>
      <c r="H340" s="559" t="str">
        <f t="shared" si="31"/>
        <v/>
      </c>
      <c r="I340" s="559" t="str">
        <f t="shared" si="32"/>
        <v/>
      </c>
    </row>
    <row r="341" spans="2:9">
      <c r="B341" s="555" t="str">
        <f t="shared" si="27"/>
        <v/>
      </c>
      <c r="C341" s="556" t="str">
        <f t="shared" si="28"/>
        <v/>
      </c>
      <c r="D341" s="557" t="str">
        <f t="shared" si="29"/>
        <v/>
      </c>
      <c r="E341" s="560"/>
      <c r="F341" s="559"/>
      <c r="G341" s="559" t="str">
        <f t="shared" si="30"/>
        <v/>
      </c>
      <c r="H341" s="559" t="str">
        <f t="shared" si="31"/>
        <v/>
      </c>
      <c r="I341" s="559" t="str">
        <f t="shared" si="32"/>
        <v/>
      </c>
    </row>
    <row r="342" spans="2:9">
      <c r="B342" s="555" t="str">
        <f t="shared" si="27"/>
        <v/>
      </c>
      <c r="C342" s="556" t="str">
        <f t="shared" si="28"/>
        <v/>
      </c>
      <c r="D342" s="557" t="str">
        <f t="shared" si="29"/>
        <v/>
      </c>
      <c r="E342" s="560"/>
      <c r="F342" s="559"/>
      <c r="G342" s="559" t="str">
        <f t="shared" si="30"/>
        <v/>
      </c>
      <c r="H342" s="559" t="str">
        <f t="shared" si="31"/>
        <v/>
      </c>
      <c r="I342" s="559" t="str">
        <f t="shared" si="32"/>
        <v/>
      </c>
    </row>
    <row r="343" spans="2:9">
      <c r="B343" s="555" t="str">
        <f t="shared" si="27"/>
        <v/>
      </c>
      <c r="C343" s="556" t="str">
        <f t="shared" si="28"/>
        <v/>
      </c>
      <c r="D343" s="557" t="str">
        <f t="shared" si="29"/>
        <v/>
      </c>
      <c r="E343" s="560"/>
      <c r="F343" s="559"/>
      <c r="G343" s="559" t="str">
        <f t="shared" si="30"/>
        <v/>
      </c>
      <c r="H343" s="559" t="str">
        <f t="shared" si="31"/>
        <v/>
      </c>
      <c r="I343" s="559" t="str">
        <f t="shared" si="32"/>
        <v/>
      </c>
    </row>
    <row r="344" spans="2:9">
      <c r="B344" s="555" t="str">
        <f t="shared" si="27"/>
        <v/>
      </c>
      <c r="C344" s="556" t="str">
        <f t="shared" si="28"/>
        <v/>
      </c>
      <c r="D344" s="557" t="str">
        <f t="shared" si="29"/>
        <v/>
      </c>
      <c r="E344" s="560"/>
      <c r="F344" s="559"/>
      <c r="G344" s="559" t="str">
        <f t="shared" si="30"/>
        <v/>
      </c>
      <c r="H344" s="559" t="str">
        <f t="shared" si="31"/>
        <v/>
      </c>
      <c r="I344" s="559" t="str">
        <f t="shared" si="32"/>
        <v/>
      </c>
    </row>
    <row r="345" spans="2:9">
      <c r="B345" s="555" t="str">
        <f t="shared" si="27"/>
        <v/>
      </c>
      <c r="C345" s="556" t="str">
        <f t="shared" si="28"/>
        <v/>
      </c>
      <c r="D345" s="557" t="str">
        <f t="shared" si="29"/>
        <v/>
      </c>
      <c r="E345" s="560"/>
      <c r="F345" s="559"/>
      <c r="G345" s="559" t="str">
        <f t="shared" si="30"/>
        <v/>
      </c>
      <c r="H345" s="559" t="str">
        <f t="shared" si="31"/>
        <v/>
      </c>
      <c r="I345" s="559" t="str">
        <f t="shared" si="32"/>
        <v/>
      </c>
    </row>
    <row r="346" spans="2:9">
      <c r="B346" s="555" t="str">
        <f t="shared" si="27"/>
        <v/>
      </c>
      <c r="C346" s="556" t="str">
        <f t="shared" si="28"/>
        <v/>
      </c>
      <c r="D346" s="557" t="str">
        <f t="shared" si="29"/>
        <v/>
      </c>
      <c r="E346" s="560"/>
      <c r="F346" s="559"/>
      <c r="G346" s="559" t="str">
        <f t="shared" si="30"/>
        <v/>
      </c>
      <c r="H346" s="559" t="str">
        <f t="shared" si="31"/>
        <v/>
      </c>
      <c r="I346" s="559" t="str">
        <f t="shared" si="32"/>
        <v/>
      </c>
    </row>
    <row r="347" spans="2:9">
      <c r="B347" s="555" t="str">
        <f t="shared" si="27"/>
        <v/>
      </c>
      <c r="C347" s="556" t="str">
        <f t="shared" si="28"/>
        <v/>
      </c>
      <c r="D347" s="557" t="str">
        <f t="shared" si="29"/>
        <v/>
      </c>
      <c r="E347" s="560"/>
      <c r="F347" s="559"/>
      <c r="G347" s="559" t="str">
        <f t="shared" si="30"/>
        <v/>
      </c>
      <c r="H347" s="559" t="str">
        <f t="shared" si="31"/>
        <v/>
      </c>
      <c r="I347" s="559" t="str">
        <f t="shared" si="32"/>
        <v/>
      </c>
    </row>
    <row r="348" spans="2:9">
      <c r="B348" s="555" t="str">
        <f t="shared" si="27"/>
        <v/>
      </c>
      <c r="C348" s="556" t="str">
        <f t="shared" si="28"/>
        <v/>
      </c>
      <c r="D348" s="557" t="str">
        <f t="shared" si="29"/>
        <v/>
      </c>
      <c r="E348" s="560"/>
      <c r="F348" s="559"/>
      <c r="G348" s="559" t="str">
        <f t="shared" si="30"/>
        <v/>
      </c>
      <c r="H348" s="559" t="str">
        <f t="shared" si="31"/>
        <v/>
      </c>
      <c r="I348" s="559" t="str">
        <f t="shared" si="32"/>
        <v/>
      </c>
    </row>
    <row r="349" spans="2:9">
      <c r="B349" s="555" t="str">
        <f t="shared" si="27"/>
        <v/>
      </c>
      <c r="C349" s="556" t="str">
        <f t="shared" si="28"/>
        <v/>
      </c>
      <c r="D349" s="557" t="str">
        <f t="shared" si="29"/>
        <v/>
      </c>
      <c r="E349" s="560"/>
      <c r="F349" s="559"/>
      <c r="G349" s="559" t="str">
        <f t="shared" si="30"/>
        <v/>
      </c>
      <c r="H349" s="559" t="str">
        <f t="shared" si="31"/>
        <v/>
      </c>
      <c r="I349" s="559" t="str">
        <f t="shared" si="32"/>
        <v/>
      </c>
    </row>
    <row r="350" spans="2:9">
      <c r="B350" s="555" t="str">
        <f t="shared" si="27"/>
        <v/>
      </c>
      <c r="C350" s="556" t="str">
        <f t="shared" si="28"/>
        <v/>
      </c>
      <c r="D350" s="557" t="str">
        <f t="shared" si="29"/>
        <v/>
      </c>
      <c r="E350" s="560"/>
      <c r="F350" s="559"/>
      <c r="G350" s="559" t="str">
        <f t="shared" si="30"/>
        <v/>
      </c>
      <c r="H350" s="559" t="str">
        <f t="shared" si="31"/>
        <v/>
      </c>
      <c r="I350" s="559" t="str">
        <f t="shared" si="32"/>
        <v/>
      </c>
    </row>
    <row r="351" spans="2:9">
      <c r="B351" s="555" t="str">
        <f t="shared" si="27"/>
        <v/>
      </c>
      <c r="C351" s="556" t="str">
        <f t="shared" si="28"/>
        <v/>
      </c>
      <c r="D351" s="557" t="str">
        <f t="shared" si="29"/>
        <v/>
      </c>
      <c r="E351" s="560"/>
      <c r="F351" s="559"/>
      <c r="G351" s="559" t="str">
        <f t="shared" si="30"/>
        <v/>
      </c>
      <c r="H351" s="559" t="str">
        <f t="shared" si="31"/>
        <v/>
      </c>
      <c r="I351" s="559" t="str">
        <f t="shared" si="32"/>
        <v/>
      </c>
    </row>
    <row r="352" spans="2:9">
      <c r="B352" s="555" t="str">
        <f t="shared" si="27"/>
        <v/>
      </c>
      <c r="C352" s="556" t="str">
        <f t="shared" si="28"/>
        <v/>
      </c>
      <c r="D352" s="557" t="str">
        <f t="shared" si="29"/>
        <v/>
      </c>
      <c r="E352" s="560"/>
      <c r="F352" s="559"/>
      <c r="G352" s="559" t="str">
        <f t="shared" si="30"/>
        <v/>
      </c>
      <c r="H352" s="559" t="str">
        <f t="shared" si="31"/>
        <v/>
      </c>
      <c r="I352" s="559" t="str">
        <f t="shared" si="32"/>
        <v/>
      </c>
    </row>
    <row r="353" spans="2:9">
      <c r="B353" s="555" t="str">
        <f t="shared" si="27"/>
        <v/>
      </c>
      <c r="C353" s="556" t="str">
        <f t="shared" si="28"/>
        <v/>
      </c>
      <c r="D353" s="557" t="str">
        <f t="shared" si="29"/>
        <v/>
      </c>
      <c r="E353" s="560"/>
      <c r="F353" s="559"/>
      <c r="G353" s="559" t="str">
        <f t="shared" si="30"/>
        <v/>
      </c>
      <c r="H353" s="559" t="str">
        <f t="shared" si="31"/>
        <v/>
      </c>
      <c r="I353" s="559" t="str">
        <f t="shared" si="32"/>
        <v/>
      </c>
    </row>
    <row r="354" spans="2:9">
      <c r="B354" s="555" t="str">
        <f t="shared" si="27"/>
        <v/>
      </c>
      <c r="C354" s="556" t="str">
        <f t="shared" si="28"/>
        <v/>
      </c>
      <c r="D354" s="557" t="str">
        <f t="shared" si="29"/>
        <v/>
      </c>
      <c r="E354" s="560"/>
      <c r="F354" s="559"/>
      <c r="G354" s="559" t="str">
        <f t="shared" si="30"/>
        <v/>
      </c>
      <c r="H354" s="559" t="str">
        <f t="shared" si="31"/>
        <v/>
      </c>
      <c r="I354" s="559" t="str">
        <f t="shared" si="32"/>
        <v/>
      </c>
    </row>
    <row r="355" spans="2:9">
      <c r="B355" s="555" t="str">
        <f t="shared" si="27"/>
        <v/>
      </c>
      <c r="C355" s="556" t="str">
        <f t="shared" si="28"/>
        <v/>
      </c>
      <c r="D355" s="557" t="str">
        <f t="shared" si="29"/>
        <v/>
      </c>
      <c r="E355" s="560"/>
      <c r="F355" s="559"/>
      <c r="G355" s="559" t="str">
        <f t="shared" si="30"/>
        <v/>
      </c>
      <c r="H355" s="559" t="str">
        <f t="shared" si="31"/>
        <v/>
      </c>
      <c r="I355" s="559" t="str">
        <f t="shared" si="32"/>
        <v/>
      </c>
    </row>
    <row r="356" spans="2:9">
      <c r="B356" s="555" t="str">
        <f t="shared" si="27"/>
        <v/>
      </c>
      <c r="C356" s="556" t="str">
        <f t="shared" si="28"/>
        <v/>
      </c>
      <c r="D356" s="557" t="str">
        <f t="shared" si="29"/>
        <v/>
      </c>
      <c r="E356" s="560"/>
      <c r="F356" s="559"/>
      <c r="G356" s="559" t="str">
        <f t="shared" si="30"/>
        <v/>
      </c>
      <c r="H356" s="559" t="str">
        <f t="shared" si="31"/>
        <v/>
      </c>
      <c r="I356" s="559" t="str">
        <f t="shared" si="32"/>
        <v/>
      </c>
    </row>
    <row r="357" spans="2:9">
      <c r="B357" s="555" t="str">
        <f t="shared" si="27"/>
        <v/>
      </c>
      <c r="C357" s="556" t="str">
        <f t="shared" si="28"/>
        <v/>
      </c>
      <c r="D357" s="557" t="str">
        <f t="shared" si="29"/>
        <v/>
      </c>
      <c r="E357" s="560"/>
      <c r="F357" s="559"/>
      <c r="G357" s="559" t="str">
        <f t="shared" si="30"/>
        <v/>
      </c>
      <c r="H357" s="559" t="str">
        <f t="shared" si="31"/>
        <v/>
      </c>
      <c r="I357" s="559" t="str">
        <f t="shared" si="32"/>
        <v/>
      </c>
    </row>
    <row r="358" spans="2:9">
      <c r="B358" s="555" t="str">
        <f t="shared" si="27"/>
        <v/>
      </c>
      <c r="C358" s="556" t="str">
        <f t="shared" si="28"/>
        <v/>
      </c>
      <c r="D358" s="557" t="str">
        <f t="shared" si="29"/>
        <v/>
      </c>
      <c r="E358" s="560"/>
      <c r="F358" s="559"/>
      <c r="G358" s="559" t="str">
        <f t="shared" si="30"/>
        <v/>
      </c>
      <c r="H358" s="559" t="str">
        <f t="shared" si="31"/>
        <v/>
      </c>
      <c r="I358" s="559" t="str">
        <f t="shared" si="32"/>
        <v/>
      </c>
    </row>
    <row r="359" spans="2:9">
      <c r="B359" s="555" t="str">
        <f t="shared" si="27"/>
        <v/>
      </c>
      <c r="C359" s="556" t="str">
        <f t="shared" si="28"/>
        <v/>
      </c>
      <c r="D359" s="557" t="str">
        <f t="shared" si="29"/>
        <v/>
      </c>
      <c r="E359" s="560"/>
      <c r="F359" s="559"/>
      <c r="G359" s="559" t="str">
        <f t="shared" si="30"/>
        <v/>
      </c>
      <c r="H359" s="559" t="str">
        <f t="shared" si="31"/>
        <v/>
      </c>
      <c r="I359" s="559" t="str">
        <f t="shared" si="32"/>
        <v/>
      </c>
    </row>
    <row r="360" spans="2:9">
      <c r="B360" s="555" t="str">
        <f t="shared" si="27"/>
        <v/>
      </c>
      <c r="C360" s="556" t="str">
        <f t="shared" si="28"/>
        <v/>
      </c>
      <c r="D360" s="557" t="str">
        <f t="shared" si="29"/>
        <v/>
      </c>
      <c r="E360" s="560"/>
      <c r="F360" s="559"/>
      <c r="G360" s="559" t="str">
        <f t="shared" si="30"/>
        <v/>
      </c>
      <c r="H360" s="559" t="str">
        <f t="shared" si="31"/>
        <v/>
      </c>
      <c r="I360" s="559" t="str">
        <f t="shared" si="32"/>
        <v/>
      </c>
    </row>
    <row r="361" spans="2:9">
      <c r="B361" s="555" t="str">
        <f t="shared" si="27"/>
        <v/>
      </c>
      <c r="C361" s="556" t="str">
        <f t="shared" si="28"/>
        <v/>
      </c>
      <c r="D361" s="557" t="str">
        <f t="shared" si="29"/>
        <v/>
      </c>
      <c r="E361" s="560"/>
      <c r="F361" s="559"/>
      <c r="G361" s="559" t="str">
        <f t="shared" si="30"/>
        <v/>
      </c>
      <c r="H361" s="559" t="str">
        <f t="shared" si="31"/>
        <v/>
      </c>
      <c r="I361" s="559" t="str">
        <f t="shared" si="32"/>
        <v/>
      </c>
    </row>
    <row r="362" spans="2:9">
      <c r="B362" s="555" t="str">
        <f t="shared" si="27"/>
        <v/>
      </c>
      <c r="C362" s="556" t="str">
        <f t="shared" si="28"/>
        <v/>
      </c>
      <c r="D362" s="557" t="str">
        <f t="shared" si="29"/>
        <v/>
      </c>
      <c r="E362" s="560"/>
      <c r="F362" s="559"/>
      <c r="G362" s="559" t="str">
        <f t="shared" si="30"/>
        <v/>
      </c>
      <c r="H362" s="559" t="str">
        <f t="shared" si="31"/>
        <v/>
      </c>
      <c r="I362" s="559" t="str">
        <f t="shared" si="32"/>
        <v/>
      </c>
    </row>
    <row r="363" spans="2:9">
      <c r="B363" s="555" t="str">
        <f t="shared" si="27"/>
        <v/>
      </c>
      <c r="C363" s="556" t="str">
        <f t="shared" si="28"/>
        <v/>
      </c>
      <c r="D363" s="557" t="str">
        <f t="shared" si="29"/>
        <v/>
      </c>
      <c r="E363" s="560"/>
      <c r="F363" s="559"/>
      <c r="G363" s="559" t="str">
        <f t="shared" si="30"/>
        <v/>
      </c>
      <c r="H363" s="559" t="str">
        <f t="shared" si="31"/>
        <v/>
      </c>
      <c r="I363" s="559" t="str">
        <f t="shared" si="32"/>
        <v/>
      </c>
    </row>
    <row r="364" spans="2:9">
      <c r="B364" s="555" t="str">
        <f t="shared" si="27"/>
        <v/>
      </c>
      <c r="C364" s="556" t="str">
        <f t="shared" si="28"/>
        <v/>
      </c>
      <c r="D364" s="557" t="str">
        <f t="shared" si="29"/>
        <v/>
      </c>
      <c r="E364" s="560"/>
      <c r="F364" s="559"/>
      <c r="G364" s="559" t="str">
        <f t="shared" si="30"/>
        <v/>
      </c>
      <c r="H364" s="559" t="str">
        <f t="shared" si="31"/>
        <v/>
      </c>
      <c r="I364" s="559" t="str">
        <f t="shared" si="32"/>
        <v/>
      </c>
    </row>
    <row r="365" spans="2:9">
      <c r="B365" s="555" t="str">
        <f t="shared" si="27"/>
        <v/>
      </c>
      <c r="C365" s="556" t="str">
        <f t="shared" si="28"/>
        <v/>
      </c>
      <c r="D365" s="557" t="str">
        <f t="shared" si="29"/>
        <v/>
      </c>
      <c r="E365" s="560"/>
      <c r="F365" s="559"/>
      <c r="G365" s="559" t="str">
        <f t="shared" si="30"/>
        <v/>
      </c>
      <c r="H365" s="559" t="str">
        <f t="shared" si="31"/>
        <v/>
      </c>
      <c r="I365" s="559" t="str">
        <f t="shared" si="32"/>
        <v/>
      </c>
    </row>
    <row r="366" spans="2:9">
      <c r="B366" s="555" t="str">
        <f t="shared" si="27"/>
        <v/>
      </c>
      <c r="C366" s="556" t="str">
        <f t="shared" si="28"/>
        <v/>
      </c>
      <c r="D366" s="557" t="str">
        <f t="shared" si="29"/>
        <v/>
      </c>
      <c r="E366" s="560"/>
      <c r="F366" s="559"/>
      <c r="G366" s="559" t="str">
        <f t="shared" si="30"/>
        <v/>
      </c>
      <c r="H366" s="559" t="str">
        <f t="shared" si="31"/>
        <v/>
      </c>
      <c r="I366" s="559" t="str">
        <f t="shared" si="32"/>
        <v/>
      </c>
    </row>
    <row r="367" spans="2:9">
      <c r="B367" s="555" t="str">
        <f t="shared" si="27"/>
        <v/>
      </c>
      <c r="C367" s="556" t="str">
        <f t="shared" si="28"/>
        <v/>
      </c>
      <c r="D367" s="557" t="str">
        <f t="shared" si="29"/>
        <v/>
      </c>
      <c r="E367" s="560"/>
      <c r="F367" s="559"/>
      <c r="G367" s="559" t="str">
        <f t="shared" si="30"/>
        <v/>
      </c>
      <c r="H367" s="559" t="str">
        <f t="shared" si="31"/>
        <v/>
      </c>
      <c r="I367" s="559" t="str">
        <f t="shared" si="32"/>
        <v/>
      </c>
    </row>
    <row r="368" spans="2:9">
      <c r="B368" s="555" t="str">
        <f t="shared" si="27"/>
        <v/>
      </c>
      <c r="C368" s="556" t="str">
        <f t="shared" si="28"/>
        <v/>
      </c>
      <c r="D368" s="557" t="str">
        <f t="shared" si="29"/>
        <v/>
      </c>
      <c r="E368" s="560"/>
      <c r="F368" s="559"/>
      <c r="G368" s="559" t="str">
        <f t="shared" si="30"/>
        <v/>
      </c>
      <c r="H368" s="559" t="str">
        <f t="shared" si="31"/>
        <v/>
      </c>
      <c r="I368" s="559" t="str">
        <f t="shared" si="32"/>
        <v/>
      </c>
    </row>
    <row r="369" spans="2:9">
      <c r="B369" s="555" t="str">
        <f t="shared" si="27"/>
        <v/>
      </c>
      <c r="C369" s="556" t="str">
        <f t="shared" si="28"/>
        <v/>
      </c>
      <c r="D369" s="557" t="str">
        <f t="shared" si="29"/>
        <v/>
      </c>
      <c r="E369" s="560"/>
      <c r="F369" s="559"/>
      <c r="G369" s="559" t="str">
        <f t="shared" si="30"/>
        <v/>
      </c>
      <c r="H369" s="559" t="str">
        <f t="shared" si="31"/>
        <v/>
      </c>
      <c r="I369" s="559" t="str">
        <f t="shared" si="32"/>
        <v/>
      </c>
    </row>
    <row r="370" spans="2:9">
      <c r="B370" s="555" t="str">
        <f t="shared" si="27"/>
        <v/>
      </c>
      <c r="C370" s="556" t="str">
        <f t="shared" si="28"/>
        <v/>
      </c>
      <c r="D370" s="557" t="str">
        <f t="shared" si="29"/>
        <v/>
      </c>
      <c r="E370" s="560"/>
      <c r="F370" s="559"/>
      <c r="G370" s="559" t="str">
        <f t="shared" si="30"/>
        <v/>
      </c>
      <c r="H370" s="559" t="str">
        <f t="shared" si="31"/>
        <v/>
      </c>
      <c r="I370" s="559" t="str">
        <f t="shared" si="32"/>
        <v/>
      </c>
    </row>
    <row r="371" spans="2:9">
      <c r="B371" s="555" t="str">
        <f t="shared" si="27"/>
        <v/>
      </c>
      <c r="C371" s="556" t="str">
        <f t="shared" si="28"/>
        <v/>
      </c>
      <c r="D371" s="557" t="str">
        <f t="shared" si="29"/>
        <v/>
      </c>
      <c r="E371" s="560"/>
      <c r="F371" s="559"/>
      <c r="G371" s="559" t="str">
        <f t="shared" si="30"/>
        <v/>
      </c>
      <c r="H371" s="559" t="str">
        <f t="shared" si="31"/>
        <v/>
      </c>
      <c r="I371" s="559" t="str">
        <f t="shared" si="32"/>
        <v/>
      </c>
    </row>
    <row r="372" spans="2:9">
      <c r="B372" s="555" t="str">
        <f t="shared" si="27"/>
        <v/>
      </c>
      <c r="C372" s="556" t="str">
        <f t="shared" si="28"/>
        <v/>
      </c>
      <c r="D372" s="557" t="str">
        <f t="shared" si="29"/>
        <v/>
      </c>
      <c r="E372" s="560"/>
      <c r="F372" s="559"/>
      <c r="G372" s="559" t="str">
        <f t="shared" si="30"/>
        <v/>
      </c>
      <c r="H372" s="559" t="str">
        <f t="shared" si="31"/>
        <v/>
      </c>
      <c r="I372" s="559" t="str">
        <f t="shared" si="32"/>
        <v/>
      </c>
    </row>
    <row r="373" spans="2:9">
      <c r="B373" s="555" t="str">
        <f t="shared" si="27"/>
        <v/>
      </c>
      <c r="C373" s="556" t="str">
        <f t="shared" si="28"/>
        <v/>
      </c>
      <c r="D373" s="557" t="str">
        <f t="shared" si="29"/>
        <v/>
      </c>
      <c r="E373" s="560"/>
      <c r="F373" s="559"/>
      <c r="G373" s="559" t="str">
        <f t="shared" si="30"/>
        <v/>
      </c>
      <c r="H373" s="559" t="str">
        <f t="shared" si="31"/>
        <v/>
      </c>
      <c r="I373" s="559" t="str">
        <f t="shared" si="32"/>
        <v/>
      </c>
    </row>
    <row r="374" spans="2:9">
      <c r="B374" s="555" t="str">
        <f t="shared" si="27"/>
        <v/>
      </c>
      <c r="C374" s="556" t="str">
        <f t="shared" si="28"/>
        <v/>
      </c>
      <c r="D374" s="557" t="str">
        <f t="shared" si="29"/>
        <v/>
      </c>
      <c r="E374" s="560"/>
      <c r="F374" s="559"/>
      <c r="G374" s="559" t="str">
        <f t="shared" si="30"/>
        <v/>
      </c>
      <c r="H374" s="559" t="str">
        <f t="shared" si="31"/>
        <v/>
      </c>
      <c r="I374" s="559" t="str">
        <f t="shared" si="32"/>
        <v/>
      </c>
    </row>
    <row r="375" spans="2:9">
      <c r="B375" s="555" t="str">
        <f t="shared" si="27"/>
        <v/>
      </c>
      <c r="C375" s="556" t="str">
        <f t="shared" si="28"/>
        <v/>
      </c>
      <c r="D375" s="557" t="str">
        <f t="shared" si="29"/>
        <v/>
      </c>
      <c r="E375" s="560"/>
      <c r="F375" s="559"/>
      <c r="G375" s="559" t="str">
        <f t="shared" si="30"/>
        <v/>
      </c>
      <c r="H375" s="559" t="str">
        <f t="shared" si="31"/>
        <v/>
      </c>
      <c r="I375" s="559" t="str">
        <f t="shared" si="32"/>
        <v/>
      </c>
    </row>
    <row r="376" spans="2:9">
      <c r="B376" s="555" t="str">
        <f t="shared" si="27"/>
        <v/>
      </c>
      <c r="C376" s="556" t="str">
        <f t="shared" si="28"/>
        <v/>
      </c>
      <c r="D376" s="557" t="str">
        <f t="shared" si="29"/>
        <v/>
      </c>
      <c r="E376" s="560"/>
      <c r="F376" s="559"/>
      <c r="G376" s="559" t="str">
        <f t="shared" si="30"/>
        <v/>
      </c>
      <c r="H376" s="559" t="str">
        <f t="shared" si="31"/>
        <v/>
      </c>
      <c r="I376" s="559" t="str">
        <f t="shared" si="32"/>
        <v/>
      </c>
    </row>
    <row r="377" spans="2:9">
      <c r="B377" s="555" t="str">
        <f t="shared" si="27"/>
        <v/>
      </c>
      <c r="C377" s="556" t="str">
        <f t="shared" si="28"/>
        <v/>
      </c>
      <c r="D377" s="557" t="str">
        <f t="shared" si="29"/>
        <v/>
      </c>
      <c r="E377" s="560"/>
      <c r="F377" s="559"/>
      <c r="G377" s="559" t="str">
        <f t="shared" si="30"/>
        <v/>
      </c>
      <c r="H377" s="559" t="str">
        <f t="shared" si="31"/>
        <v/>
      </c>
      <c r="I377" s="559" t="str">
        <f t="shared" si="32"/>
        <v/>
      </c>
    </row>
    <row r="378" spans="2:9">
      <c r="B378" s="555" t="str">
        <f t="shared" si="27"/>
        <v/>
      </c>
      <c r="C378" s="556" t="str">
        <f t="shared" si="28"/>
        <v/>
      </c>
      <c r="D378" s="557" t="str">
        <f t="shared" si="29"/>
        <v/>
      </c>
      <c r="E378" s="560"/>
      <c r="F378" s="559"/>
      <c r="G378" s="559" t="str">
        <f t="shared" si="30"/>
        <v/>
      </c>
      <c r="H378" s="559" t="str">
        <f t="shared" si="31"/>
        <v/>
      </c>
      <c r="I378" s="559" t="str">
        <f t="shared" si="32"/>
        <v/>
      </c>
    </row>
    <row r="379" spans="2:9">
      <c r="B379" s="555" t="str">
        <f t="shared" si="27"/>
        <v/>
      </c>
      <c r="C379" s="556" t="str">
        <f t="shared" si="28"/>
        <v/>
      </c>
      <c r="D379" s="557" t="str">
        <f t="shared" si="29"/>
        <v/>
      </c>
      <c r="E379" s="560"/>
      <c r="F379" s="559"/>
      <c r="G379" s="559" t="str">
        <f t="shared" si="30"/>
        <v/>
      </c>
      <c r="H379" s="559" t="str">
        <f t="shared" si="31"/>
        <v/>
      </c>
      <c r="I379" s="559" t="str">
        <f t="shared" si="32"/>
        <v/>
      </c>
    </row>
    <row r="380" spans="2:9">
      <c r="B380" s="555" t="str">
        <f t="shared" si="27"/>
        <v/>
      </c>
      <c r="C380" s="556" t="str">
        <f t="shared" si="28"/>
        <v/>
      </c>
      <c r="D380" s="557" t="str">
        <f t="shared" si="29"/>
        <v/>
      </c>
      <c r="E380" s="560"/>
      <c r="F380" s="559"/>
      <c r="G380" s="559" t="str">
        <f t="shared" si="30"/>
        <v/>
      </c>
      <c r="H380" s="559" t="str">
        <f t="shared" si="31"/>
        <v/>
      </c>
      <c r="I380" s="559" t="str">
        <f t="shared" si="32"/>
        <v/>
      </c>
    </row>
    <row r="381" spans="2:9">
      <c r="B381" s="555" t="str">
        <f t="shared" ref="B381:B444" si="33">IF(I380="","",IF(roundOpt,IF(OR(B380&gt;=nper,ROUND(I380,2)&lt;=0),"",B380+1),IF(OR(B380&gt;=nper,I380&lt;=0),"",B380+1)))</f>
        <v/>
      </c>
      <c r="C381" s="556" t="str">
        <f t="shared" ref="C381:C444" si="34">IF(B381="","",IF(OR(periods_per_year=26,periods_per_year=52),IF(periods_per_year=26,IF(B381=1,fpdate,C380+14),IF(periods_per_year=52,IF(B381=1,fpdate,C380+7),"n/a")),IF(periods_per_year=24,DATE(YEAR(fpdate),MONTH(fpdate)+(B381-1)/2+IF(AND(DAY(fpdate)&gt;=15,MOD(B381,2)=0),1,0),IF(MOD(B381,2)=0,IF(DAY(fpdate)&gt;=15,DAY(fpdate)-14,DAY(fpdate)+14),DAY(fpdate))),IF(DAY(DATE(YEAR(fpdate),MONTH(fpdate)+(B381-1)*months_per_period,DAY(fpdate)))&lt;&gt;DAY(fpdate),DATE(YEAR(fpdate),MONTH(fpdate)+(B381-1)*months_per_period+1,0),DATE(YEAR(fpdate),MONTH(fpdate)+(B381-1)*months_per_period,DAY(fpdate))))))</f>
        <v/>
      </c>
      <c r="D381" s="557" t="str">
        <f t="shared" ref="D381:D444" si="35">IF(B381="","",IF(roundOpt,IF(OR(B381=nper,payment&gt;ROUND((1+rate)*I380,2)),ROUND((1+rate)*I380,2),payment),IF(OR(B381=nper,payment&gt;(1+rate)*I380),(1+rate)*I380,payment)))</f>
        <v/>
      </c>
      <c r="E381" s="560"/>
      <c r="F381" s="559"/>
      <c r="G381" s="559" t="str">
        <f t="shared" ref="G381:G444" si="36">IF(B381="","",IF(AND(B381=1,pmtType=1),0,IF(roundOpt,ROUND(rate*I380,2),rate*I380)))</f>
        <v/>
      </c>
      <c r="H381" s="559" t="str">
        <f t="shared" ref="H381:H444" si="37">IF(B381="","",D381-G381+E381)</f>
        <v/>
      </c>
      <c r="I381" s="559" t="str">
        <f t="shared" ref="I381:I444" si="38">IF(B381="","",I380-H381)</f>
        <v/>
      </c>
    </row>
    <row r="382" spans="2:9">
      <c r="B382" s="555" t="str">
        <f t="shared" si="33"/>
        <v/>
      </c>
      <c r="C382" s="556" t="str">
        <f t="shared" si="34"/>
        <v/>
      </c>
      <c r="D382" s="557" t="str">
        <f t="shared" si="35"/>
        <v/>
      </c>
      <c r="E382" s="560"/>
      <c r="F382" s="559"/>
      <c r="G382" s="559" t="str">
        <f t="shared" si="36"/>
        <v/>
      </c>
      <c r="H382" s="559" t="str">
        <f t="shared" si="37"/>
        <v/>
      </c>
      <c r="I382" s="559" t="str">
        <f t="shared" si="38"/>
        <v/>
      </c>
    </row>
    <row r="383" spans="2:9">
      <c r="B383" s="555" t="str">
        <f t="shared" si="33"/>
        <v/>
      </c>
      <c r="C383" s="556" t="str">
        <f t="shared" si="34"/>
        <v/>
      </c>
      <c r="D383" s="557" t="str">
        <f t="shared" si="35"/>
        <v/>
      </c>
      <c r="E383" s="560"/>
      <c r="F383" s="559"/>
      <c r="G383" s="559" t="str">
        <f t="shared" si="36"/>
        <v/>
      </c>
      <c r="H383" s="559" t="str">
        <f t="shared" si="37"/>
        <v/>
      </c>
      <c r="I383" s="559" t="str">
        <f t="shared" si="38"/>
        <v/>
      </c>
    </row>
    <row r="384" spans="2:9">
      <c r="B384" s="555" t="str">
        <f t="shared" si="33"/>
        <v/>
      </c>
      <c r="C384" s="556" t="str">
        <f t="shared" si="34"/>
        <v/>
      </c>
      <c r="D384" s="557" t="str">
        <f t="shared" si="35"/>
        <v/>
      </c>
      <c r="E384" s="560"/>
      <c r="F384" s="559"/>
      <c r="G384" s="559" t="str">
        <f t="shared" si="36"/>
        <v/>
      </c>
      <c r="H384" s="559" t="str">
        <f t="shared" si="37"/>
        <v/>
      </c>
      <c r="I384" s="559" t="str">
        <f t="shared" si="38"/>
        <v/>
      </c>
    </row>
    <row r="385" spans="2:9">
      <c r="B385" s="555" t="str">
        <f t="shared" si="33"/>
        <v/>
      </c>
      <c r="C385" s="556" t="str">
        <f t="shared" si="34"/>
        <v/>
      </c>
      <c r="D385" s="557" t="str">
        <f t="shared" si="35"/>
        <v/>
      </c>
      <c r="E385" s="560"/>
      <c r="F385" s="559"/>
      <c r="G385" s="559" t="str">
        <f t="shared" si="36"/>
        <v/>
      </c>
      <c r="H385" s="559" t="str">
        <f t="shared" si="37"/>
        <v/>
      </c>
      <c r="I385" s="559" t="str">
        <f t="shared" si="38"/>
        <v/>
      </c>
    </row>
    <row r="386" spans="2:9">
      <c r="B386" s="555" t="str">
        <f t="shared" si="33"/>
        <v/>
      </c>
      <c r="C386" s="556" t="str">
        <f t="shared" si="34"/>
        <v/>
      </c>
      <c r="D386" s="557" t="str">
        <f t="shared" si="35"/>
        <v/>
      </c>
      <c r="E386" s="560"/>
      <c r="F386" s="559"/>
      <c r="G386" s="559" t="str">
        <f t="shared" si="36"/>
        <v/>
      </c>
      <c r="H386" s="559" t="str">
        <f t="shared" si="37"/>
        <v/>
      </c>
      <c r="I386" s="559" t="str">
        <f t="shared" si="38"/>
        <v/>
      </c>
    </row>
    <row r="387" spans="2:9">
      <c r="B387" s="555" t="str">
        <f t="shared" si="33"/>
        <v/>
      </c>
      <c r="C387" s="556" t="str">
        <f t="shared" si="34"/>
        <v/>
      </c>
      <c r="D387" s="557" t="str">
        <f t="shared" si="35"/>
        <v/>
      </c>
      <c r="E387" s="560"/>
      <c r="F387" s="559"/>
      <c r="G387" s="559" t="str">
        <f t="shared" si="36"/>
        <v/>
      </c>
      <c r="H387" s="559" t="str">
        <f t="shared" si="37"/>
        <v/>
      </c>
      <c r="I387" s="559" t="str">
        <f t="shared" si="38"/>
        <v/>
      </c>
    </row>
    <row r="388" spans="2:9">
      <c r="B388" s="555" t="str">
        <f t="shared" si="33"/>
        <v/>
      </c>
      <c r="C388" s="556" t="str">
        <f t="shared" si="34"/>
        <v/>
      </c>
      <c r="D388" s="557" t="str">
        <f t="shared" si="35"/>
        <v/>
      </c>
      <c r="E388" s="560"/>
      <c r="F388" s="559"/>
      <c r="G388" s="559" t="str">
        <f t="shared" si="36"/>
        <v/>
      </c>
      <c r="H388" s="559" t="str">
        <f t="shared" si="37"/>
        <v/>
      </c>
      <c r="I388" s="559" t="str">
        <f t="shared" si="38"/>
        <v/>
      </c>
    </row>
    <row r="389" spans="2:9">
      <c r="B389" s="555" t="str">
        <f t="shared" si="33"/>
        <v/>
      </c>
      <c r="C389" s="556" t="str">
        <f t="shared" si="34"/>
        <v/>
      </c>
      <c r="D389" s="557" t="str">
        <f t="shared" si="35"/>
        <v/>
      </c>
      <c r="E389" s="560"/>
      <c r="F389" s="559"/>
      <c r="G389" s="559" t="str">
        <f t="shared" si="36"/>
        <v/>
      </c>
      <c r="H389" s="559" t="str">
        <f t="shared" si="37"/>
        <v/>
      </c>
      <c r="I389" s="559" t="str">
        <f t="shared" si="38"/>
        <v/>
      </c>
    </row>
    <row r="390" spans="2:9">
      <c r="B390" s="555" t="str">
        <f t="shared" si="33"/>
        <v/>
      </c>
      <c r="C390" s="556" t="str">
        <f t="shared" si="34"/>
        <v/>
      </c>
      <c r="D390" s="557" t="str">
        <f t="shared" si="35"/>
        <v/>
      </c>
      <c r="E390" s="560"/>
      <c r="F390" s="559"/>
      <c r="G390" s="559" t="str">
        <f t="shared" si="36"/>
        <v/>
      </c>
      <c r="H390" s="559" t="str">
        <f t="shared" si="37"/>
        <v/>
      </c>
      <c r="I390" s="559" t="str">
        <f t="shared" si="38"/>
        <v/>
      </c>
    </row>
    <row r="391" spans="2:9">
      <c r="B391" s="555" t="str">
        <f t="shared" si="33"/>
        <v/>
      </c>
      <c r="C391" s="556" t="str">
        <f t="shared" si="34"/>
        <v/>
      </c>
      <c r="D391" s="557" t="str">
        <f t="shared" si="35"/>
        <v/>
      </c>
      <c r="E391" s="560"/>
      <c r="F391" s="559"/>
      <c r="G391" s="559" t="str">
        <f t="shared" si="36"/>
        <v/>
      </c>
      <c r="H391" s="559" t="str">
        <f t="shared" si="37"/>
        <v/>
      </c>
      <c r="I391" s="559" t="str">
        <f t="shared" si="38"/>
        <v/>
      </c>
    </row>
    <row r="392" spans="2:9">
      <c r="B392" s="555" t="str">
        <f t="shared" si="33"/>
        <v/>
      </c>
      <c r="C392" s="556" t="str">
        <f t="shared" si="34"/>
        <v/>
      </c>
      <c r="D392" s="557" t="str">
        <f t="shared" si="35"/>
        <v/>
      </c>
      <c r="E392" s="560"/>
      <c r="F392" s="559"/>
      <c r="G392" s="559" t="str">
        <f t="shared" si="36"/>
        <v/>
      </c>
      <c r="H392" s="559" t="str">
        <f t="shared" si="37"/>
        <v/>
      </c>
      <c r="I392" s="559" t="str">
        <f t="shared" si="38"/>
        <v/>
      </c>
    </row>
    <row r="393" spans="2:9">
      <c r="B393" s="555" t="str">
        <f t="shared" si="33"/>
        <v/>
      </c>
      <c r="C393" s="556" t="str">
        <f t="shared" si="34"/>
        <v/>
      </c>
      <c r="D393" s="557" t="str">
        <f t="shared" si="35"/>
        <v/>
      </c>
      <c r="E393" s="560"/>
      <c r="F393" s="559"/>
      <c r="G393" s="559" t="str">
        <f t="shared" si="36"/>
        <v/>
      </c>
      <c r="H393" s="559" t="str">
        <f t="shared" si="37"/>
        <v/>
      </c>
      <c r="I393" s="559" t="str">
        <f t="shared" si="38"/>
        <v/>
      </c>
    </row>
    <row r="394" spans="2:9">
      <c r="B394" s="555" t="str">
        <f t="shared" si="33"/>
        <v/>
      </c>
      <c r="C394" s="556" t="str">
        <f t="shared" si="34"/>
        <v/>
      </c>
      <c r="D394" s="557" t="str">
        <f t="shared" si="35"/>
        <v/>
      </c>
      <c r="E394" s="560"/>
      <c r="F394" s="559"/>
      <c r="G394" s="559" t="str">
        <f t="shared" si="36"/>
        <v/>
      </c>
      <c r="H394" s="559" t="str">
        <f t="shared" si="37"/>
        <v/>
      </c>
      <c r="I394" s="559" t="str">
        <f t="shared" si="38"/>
        <v/>
      </c>
    </row>
    <row r="395" spans="2:9">
      <c r="B395" s="555" t="str">
        <f t="shared" si="33"/>
        <v/>
      </c>
      <c r="C395" s="556" t="str">
        <f t="shared" si="34"/>
        <v/>
      </c>
      <c r="D395" s="557" t="str">
        <f t="shared" si="35"/>
        <v/>
      </c>
      <c r="E395" s="560"/>
      <c r="F395" s="559"/>
      <c r="G395" s="559" t="str">
        <f t="shared" si="36"/>
        <v/>
      </c>
      <c r="H395" s="559" t="str">
        <f t="shared" si="37"/>
        <v/>
      </c>
      <c r="I395" s="559" t="str">
        <f t="shared" si="38"/>
        <v/>
      </c>
    </row>
    <row r="396" spans="2:9">
      <c r="B396" s="555" t="str">
        <f t="shared" si="33"/>
        <v/>
      </c>
      <c r="C396" s="556" t="str">
        <f t="shared" si="34"/>
        <v/>
      </c>
      <c r="D396" s="557" t="str">
        <f t="shared" si="35"/>
        <v/>
      </c>
      <c r="E396" s="560"/>
      <c r="F396" s="559"/>
      <c r="G396" s="559" t="str">
        <f t="shared" si="36"/>
        <v/>
      </c>
      <c r="H396" s="559" t="str">
        <f t="shared" si="37"/>
        <v/>
      </c>
      <c r="I396" s="559" t="str">
        <f t="shared" si="38"/>
        <v/>
      </c>
    </row>
    <row r="397" spans="2:9">
      <c r="B397" s="555" t="str">
        <f t="shared" si="33"/>
        <v/>
      </c>
      <c r="C397" s="556" t="str">
        <f t="shared" si="34"/>
        <v/>
      </c>
      <c r="D397" s="557" t="str">
        <f t="shared" si="35"/>
        <v/>
      </c>
      <c r="E397" s="560"/>
      <c r="F397" s="559"/>
      <c r="G397" s="559" t="str">
        <f t="shared" si="36"/>
        <v/>
      </c>
      <c r="H397" s="559" t="str">
        <f t="shared" si="37"/>
        <v/>
      </c>
      <c r="I397" s="559" t="str">
        <f t="shared" si="38"/>
        <v/>
      </c>
    </row>
    <row r="398" spans="2:9">
      <c r="B398" s="555" t="str">
        <f t="shared" si="33"/>
        <v/>
      </c>
      <c r="C398" s="556" t="str">
        <f t="shared" si="34"/>
        <v/>
      </c>
      <c r="D398" s="557" t="str">
        <f t="shared" si="35"/>
        <v/>
      </c>
      <c r="E398" s="560"/>
      <c r="F398" s="559"/>
      <c r="G398" s="559" t="str">
        <f t="shared" si="36"/>
        <v/>
      </c>
      <c r="H398" s="559" t="str">
        <f t="shared" si="37"/>
        <v/>
      </c>
      <c r="I398" s="559" t="str">
        <f t="shared" si="38"/>
        <v/>
      </c>
    </row>
    <row r="399" spans="2:9">
      <c r="B399" s="555" t="str">
        <f t="shared" si="33"/>
        <v/>
      </c>
      <c r="C399" s="556" t="str">
        <f t="shared" si="34"/>
        <v/>
      </c>
      <c r="D399" s="557" t="str">
        <f t="shared" si="35"/>
        <v/>
      </c>
      <c r="E399" s="560"/>
      <c r="F399" s="559"/>
      <c r="G399" s="559" t="str">
        <f t="shared" si="36"/>
        <v/>
      </c>
      <c r="H399" s="559" t="str">
        <f t="shared" si="37"/>
        <v/>
      </c>
      <c r="I399" s="559" t="str">
        <f t="shared" si="38"/>
        <v/>
      </c>
    </row>
    <row r="400" spans="2:9">
      <c r="B400" s="555" t="str">
        <f t="shared" si="33"/>
        <v/>
      </c>
      <c r="C400" s="556" t="str">
        <f t="shared" si="34"/>
        <v/>
      </c>
      <c r="D400" s="557" t="str">
        <f t="shared" si="35"/>
        <v/>
      </c>
      <c r="E400" s="560"/>
      <c r="F400" s="559"/>
      <c r="G400" s="559" t="str">
        <f t="shared" si="36"/>
        <v/>
      </c>
      <c r="H400" s="559" t="str">
        <f t="shared" si="37"/>
        <v/>
      </c>
      <c r="I400" s="559" t="str">
        <f t="shared" si="38"/>
        <v/>
      </c>
    </row>
    <row r="401" spans="2:9">
      <c r="B401" s="555" t="str">
        <f t="shared" si="33"/>
        <v/>
      </c>
      <c r="C401" s="556" t="str">
        <f t="shared" si="34"/>
        <v/>
      </c>
      <c r="D401" s="557" t="str">
        <f t="shared" si="35"/>
        <v/>
      </c>
      <c r="E401" s="560"/>
      <c r="F401" s="559"/>
      <c r="G401" s="559" t="str">
        <f t="shared" si="36"/>
        <v/>
      </c>
      <c r="H401" s="559" t="str">
        <f t="shared" si="37"/>
        <v/>
      </c>
      <c r="I401" s="559" t="str">
        <f t="shared" si="38"/>
        <v/>
      </c>
    </row>
    <row r="402" spans="2:9">
      <c r="B402" s="555" t="str">
        <f t="shared" si="33"/>
        <v/>
      </c>
      <c r="C402" s="556" t="str">
        <f t="shared" si="34"/>
        <v/>
      </c>
      <c r="D402" s="557" t="str">
        <f t="shared" si="35"/>
        <v/>
      </c>
      <c r="E402" s="560"/>
      <c r="F402" s="559"/>
      <c r="G402" s="559" t="str">
        <f t="shared" si="36"/>
        <v/>
      </c>
      <c r="H402" s="559" t="str">
        <f t="shared" si="37"/>
        <v/>
      </c>
      <c r="I402" s="559" t="str">
        <f t="shared" si="38"/>
        <v/>
      </c>
    </row>
    <row r="403" spans="2:9">
      <c r="B403" s="555" t="str">
        <f t="shared" si="33"/>
        <v/>
      </c>
      <c r="C403" s="556" t="str">
        <f t="shared" si="34"/>
        <v/>
      </c>
      <c r="D403" s="557" t="str">
        <f t="shared" si="35"/>
        <v/>
      </c>
      <c r="E403" s="560"/>
      <c r="F403" s="559"/>
      <c r="G403" s="559" t="str">
        <f t="shared" si="36"/>
        <v/>
      </c>
      <c r="H403" s="559" t="str">
        <f t="shared" si="37"/>
        <v/>
      </c>
      <c r="I403" s="559" t="str">
        <f t="shared" si="38"/>
        <v/>
      </c>
    </row>
    <row r="404" spans="2:9">
      <c r="B404" s="555" t="str">
        <f t="shared" si="33"/>
        <v/>
      </c>
      <c r="C404" s="556" t="str">
        <f t="shared" si="34"/>
        <v/>
      </c>
      <c r="D404" s="557" t="str">
        <f t="shared" si="35"/>
        <v/>
      </c>
      <c r="E404" s="560"/>
      <c r="F404" s="559"/>
      <c r="G404" s="559" t="str">
        <f t="shared" si="36"/>
        <v/>
      </c>
      <c r="H404" s="559" t="str">
        <f t="shared" si="37"/>
        <v/>
      </c>
      <c r="I404" s="559" t="str">
        <f t="shared" si="38"/>
        <v/>
      </c>
    </row>
    <row r="405" spans="2:9">
      <c r="B405" s="555" t="str">
        <f t="shared" si="33"/>
        <v/>
      </c>
      <c r="C405" s="556" t="str">
        <f t="shared" si="34"/>
        <v/>
      </c>
      <c r="D405" s="557" t="str">
        <f t="shared" si="35"/>
        <v/>
      </c>
      <c r="E405" s="560"/>
      <c r="F405" s="559"/>
      <c r="G405" s="559" t="str">
        <f t="shared" si="36"/>
        <v/>
      </c>
      <c r="H405" s="559" t="str">
        <f t="shared" si="37"/>
        <v/>
      </c>
      <c r="I405" s="559" t="str">
        <f t="shared" si="38"/>
        <v/>
      </c>
    </row>
    <row r="406" spans="2:9">
      <c r="B406" s="555" t="str">
        <f t="shared" si="33"/>
        <v/>
      </c>
      <c r="C406" s="556" t="str">
        <f t="shared" si="34"/>
        <v/>
      </c>
      <c r="D406" s="557" t="str">
        <f t="shared" si="35"/>
        <v/>
      </c>
      <c r="E406" s="560"/>
      <c r="F406" s="559"/>
      <c r="G406" s="559" t="str">
        <f t="shared" si="36"/>
        <v/>
      </c>
      <c r="H406" s="559" t="str">
        <f t="shared" si="37"/>
        <v/>
      </c>
      <c r="I406" s="559" t="str">
        <f t="shared" si="38"/>
        <v/>
      </c>
    </row>
    <row r="407" spans="2:9">
      <c r="B407" s="555" t="str">
        <f t="shared" si="33"/>
        <v/>
      </c>
      <c r="C407" s="556" t="str">
        <f t="shared" si="34"/>
        <v/>
      </c>
      <c r="D407" s="557" t="str">
        <f t="shared" si="35"/>
        <v/>
      </c>
      <c r="E407" s="560"/>
      <c r="F407" s="559"/>
      <c r="G407" s="559" t="str">
        <f t="shared" si="36"/>
        <v/>
      </c>
      <c r="H407" s="559" t="str">
        <f t="shared" si="37"/>
        <v/>
      </c>
      <c r="I407" s="559" t="str">
        <f t="shared" si="38"/>
        <v/>
      </c>
    </row>
    <row r="408" spans="2:9">
      <c r="B408" s="555" t="str">
        <f t="shared" si="33"/>
        <v/>
      </c>
      <c r="C408" s="556" t="str">
        <f t="shared" si="34"/>
        <v/>
      </c>
      <c r="D408" s="557" t="str">
        <f t="shared" si="35"/>
        <v/>
      </c>
      <c r="E408" s="560"/>
      <c r="F408" s="559"/>
      <c r="G408" s="559" t="str">
        <f t="shared" si="36"/>
        <v/>
      </c>
      <c r="H408" s="559" t="str">
        <f t="shared" si="37"/>
        <v/>
      </c>
      <c r="I408" s="559" t="str">
        <f t="shared" si="38"/>
        <v/>
      </c>
    </row>
    <row r="409" spans="2:9">
      <c r="B409" s="555" t="str">
        <f t="shared" si="33"/>
        <v/>
      </c>
      <c r="C409" s="556" t="str">
        <f t="shared" si="34"/>
        <v/>
      </c>
      <c r="D409" s="557" t="str">
        <f t="shared" si="35"/>
        <v/>
      </c>
      <c r="E409" s="560"/>
      <c r="F409" s="559"/>
      <c r="G409" s="559" t="str">
        <f t="shared" si="36"/>
        <v/>
      </c>
      <c r="H409" s="559" t="str">
        <f t="shared" si="37"/>
        <v/>
      </c>
      <c r="I409" s="559" t="str">
        <f t="shared" si="38"/>
        <v/>
      </c>
    </row>
    <row r="410" spans="2:9">
      <c r="B410" s="555" t="str">
        <f t="shared" si="33"/>
        <v/>
      </c>
      <c r="C410" s="556" t="str">
        <f t="shared" si="34"/>
        <v/>
      </c>
      <c r="D410" s="557" t="str">
        <f t="shared" si="35"/>
        <v/>
      </c>
      <c r="E410" s="560"/>
      <c r="F410" s="559"/>
      <c r="G410" s="559" t="str">
        <f t="shared" si="36"/>
        <v/>
      </c>
      <c r="H410" s="559" t="str">
        <f t="shared" si="37"/>
        <v/>
      </c>
      <c r="I410" s="559" t="str">
        <f t="shared" si="38"/>
        <v/>
      </c>
    </row>
    <row r="411" spans="2:9">
      <c r="B411" s="555" t="str">
        <f t="shared" si="33"/>
        <v/>
      </c>
      <c r="C411" s="556" t="str">
        <f t="shared" si="34"/>
        <v/>
      </c>
      <c r="D411" s="557" t="str">
        <f t="shared" si="35"/>
        <v/>
      </c>
      <c r="E411" s="560"/>
      <c r="F411" s="559"/>
      <c r="G411" s="559" t="str">
        <f t="shared" si="36"/>
        <v/>
      </c>
      <c r="H411" s="559" t="str">
        <f t="shared" si="37"/>
        <v/>
      </c>
      <c r="I411" s="559" t="str">
        <f t="shared" si="38"/>
        <v/>
      </c>
    </row>
    <row r="412" spans="2:9">
      <c r="B412" s="555" t="str">
        <f t="shared" si="33"/>
        <v/>
      </c>
      <c r="C412" s="556" t="str">
        <f t="shared" si="34"/>
        <v/>
      </c>
      <c r="D412" s="557" t="str">
        <f t="shared" si="35"/>
        <v/>
      </c>
      <c r="E412" s="560"/>
      <c r="F412" s="559"/>
      <c r="G412" s="559" t="str">
        <f t="shared" si="36"/>
        <v/>
      </c>
      <c r="H412" s="559" t="str">
        <f t="shared" si="37"/>
        <v/>
      </c>
      <c r="I412" s="559" t="str">
        <f t="shared" si="38"/>
        <v/>
      </c>
    </row>
    <row r="413" spans="2:9">
      <c r="B413" s="555" t="str">
        <f t="shared" si="33"/>
        <v/>
      </c>
      <c r="C413" s="556" t="str">
        <f t="shared" si="34"/>
        <v/>
      </c>
      <c r="D413" s="557" t="str">
        <f t="shared" si="35"/>
        <v/>
      </c>
      <c r="E413" s="560"/>
      <c r="F413" s="559"/>
      <c r="G413" s="559" t="str">
        <f t="shared" si="36"/>
        <v/>
      </c>
      <c r="H413" s="559" t="str">
        <f t="shared" si="37"/>
        <v/>
      </c>
      <c r="I413" s="559" t="str">
        <f t="shared" si="38"/>
        <v/>
      </c>
    </row>
    <row r="414" spans="2:9">
      <c r="B414" s="555" t="str">
        <f t="shared" si="33"/>
        <v/>
      </c>
      <c r="C414" s="556" t="str">
        <f t="shared" si="34"/>
        <v/>
      </c>
      <c r="D414" s="557" t="str">
        <f t="shared" si="35"/>
        <v/>
      </c>
      <c r="E414" s="560"/>
      <c r="F414" s="559"/>
      <c r="G414" s="559" t="str">
        <f t="shared" si="36"/>
        <v/>
      </c>
      <c r="H414" s="559" t="str">
        <f t="shared" si="37"/>
        <v/>
      </c>
      <c r="I414" s="559" t="str">
        <f t="shared" si="38"/>
        <v/>
      </c>
    </row>
    <row r="415" spans="2:9">
      <c r="B415" s="555" t="str">
        <f t="shared" si="33"/>
        <v/>
      </c>
      <c r="C415" s="556" t="str">
        <f t="shared" si="34"/>
        <v/>
      </c>
      <c r="D415" s="557" t="str">
        <f t="shared" si="35"/>
        <v/>
      </c>
      <c r="E415" s="560"/>
      <c r="F415" s="559"/>
      <c r="G415" s="559" t="str">
        <f t="shared" si="36"/>
        <v/>
      </c>
      <c r="H415" s="559" t="str">
        <f t="shared" si="37"/>
        <v/>
      </c>
      <c r="I415" s="559" t="str">
        <f t="shared" si="38"/>
        <v/>
      </c>
    </row>
    <row r="416" spans="2:9">
      <c r="B416" s="555" t="str">
        <f t="shared" si="33"/>
        <v/>
      </c>
      <c r="C416" s="556" t="str">
        <f t="shared" si="34"/>
        <v/>
      </c>
      <c r="D416" s="557" t="str">
        <f t="shared" si="35"/>
        <v/>
      </c>
      <c r="E416" s="560"/>
      <c r="F416" s="559"/>
      <c r="G416" s="559" t="str">
        <f t="shared" si="36"/>
        <v/>
      </c>
      <c r="H416" s="559" t="str">
        <f t="shared" si="37"/>
        <v/>
      </c>
      <c r="I416" s="559" t="str">
        <f t="shared" si="38"/>
        <v/>
      </c>
    </row>
    <row r="417" spans="2:9">
      <c r="B417" s="555" t="str">
        <f t="shared" si="33"/>
        <v/>
      </c>
      <c r="C417" s="556" t="str">
        <f t="shared" si="34"/>
        <v/>
      </c>
      <c r="D417" s="557" t="str">
        <f t="shared" si="35"/>
        <v/>
      </c>
      <c r="E417" s="560"/>
      <c r="F417" s="559"/>
      <c r="G417" s="559" t="str">
        <f t="shared" si="36"/>
        <v/>
      </c>
      <c r="H417" s="559" t="str">
        <f t="shared" si="37"/>
        <v/>
      </c>
      <c r="I417" s="559" t="str">
        <f t="shared" si="38"/>
        <v/>
      </c>
    </row>
    <row r="418" spans="2:9">
      <c r="B418" s="555" t="str">
        <f t="shared" si="33"/>
        <v/>
      </c>
      <c r="C418" s="556" t="str">
        <f t="shared" si="34"/>
        <v/>
      </c>
      <c r="D418" s="557" t="str">
        <f t="shared" si="35"/>
        <v/>
      </c>
      <c r="E418" s="560"/>
      <c r="F418" s="559"/>
      <c r="G418" s="559" t="str">
        <f t="shared" si="36"/>
        <v/>
      </c>
      <c r="H418" s="559" t="str">
        <f t="shared" si="37"/>
        <v/>
      </c>
      <c r="I418" s="559" t="str">
        <f t="shared" si="38"/>
        <v/>
      </c>
    </row>
    <row r="419" spans="2:9">
      <c r="B419" s="555" t="str">
        <f t="shared" si="33"/>
        <v/>
      </c>
      <c r="C419" s="556" t="str">
        <f t="shared" si="34"/>
        <v/>
      </c>
      <c r="D419" s="557" t="str">
        <f t="shared" si="35"/>
        <v/>
      </c>
      <c r="E419" s="560"/>
      <c r="F419" s="559"/>
      <c r="G419" s="559" t="str">
        <f t="shared" si="36"/>
        <v/>
      </c>
      <c r="H419" s="559" t="str">
        <f t="shared" si="37"/>
        <v/>
      </c>
      <c r="I419" s="559" t="str">
        <f t="shared" si="38"/>
        <v/>
      </c>
    </row>
    <row r="420" spans="2:9">
      <c r="B420" s="555" t="str">
        <f t="shared" si="33"/>
        <v/>
      </c>
      <c r="C420" s="556" t="str">
        <f t="shared" si="34"/>
        <v/>
      </c>
      <c r="D420" s="557" t="str">
        <f t="shared" si="35"/>
        <v/>
      </c>
      <c r="E420" s="560"/>
      <c r="F420" s="559"/>
      <c r="G420" s="559" t="str">
        <f t="shared" si="36"/>
        <v/>
      </c>
      <c r="H420" s="559" t="str">
        <f t="shared" si="37"/>
        <v/>
      </c>
      <c r="I420" s="559" t="str">
        <f t="shared" si="38"/>
        <v/>
      </c>
    </row>
    <row r="421" spans="2:9">
      <c r="B421" s="555" t="str">
        <f t="shared" si="33"/>
        <v/>
      </c>
      <c r="C421" s="556" t="str">
        <f t="shared" si="34"/>
        <v/>
      </c>
      <c r="D421" s="557" t="str">
        <f t="shared" si="35"/>
        <v/>
      </c>
      <c r="E421" s="560"/>
      <c r="F421" s="559"/>
      <c r="G421" s="559" t="str">
        <f t="shared" si="36"/>
        <v/>
      </c>
      <c r="H421" s="559" t="str">
        <f t="shared" si="37"/>
        <v/>
      </c>
      <c r="I421" s="559" t="str">
        <f t="shared" si="38"/>
        <v/>
      </c>
    </row>
    <row r="422" spans="2:9">
      <c r="B422" s="555" t="str">
        <f t="shared" si="33"/>
        <v/>
      </c>
      <c r="C422" s="556" t="str">
        <f t="shared" si="34"/>
        <v/>
      </c>
      <c r="D422" s="557" t="str">
        <f t="shared" si="35"/>
        <v/>
      </c>
      <c r="E422" s="560"/>
      <c r="F422" s="559"/>
      <c r="G422" s="559" t="str">
        <f t="shared" si="36"/>
        <v/>
      </c>
      <c r="H422" s="559" t="str">
        <f t="shared" si="37"/>
        <v/>
      </c>
      <c r="I422" s="559" t="str">
        <f t="shared" si="38"/>
        <v/>
      </c>
    </row>
    <row r="423" spans="2:9">
      <c r="B423" s="555" t="str">
        <f t="shared" si="33"/>
        <v/>
      </c>
      <c r="C423" s="556" t="str">
        <f t="shared" si="34"/>
        <v/>
      </c>
      <c r="D423" s="557" t="str">
        <f t="shared" si="35"/>
        <v/>
      </c>
      <c r="E423" s="560"/>
      <c r="F423" s="559"/>
      <c r="G423" s="559" t="str">
        <f t="shared" si="36"/>
        <v/>
      </c>
      <c r="H423" s="559" t="str">
        <f t="shared" si="37"/>
        <v/>
      </c>
      <c r="I423" s="559" t="str">
        <f t="shared" si="38"/>
        <v/>
      </c>
    </row>
    <row r="424" spans="2:9">
      <c r="B424" s="555" t="str">
        <f t="shared" si="33"/>
        <v/>
      </c>
      <c r="C424" s="556" t="str">
        <f t="shared" si="34"/>
        <v/>
      </c>
      <c r="D424" s="557" t="str">
        <f t="shared" si="35"/>
        <v/>
      </c>
      <c r="E424" s="560"/>
      <c r="F424" s="559"/>
      <c r="G424" s="559" t="str">
        <f t="shared" si="36"/>
        <v/>
      </c>
      <c r="H424" s="559" t="str">
        <f t="shared" si="37"/>
        <v/>
      </c>
      <c r="I424" s="559" t="str">
        <f t="shared" si="38"/>
        <v/>
      </c>
    </row>
    <row r="425" spans="2:9">
      <c r="B425" s="555" t="str">
        <f t="shared" si="33"/>
        <v/>
      </c>
      <c r="C425" s="556" t="str">
        <f t="shared" si="34"/>
        <v/>
      </c>
      <c r="D425" s="557" t="str">
        <f t="shared" si="35"/>
        <v/>
      </c>
      <c r="E425" s="560"/>
      <c r="F425" s="559"/>
      <c r="G425" s="559" t="str">
        <f t="shared" si="36"/>
        <v/>
      </c>
      <c r="H425" s="559" t="str">
        <f t="shared" si="37"/>
        <v/>
      </c>
      <c r="I425" s="559" t="str">
        <f t="shared" si="38"/>
        <v/>
      </c>
    </row>
    <row r="426" spans="2:9">
      <c r="B426" s="555" t="str">
        <f t="shared" si="33"/>
        <v/>
      </c>
      <c r="C426" s="556" t="str">
        <f t="shared" si="34"/>
        <v/>
      </c>
      <c r="D426" s="557" t="str">
        <f t="shared" si="35"/>
        <v/>
      </c>
      <c r="E426" s="560"/>
      <c r="F426" s="559"/>
      <c r="G426" s="559" t="str">
        <f t="shared" si="36"/>
        <v/>
      </c>
      <c r="H426" s="559" t="str">
        <f t="shared" si="37"/>
        <v/>
      </c>
      <c r="I426" s="559" t="str">
        <f t="shared" si="38"/>
        <v/>
      </c>
    </row>
    <row r="427" spans="2:9">
      <c r="B427" s="555" t="str">
        <f t="shared" si="33"/>
        <v/>
      </c>
      <c r="C427" s="556" t="str">
        <f t="shared" si="34"/>
        <v/>
      </c>
      <c r="D427" s="557" t="str">
        <f t="shared" si="35"/>
        <v/>
      </c>
      <c r="E427" s="560"/>
      <c r="F427" s="559"/>
      <c r="G427" s="559" t="str">
        <f t="shared" si="36"/>
        <v/>
      </c>
      <c r="H427" s="559" t="str">
        <f t="shared" si="37"/>
        <v/>
      </c>
      <c r="I427" s="559" t="str">
        <f t="shared" si="38"/>
        <v/>
      </c>
    </row>
    <row r="428" spans="2:9">
      <c r="B428" s="555" t="str">
        <f t="shared" si="33"/>
        <v/>
      </c>
      <c r="C428" s="556" t="str">
        <f t="shared" si="34"/>
        <v/>
      </c>
      <c r="D428" s="557" t="str">
        <f t="shared" si="35"/>
        <v/>
      </c>
      <c r="E428" s="560"/>
      <c r="F428" s="559"/>
      <c r="G428" s="559" t="str">
        <f t="shared" si="36"/>
        <v/>
      </c>
      <c r="H428" s="559" t="str">
        <f t="shared" si="37"/>
        <v/>
      </c>
      <c r="I428" s="559" t="str">
        <f t="shared" si="38"/>
        <v/>
      </c>
    </row>
    <row r="429" spans="2:9">
      <c r="B429" s="555" t="str">
        <f t="shared" si="33"/>
        <v/>
      </c>
      <c r="C429" s="556" t="str">
        <f t="shared" si="34"/>
        <v/>
      </c>
      <c r="D429" s="557" t="str">
        <f t="shared" si="35"/>
        <v/>
      </c>
      <c r="E429" s="560"/>
      <c r="F429" s="559"/>
      <c r="G429" s="559" t="str">
        <f t="shared" si="36"/>
        <v/>
      </c>
      <c r="H429" s="559" t="str">
        <f t="shared" si="37"/>
        <v/>
      </c>
      <c r="I429" s="559" t="str">
        <f t="shared" si="38"/>
        <v/>
      </c>
    </row>
    <row r="430" spans="2:9">
      <c r="B430" s="555" t="str">
        <f t="shared" si="33"/>
        <v/>
      </c>
      <c r="C430" s="556" t="str">
        <f t="shared" si="34"/>
        <v/>
      </c>
      <c r="D430" s="557" t="str">
        <f t="shared" si="35"/>
        <v/>
      </c>
      <c r="E430" s="560"/>
      <c r="F430" s="559"/>
      <c r="G430" s="559" t="str">
        <f t="shared" si="36"/>
        <v/>
      </c>
      <c r="H430" s="559" t="str">
        <f t="shared" si="37"/>
        <v/>
      </c>
      <c r="I430" s="559" t="str">
        <f t="shared" si="38"/>
        <v/>
      </c>
    </row>
    <row r="431" spans="2:9">
      <c r="B431" s="555" t="str">
        <f t="shared" si="33"/>
        <v/>
      </c>
      <c r="C431" s="556" t="str">
        <f t="shared" si="34"/>
        <v/>
      </c>
      <c r="D431" s="557" t="str">
        <f t="shared" si="35"/>
        <v/>
      </c>
      <c r="E431" s="560"/>
      <c r="F431" s="559"/>
      <c r="G431" s="559" t="str">
        <f t="shared" si="36"/>
        <v/>
      </c>
      <c r="H431" s="559" t="str">
        <f t="shared" si="37"/>
        <v/>
      </c>
      <c r="I431" s="559" t="str">
        <f t="shared" si="38"/>
        <v/>
      </c>
    </row>
    <row r="432" spans="2:9">
      <c r="B432" s="555" t="str">
        <f t="shared" si="33"/>
        <v/>
      </c>
      <c r="C432" s="556" t="str">
        <f t="shared" si="34"/>
        <v/>
      </c>
      <c r="D432" s="557" t="str">
        <f t="shared" si="35"/>
        <v/>
      </c>
      <c r="E432" s="560"/>
      <c r="F432" s="559"/>
      <c r="G432" s="559" t="str">
        <f t="shared" si="36"/>
        <v/>
      </c>
      <c r="H432" s="559" t="str">
        <f t="shared" si="37"/>
        <v/>
      </c>
      <c r="I432" s="559" t="str">
        <f t="shared" si="38"/>
        <v/>
      </c>
    </row>
    <row r="433" spans="2:9">
      <c r="B433" s="555" t="str">
        <f t="shared" si="33"/>
        <v/>
      </c>
      <c r="C433" s="556" t="str">
        <f t="shared" si="34"/>
        <v/>
      </c>
      <c r="D433" s="557" t="str">
        <f t="shared" si="35"/>
        <v/>
      </c>
      <c r="E433" s="560"/>
      <c r="F433" s="559"/>
      <c r="G433" s="559" t="str">
        <f t="shared" si="36"/>
        <v/>
      </c>
      <c r="H433" s="559" t="str">
        <f t="shared" si="37"/>
        <v/>
      </c>
      <c r="I433" s="559" t="str">
        <f t="shared" si="38"/>
        <v/>
      </c>
    </row>
    <row r="434" spans="2:9">
      <c r="B434" s="555" t="str">
        <f t="shared" si="33"/>
        <v/>
      </c>
      <c r="C434" s="556" t="str">
        <f t="shared" si="34"/>
        <v/>
      </c>
      <c r="D434" s="557" t="str">
        <f t="shared" si="35"/>
        <v/>
      </c>
      <c r="E434" s="560"/>
      <c r="F434" s="559"/>
      <c r="G434" s="559" t="str">
        <f t="shared" si="36"/>
        <v/>
      </c>
      <c r="H434" s="559" t="str">
        <f t="shared" si="37"/>
        <v/>
      </c>
      <c r="I434" s="559" t="str">
        <f t="shared" si="38"/>
        <v/>
      </c>
    </row>
    <row r="435" spans="2:9">
      <c r="B435" s="555" t="str">
        <f t="shared" si="33"/>
        <v/>
      </c>
      <c r="C435" s="556" t="str">
        <f t="shared" si="34"/>
        <v/>
      </c>
      <c r="D435" s="557" t="str">
        <f t="shared" si="35"/>
        <v/>
      </c>
      <c r="E435" s="560"/>
      <c r="F435" s="559"/>
      <c r="G435" s="559" t="str">
        <f t="shared" si="36"/>
        <v/>
      </c>
      <c r="H435" s="559" t="str">
        <f t="shared" si="37"/>
        <v/>
      </c>
      <c r="I435" s="559" t="str">
        <f t="shared" si="38"/>
        <v/>
      </c>
    </row>
    <row r="436" spans="2:9">
      <c r="B436" s="555" t="str">
        <f t="shared" si="33"/>
        <v/>
      </c>
      <c r="C436" s="556" t="str">
        <f t="shared" si="34"/>
        <v/>
      </c>
      <c r="D436" s="557" t="str">
        <f t="shared" si="35"/>
        <v/>
      </c>
      <c r="E436" s="560"/>
      <c r="F436" s="559"/>
      <c r="G436" s="559" t="str">
        <f t="shared" si="36"/>
        <v/>
      </c>
      <c r="H436" s="559" t="str">
        <f t="shared" si="37"/>
        <v/>
      </c>
      <c r="I436" s="559" t="str">
        <f t="shared" si="38"/>
        <v/>
      </c>
    </row>
    <row r="437" spans="2:9">
      <c r="B437" s="555" t="str">
        <f t="shared" si="33"/>
        <v/>
      </c>
      <c r="C437" s="556" t="str">
        <f t="shared" si="34"/>
        <v/>
      </c>
      <c r="D437" s="557" t="str">
        <f t="shared" si="35"/>
        <v/>
      </c>
      <c r="E437" s="560"/>
      <c r="F437" s="559"/>
      <c r="G437" s="559" t="str">
        <f t="shared" si="36"/>
        <v/>
      </c>
      <c r="H437" s="559" t="str">
        <f t="shared" si="37"/>
        <v/>
      </c>
      <c r="I437" s="559" t="str">
        <f t="shared" si="38"/>
        <v/>
      </c>
    </row>
    <row r="438" spans="2:9">
      <c r="B438" s="555" t="str">
        <f t="shared" si="33"/>
        <v/>
      </c>
      <c r="C438" s="556" t="str">
        <f t="shared" si="34"/>
        <v/>
      </c>
      <c r="D438" s="557" t="str">
        <f t="shared" si="35"/>
        <v/>
      </c>
      <c r="E438" s="560"/>
      <c r="F438" s="559"/>
      <c r="G438" s="559" t="str">
        <f t="shared" si="36"/>
        <v/>
      </c>
      <c r="H438" s="559" t="str">
        <f t="shared" si="37"/>
        <v/>
      </c>
      <c r="I438" s="559" t="str">
        <f t="shared" si="38"/>
        <v/>
      </c>
    </row>
    <row r="439" spans="2:9">
      <c r="B439" s="555" t="str">
        <f t="shared" si="33"/>
        <v/>
      </c>
      <c r="C439" s="556" t="str">
        <f t="shared" si="34"/>
        <v/>
      </c>
      <c r="D439" s="557" t="str">
        <f t="shared" si="35"/>
        <v/>
      </c>
      <c r="E439" s="560"/>
      <c r="F439" s="559"/>
      <c r="G439" s="559" t="str">
        <f t="shared" si="36"/>
        <v/>
      </c>
      <c r="H439" s="559" t="str">
        <f t="shared" si="37"/>
        <v/>
      </c>
      <c r="I439" s="559" t="str">
        <f t="shared" si="38"/>
        <v/>
      </c>
    </row>
    <row r="440" spans="2:9">
      <c r="B440" s="555" t="str">
        <f t="shared" si="33"/>
        <v/>
      </c>
      <c r="C440" s="556" t="str">
        <f t="shared" si="34"/>
        <v/>
      </c>
      <c r="D440" s="557" t="str">
        <f t="shared" si="35"/>
        <v/>
      </c>
      <c r="E440" s="560"/>
      <c r="F440" s="559"/>
      <c r="G440" s="559" t="str">
        <f t="shared" si="36"/>
        <v/>
      </c>
      <c r="H440" s="559" t="str">
        <f t="shared" si="37"/>
        <v/>
      </c>
      <c r="I440" s="559" t="str">
        <f t="shared" si="38"/>
        <v/>
      </c>
    </row>
    <row r="441" spans="2:9">
      <c r="B441" s="555" t="str">
        <f t="shared" si="33"/>
        <v/>
      </c>
      <c r="C441" s="556" t="str">
        <f t="shared" si="34"/>
        <v/>
      </c>
      <c r="D441" s="557" t="str">
        <f t="shared" si="35"/>
        <v/>
      </c>
      <c r="E441" s="560"/>
      <c r="F441" s="559"/>
      <c r="G441" s="559" t="str">
        <f t="shared" si="36"/>
        <v/>
      </c>
      <c r="H441" s="559" t="str">
        <f t="shared" si="37"/>
        <v/>
      </c>
      <c r="I441" s="559" t="str">
        <f t="shared" si="38"/>
        <v/>
      </c>
    </row>
    <row r="442" spans="2:9">
      <c r="B442" s="555" t="str">
        <f t="shared" si="33"/>
        <v/>
      </c>
      <c r="C442" s="556" t="str">
        <f t="shared" si="34"/>
        <v/>
      </c>
      <c r="D442" s="557" t="str">
        <f t="shared" si="35"/>
        <v/>
      </c>
      <c r="E442" s="560"/>
      <c r="F442" s="559"/>
      <c r="G442" s="559" t="str">
        <f t="shared" si="36"/>
        <v/>
      </c>
      <c r="H442" s="559" t="str">
        <f t="shared" si="37"/>
        <v/>
      </c>
      <c r="I442" s="559" t="str">
        <f t="shared" si="38"/>
        <v/>
      </c>
    </row>
    <row r="443" spans="2:9">
      <c r="B443" s="555" t="str">
        <f t="shared" si="33"/>
        <v/>
      </c>
      <c r="C443" s="556" t="str">
        <f t="shared" si="34"/>
        <v/>
      </c>
      <c r="D443" s="557" t="str">
        <f t="shared" si="35"/>
        <v/>
      </c>
      <c r="E443" s="560"/>
      <c r="F443" s="559"/>
      <c r="G443" s="559" t="str">
        <f t="shared" si="36"/>
        <v/>
      </c>
      <c r="H443" s="559" t="str">
        <f t="shared" si="37"/>
        <v/>
      </c>
      <c r="I443" s="559" t="str">
        <f t="shared" si="38"/>
        <v/>
      </c>
    </row>
    <row r="444" spans="2:9">
      <c r="B444" s="555" t="str">
        <f t="shared" si="33"/>
        <v/>
      </c>
      <c r="C444" s="556" t="str">
        <f t="shared" si="34"/>
        <v/>
      </c>
      <c r="D444" s="557" t="str">
        <f t="shared" si="35"/>
        <v/>
      </c>
      <c r="E444" s="560"/>
      <c r="F444" s="559"/>
      <c r="G444" s="559" t="str">
        <f t="shared" si="36"/>
        <v/>
      </c>
      <c r="H444" s="559" t="str">
        <f t="shared" si="37"/>
        <v/>
      </c>
      <c r="I444" s="559" t="str">
        <f t="shared" si="38"/>
        <v/>
      </c>
    </row>
    <row r="445" spans="2:9">
      <c r="B445" s="555" t="str">
        <f t="shared" ref="B445:B508" si="39">IF(I444="","",IF(roundOpt,IF(OR(B444&gt;=nper,ROUND(I444,2)&lt;=0),"",B444+1),IF(OR(B444&gt;=nper,I444&lt;=0),"",B444+1)))</f>
        <v/>
      </c>
      <c r="C445" s="556" t="str">
        <f t="shared" ref="C445:C508" si="40">IF(B445="","",IF(OR(periods_per_year=26,periods_per_year=52),IF(periods_per_year=26,IF(B445=1,fpdate,C444+14),IF(periods_per_year=52,IF(B445=1,fpdate,C444+7),"n/a")),IF(periods_per_year=24,DATE(YEAR(fpdate),MONTH(fpdate)+(B445-1)/2+IF(AND(DAY(fpdate)&gt;=15,MOD(B445,2)=0),1,0),IF(MOD(B445,2)=0,IF(DAY(fpdate)&gt;=15,DAY(fpdate)-14,DAY(fpdate)+14),DAY(fpdate))),IF(DAY(DATE(YEAR(fpdate),MONTH(fpdate)+(B445-1)*months_per_period,DAY(fpdate)))&lt;&gt;DAY(fpdate),DATE(YEAR(fpdate),MONTH(fpdate)+(B445-1)*months_per_period+1,0),DATE(YEAR(fpdate),MONTH(fpdate)+(B445-1)*months_per_period,DAY(fpdate))))))</f>
        <v/>
      </c>
      <c r="D445" s="557" t="str">
        <f t="shared" ref="D445:D508" si="41">IF(B445="","",IF(roundOpt,IF(OR(B445=nper,payment&gt;ROUND((1+rate)*I444,2)),ROUND((1+rate)*I444,2),payment),IF(OR(B445=nper,payment&gt;(1+rate)*I444),(1+rate)*I444,payment)))</f>
        <v/>
      </c>
      <c r="E445" s="560"/>
      <c r="F445" s="559"/>
      <c r="G445" s="559" t="str">
        <f t="shared" ref="G445:G508" si="42">IF(B445="","",IF(AND(B445=1,pmtType=1),0,IF(roundOpt,ROUND(rate*I444,2),rate*I444)))</f>
        <v/>
      </c>
      <c r="H445" s="559" t="str">
        <f t="shared" ref="H445:H508" si="43">IF(B445="","",D445-G445+E445)</f>
        <v/>
      </c>
      <c r="I445" s="559" t="str">
        <f t="shared" ref="I445:I508" si="44">IF(B445="","",I444-H445)</f>
        <v/>
      </c>
    </row>
    <row r="446" spans="2:9">
      <c r="B446" s="555" t="str">
        <f t="shared" si="39"/>
        <v/>
      </c>
      <c r="C446" s="556" t="str">
        <f t="shared" si="40"/>
        <v/>
      </c>
      <c r="D446" s="557" t="str">
        <f t="shared" si="41"/>
        <v/>
      </c>
      <c r="E446" s="560"/>
      <c r="F446" s="559"/>
      <c r="G446" s="559" t="str">
        <f t="shared" si="42"/>
        <v/>
      </c>
      <c r="H446" s="559" t="str">
        <f t="shared" si="43"/>
        <v/>
      </c>
      <c r="I446" s="559" t="str">
        <f t="shared" si="44"/>
        <v/>
      </c>
    </row>
    <row r="447" spans="2:9">
      <c r="B447" s="555" t="str">
        <f t="shared" si="39"/>
        <v/>
      </c>
      <c r="C447" s="556" t="str">
        <f t="shared" si="40"/>
        <v/>
      </c>
      <c r="D447" s="557" t="str">
        <f t="shared" si="41"/>
        <v/>
      </c>
      <c r="E447" s="560"/>
      <c r="F447" s="559"/>
      <c r="G447" s="559" t="str">
        <f t="shared" si="42"/>
        <v/>
      </c>
      <c r="H447" s="559" t="str">
        <f t="shared" si="43"/>
        <v/>
      </c>
      <c r="I447" s="559" t="str">
        <f t="shared" si="44"/>
        <v/>
      </c>
    </row>
    <row r="448" spans="2:9">
      <c r="B448" s="555" t="str">
        <f t="shared" si="39"/>
        <v/>
      </c>
      <c r="C448" s="556" t="str">
        <f t="shared" si="40"/>
        <v/>
      </c>
      <c r="D448" s="557" t="str">
        <f t="shared" si="41"/>
        <v/>
      </c>
      <c r="E448" s="560"/>
      <c r="F448" s="559"/>
      <c r="G448" s="559" t="str">
        <f t="shared" si="42"/>
        <v/>
      </c>
      <c r="H448" s="559" t="str">
        <f t="shared" si="43"/>
        <v/>
      </c>
      <c r="I448" s="559" t="str">
        <f t="shared" si="44"/>
        <v/>
      </c>
    </row>
    <row r="449" spans="2:9">
      <c r="B449" s="555" t="str">
        <f t="shared" si="39"/>
        <v/>
      </c>
      <c r="C449" s="556" t="str">
        <f t="shared" si="40"/>
        <v/>
      </c>
      <c r="D449" s="557" t="str">
        <f t="shared" si="41"/>
        <v/>
      </c>
      <c r="E449" s="560"/>
      <c r="F449" s="559"/>
      <c r="G449" s="559" t="str">
        <f t="shared" si="42"/>
        <v/>
      </c>
      <c r="H449" s="559" t="str">
        <f t="shared" si="43"/>
        <v/>
      </c>
      <c r="I449" s="559" t="str">
        <f t="shared" si="44"/>
        <v/>
      </c>
    </row>
    <row r="450" spans="2:9">
      <c r="B450" s="555" t="str">
        <f t="shared" si="39"/>
        <v/>
      </c>
      <c r="C450" s="556" t="str">
        <f t="shared" si="40"/>
        <v/>
      </c>
      <c r="D450" s="557" t="str">
        <f t="shared" si="41"/>
        <v/>
      </c>
      <c r="E450" s="560"/>
      <c r="F450" s="559"/>
      <c r="G450" s="559" t="str">
        <f t="shared" si="42"/>
        <v/>
      </c>
      <c r="H450" s="559" t="str">
        <f t="shared" si="43"/>
        <v/>
      </c>
      <c r="I450" s="559" t="str">
        <f t="shared" si="44"/>
        <v/>
      </c>
    </row>
    <row r="451" spans="2:9">
      <c r="B451" s="555" t="str">
        <f t="shared" si="39"/>
        <v/>
      </c>
      <c r="C451" s="556" t="str">
        <f t="shared" si="40"/>
        <v/>
      </c>
      <c r="D451" s="557" t="str">
        <f t="shared" si="41"/>
        <v/>
      </c>
      <c r="E451" s="560"/>
      <c r="F451" s="559"/>
      <c r="G451" s="559" t="str">
        <f t="shared" si="42"/>
        <v/>
      </c>
      <c r="H451" s="559" t="str">
        <f t="shared" si="43"/>
        <v/>
      </c>
      <c r="I451" s="559" t="str">
        <f t="shared" si="44"/>
        <v/>
      </c>
    </row>
    <row r="452" spans="2:9">
      <c r="B452" s="555" t="str">
        <f t="shared" si="39"/>
        <v/>
      </c>
      <c r="C452" s="556" t="str">
        <f t="shared" si="40"/>
        <v/>
      </c>
      <c r="D452" s="557" t="str">
        <f t="shared" si="41"/>
        <v/>
      </c>
      <c r="E452" s="560"/>
      <c r="F452" s="559"/>
      <c r="G452" s="559" t="str">
        <f t="shared" si="42"/>
        <v/>
      </c>
      <c r="H452" s="559" t="str">
        <f t="shared" si="43"/>
        <v/>
      </c>
      <c r="I452" s="559" t="str">
        <f t="shared" si="44"/>
        <v/>
      </c>
    </row>
    <row r="453" spans="2:9">
      <c r="B453" s="555" t="str">
        <f t="shared" si="39"/>
        <v/>
      </c>
      <c r="C453" s="556" t="str">
        <f t="shared" si="40"/>
        <v/>
      </c>
      <c r="D453" s="557" t="str">
        <f t="shared" si="41"/>
        <v/>
      </c>
      <c r="E453" s="560"/>
      <c r="F453" s="559"/>
      <c r="G453" s="559" t="str">
        <f t="shared" si="42"/>
        <v/>
      </c>
      <c r="H453" s="559" t="str">
        <f t="shared" si="43"/>
        <v/>
      </c>
      <c r="I453" s="559" t="str">
        <f t="shared" si="44"/>
        <v/>
      </c>
    </row>
    <row r="454" spans="2:9">
      <c r="B454" s="555" t="str">
        <f t="shared" si="39"/>
        <v/>
      </c>
      <c r="C454" s="556" t="str">
        <f t="shared" si="40"/>
        <v/>
      </c>
      <c r="D454" s="557" t="str">
        <f t="shared" si="41"/>
        <v/>
      </c>
      <c r="E454" s="560"/>
      <c r="F454" s="559"/>
      <c r="G454" s="559" t="str">
        <f t="shared" si="42"/>
        <v/>
      </c>
      <c r="H454" s="559" t="str">
        <f t="shared" si="43"/>
        <v/>
      </c>
      <c r="I454" s="559" t="str">
        <f t="shared" si="44"/>
        <v/>
      </c>
    </row>
    <row r="455" spans="2:9">
      <c r="B455" s="555" t="str">
        <f t="shared" si="39"/>
        <v/>
      </c>
      <c r="C455" s="556" t="str">
        <f t="shared" si="40"/>
        <v/>
      </c>
      <c r="D455" s="557" t="str">
        <f t="shared" si="41"/>
        <v/>
      </c>
      <c r="E455" s="560"/>
      <c r="F455" s="559"/>
      <c r="G455" s="559" t="str">
        <f t="shared" si="42"/>
        <v/>
      </c>
      <c r="H455" s="559" t="str">
        <f t="shared" si="43"/>
        <v/>
      </c>
      <c r="I455" s="559" t="str">
        <f t="shared" si="44"/>
        <v/>
      </c>
    </row>
    <row r="456" spans="2:9">
      <c r="B456" s="555" t="str">
        <f t="shared" si="39"/>
        <v/>
      </c>
      <c r="C456" s="556" t="str">
        <f t="shared" si="40"/>
        <v/>
      </c>
      <c r="D456" s="557" t="str">
        <f t="shared" si="41"/>
        <v/>
      </c>
      <c r="E456" s="560"/>
      <c r="F456" s="559"/>
      <c r="G456" s="559" t="str">
        <f t="shared" si="42"/>
        <v/>
      </c>
      <c r="H456" s="559" t="str">
        <f t="shared" si="43"/>
        <v/>
      </c>
      <c r="I456" s="559" t="str">
        <f t="shared" si="44"/>
        <v/>
      </c>
    </row>
    <row r="457" spans="2:9">
      <c r="B457" s="555" t="str">
        <f t="shared" si="39"/>
        <v/>
      </c>
      <c r="C457" s="556" t="str">
        <f t="shared" si="40"/>
        <v/>
      </c>
      <c r="D457" s="557" t="str">
        <f t="shared" si="41"/>
        <v/>
      </c>
      <c r="E457" s="560"/>
      <c r="F457" s="559"/>
      <c r="G457" s="559" t="str">
        <f t="shared" si="42"/>
        <v/>
      </c>
      <c r="H457" s="559" t="str">
        <f t="shared" si="43"/>
        <v/>
      </c>
      <c r="I457" s="559" t="str">
        <f t="shared" si="44"/>
        <v/>
      </c>
    </row>
    <row r="458" spans="2:9">
      <c r="B458" s="555" t="str">
        <f t="shared" si="39"/>
        <v/>
      </c>
      <c r="C458" s="556" t="str">
        <f t="shared" si="40"/>
        <v/>
      </c>
      <c r="D458" s="557" t="str">
        <f t="shared" si="41"/>
        <v/>
      </c>
      <c r="E458" s="560"/>
      <c r="F458" s="559"/>
      <c r="G458" s="559" t="str">
        <f t="shared" si="42"/>
        <v/>
      </c>
      <c r="H458" s="559" t="str">
        <f t="shared" si="43"/>
        <v/>
      </c>
      <c r="I458" s="559" t="str">
        <f t="shared" si="44"/>
        <v/>
      </c>
    </row>
    <row r="459" spans="2:9">
      <c r="B459" s="555" t="str">
        <f t="shared" si="39"/>
        <v/>
      </c>
      <c r="C459" s="556" t="str">
        <f t="shared" si="40"/>
        <v/>
      </c>
      <c r="D459" s="557" t="str">
        <f t="shared" si="41"/>
        <v/>
      </c>
      <c r="E459" s="560"/>
      <c r="F459" s="559"/>
      <c r="G459" s="559" t="str">
        <f t="shared" si="42"/>
        <v/>
      </c>
      <c r="H459" s="559" t="str">
        <f t="shared" si="43"/>
        <v/>
      </c>
      <c r="I459" s="559" t="str">
        <f t="shared" si="44"/>
        <v/>
      </c>
    </row>
    <row r="460" spans="2:9">
      <c r="B460" s="555" t="str">
        <f t="shared" si="39"/>
        <v/>
      </c>
      <c r="C460" s="556" t="str">
        <f t="shared" si="40"/>
        <v/>
      </c>
      <c r="D460" s="557" t="str">
        <f t="shared" si="41"/>
        <v/>
      </c>
      <c r="E460" s="560"/>
      <c r="F460" s="559"/>
      <c r="G460" s="559" t="str">
        <f t="shared" si="42"/>
        <v/>
      </c>
      <c r="H460" s="559" t="str">
        <f t="shared" si="43"/>
        <v/>
      </c>
      <c r="I460" s="559" t="str">
        <f t="shared" si="44"/>
        <v/>
      </c>
    </row>
    <row r="461" spans="2:9">
      <c r="B461" s="555" t="str">
        <f t="shared" si="39"/>
        <v/>
      </c>
      <c r="C461" s="556" t="str">
        <f t="shared" si="40"/>
        <v/>
      </c>
      <c r="D461" s="557" t="str">
        <f t="shared" si="41"/>
        <v/>
      </c>
      <c r="E461" s="560"/>
      <c r="F461" s="559"/>
      <c r="G461" s="559" t="str">
        <f t="shared" si="42"/>
        <v/>
      </c>
      <c r="H461" s="559" t="str">
        <f t="shared" si="43"/>
        <v/>
      </c>
      <c r="I461" s="559" t="str">
        <f t="shared" si="44"/>
        <v/>
      </c>
    </row>
    <row r="462" spans="2:9">
      <c r="B462" s="555" t="str">
        <f t="shared" si="39"/>
        <v/>
      </c>
      <c r="C462" s="556" t="str">
        <f t="shared" si="40"/>
        <v/>
      </c>
      <c r="D462" s="557" t="str">
        <f t="shared" si="41"/>
        <v/>
      </c>
      <c r="E462" s="560"/>
      <c r="F462" s="559"/>
      <c r="G462" s="559" t="str">
        <f t="shared" si="42"/>
        <v/>
      </c>
      <c r="H462" s="559" t="str">
        <f t="shared" si="43"/>
        <v/>
      </c>
      <c r="I462" s="559" t="str">
        <f t="shared" si="44"/>
        <v/>
      </c>
    </row>
    <row r="463" spans="2:9">
      <c r="B463" s="555" t="str">
        <f t="shared" si="39"/>
        <v/>
      </c>
      <c r="C463" s="556" t="str">
        <f t="shared" si="40"/>
        <v/>
      </c>
      <c r="D463" s="557" t="str">
        <f t="shared" si="41"/>
        <v/>
      </c>
      <c r="E463" s="560"/>
      <c r="F463" s="559"/>
      <c r="G463" s="559" t="str">
        <f t="shared" si="42"/>
        <v/>
      </c>
      <c r="H463" s="559" t="str">
        <f t="shared" si="43"/>
        <v/>
      </c>
      <c r="I463" s="559" t="str">
        <f t="shared" si="44"/>
        <v/>
      </c>
    </row>
    <row r="464" spans="2:9">
      <c r="B464" s="555" t="str">
        <f t="shared" si="39"/>
        <v/>
      </c>
      <c r="C464" s="556" t="str">
        <f t="shared" si="40"/>
        <v/>
      </c>
      <c r="D464" s="557" t="str">
        <f t="shared" si="41"/>
        <v/>
      </c>
      <c r="E464" s="560"/>
      <c r="F464" s="559"/>
      <c r="G464" s="559" t="str">
        <f t="shared" si="42"/>
        <v/>
      </c>
      <c r="H464" s="559" t="str">
        <f t="shared" si="43"/>
        <v/>
      </c>
      <c r="I464" s="559" t="str">
        <f t="shared" si="44"/>
        <v/>
      </c>
    </row>
    <row r="465" spans="2:9">
      <c r="B465" s="555" t="str">
        <f t="shared" si="39"/>
        <v/>
      </c>
      <c r="C465" s="556" t="str">
        <f t="shared" si="40"/>
        <v/>
      </c>
      <c r="D465" s="557" t="str">
        <f t="shared" si="41"/>
        <v/>
      </c>
      <c r="E465" s="560"/>
      <c r="F465" s="559"/>
      <c r="G465" s="559" t="str">
        <f t="shared" si="42"/>
        <v/>
      </c>
      <c r="H465" s="559" t="str">
        <f t="shared" si="43"/>
        <v/>
      </c>
      <c r="I465" s="559" t="str">
        <f t="shared" si="44"/>
        <v/>
      </c>
    </row>
    <row r="466" spans="2:9">
      <c r="B466" s="555" t="str">
        <f t="shared" si="39"/>
        <v/>
      </c>
      <c r="C466" s="556" t="str">
        <f t="shared" si="40"/>
        <v/>
      </c>
      <c r="D466" s="557" t="str">
        <f t="shared" si="41"/>
        <v/>
      </c>
      <c r="E466" s="560"/>
      <c r="F466" s="559"/>
      <c r="G466" s="559" t="str">
        <f t="shared" si="42"/>
        <v/>
      </c>
      <c r="H466" s="559" t="str">
        <f t="shared" si="43"/>
        <v/>
      </c>
      <c r="I466" s="559" t="str">
        <f t="shared" si="44"/>
        <v/>
      </c>
    </row>
    <row r="467" spans="2:9">
      <c r="B467" s="555" t="str">
        <f t="shared" si="39"/>
        <v/>
      </c>
      <c r="C467" s="556" t="str">
        <f t="shared" si="40"/>
        <v/>
      </c>
      <c r="D467" s="557" t="str">
        <f t="shared" si="41"/>
        <v/>
      </c>
      <c r="E467" s="560"/>
      <c r="F467" s="559"/>
      <c r="G467" s="559" t="str">
        <f t="shared" si="42"/>
        <v/>
      </c>
      <c r="H467" s="559" t="str">
        <f t="shared" si="43"/>
        <v/>
      </c>
      <c r="I467" s="559" t="str">
        <f t="shared" si="44"/>
        <v/>
      </c>
    </row>
    <row r="468" spans="2:9">
      <c r="B468" s="555" t="str">
        <f t="shared" si="39"/>
        <v/>
      </c>
      <c r="C468" s="556" t="str">
        <f t="shared" si="40"/>
        <v/>
      </c>
      <c r="D468" s="557" t="str">
        <f t="shared" si="41"/>
        <v/>
      </c>
      <c r="E468" s="560"/>
      <c r="F468" s="559"/>
      <c r="G468" s="559" t="str">
        <f t="shared" si="42"/>
        <v/>
      </c>
      <c r="H468" s="559" t="str">
        <f t="shared" si="43"/>
        <v/>
      </c>
      <c r="I468" s="559" t="str">
        <f t="shared" si="44"/>
        <v/>
      </c>
    </row>
    <row r="469" spans="2:9">
      <c r="B469" s="555" t="str">
        <f t="shared" si="39"/>
        <v/>
      </c>
      <c r="C469" s="556" t="str">
        <f t="shared" si="40"/>
        <v/>
      </c>
      <c r="D469" s="557" t="str">
        <f t="shared" si="41"/>
        <v/>
      </c>
      <c r="E469" s="560"/>
      <c r="F469" s="559"/>
      <c r="G469" s="559" t="str">
        <f t="shared" si="42"/>
        <v/>
      </c>
      <c r="H469" s="559" t="str">
        <f t="shared" si="43"/>
        <v/>
      </c>
      <c r="I469" s="559" t="str">
        <f t="shared" si="44"/>
        <v/>
      </c>
    </row>
    <row r="470" spans="2:9">
      <c r="B470" s="555" t="str">
        <f t="shared" si="39"/>
        <v/>
      </c>
      <c r="C470" s="556" t="str">
        <f t="shared" si="40"/>
        <v/>
      </c>
      <c r="D470" s="557" t="str">
        <f t="shared" si="41"/>
        <v/>
      </c>
      <c r="E470" s="560"/>
      <c r="F470" s="559"/>
      <c r="G470" s="559" t="str">
        <f t="shared" si="42"/>
        <v/>
      </c>
      <c r="H470" s="559" t="str">
        <f t="shared" si="43"/>
        <v/>
      </c>
      <c r="I470" s="559" t="str">
        <f t="shared" si="44"/>
        <v/>
      </c>
    </row>
    <row r="471" spans="2:9">
      <c r="B471" s="555" t="str">
        <f t="shared" si="39"/>
        <v/>
      </c>
      <c r="C471" s="556" t="str">
        <f t="shared" si="40"/>
        <v/>
      </c>
      <c r="D471" s="557" t="str">
        <f t="shared" si="41"/>
        <v/>
      </c>
      <c r="E471" s="560"/>
      <c r="F471" s="559"/>
      <c r="G471" s="559" t="str">
        <f t="shared" si="42"/>
        <v/>
      </c>
      <c r="H471" s="559" t="str">
        <f t="shared" si="43"/>
        <v/>
      </c>
      <c r="I471" s="559" t="str">
        <f t="shared" si="44"/>
        <v/>
      </c>
    </row>
    <row r="472" spans="2:9">
      <c r="B472" s="555" t="str">
        <f t="shared" si="39"/>
        <v/>
      </c>
      <c r="C472" s="556" t="str">
        <f t="shared" si="40"/>
        <v/>
      </c>
      <c r="D472" s="557" t="str">
        <f t="shared" si="41"/>
        <v/>
      </c>
      <c r="E472" s="560"/>
      <c r="F472" s="559"/>
      <c r="G472" s="559" t="str">
        <f t="shared" si="42"/>
        <v/>
      </c>
      <c r="H472" s="559" t="str">
        <f t="shared" si="43"/>
        <v/>
      </c>
      <c r="I472" s="559" t="str">
        <f t="shared" si="44"/>
        <v/>
      </c>
    </row>
    <row r="473" spans="2:9">
      <c r="B473" s="555" t="str">
        <f t="shared" si="39"/>
        <v/>
      </c>
      <c r="C473" s="556" t="str">
        <f t="shared" si="40"/>
        <v/>
      </c>
      <c r="D473" s="557" t="str">
        <f t="shared" si="41"/>
        <v/>
      </c>
      <c r="E473" s="560"/>
      <c r="F473" s="559"/>
      <c r="G473" s="559" t="str">
        <f t="shared" si="42"/>
        <v/>
      </c>
      <c r="H473" s="559" t="str">
        <f t="shared" si="43"/>
        <v/>
      </c>
      <c r="I473" s="559" t="str">
        <f t="shared" si="44"/>
        <v/>
      </c>
    </row>
    <row r="474" spans="2:9">
      <c r="B474" s="555" t="str">
        <f t="shared" si="39"/>
        <v/>
      </c>
      <c r="C474" s="556" t="str">
        <f t="shared" si="40"/>
        <v/>
      </c>
      <c r="D474" s="557" t="str">
        <f t="shared" si="41"/>
        <v/>
      </c>
      <c r="E474" s="560"/>
      <c r="F474" s="559"/>
      <c r="G474" s="559" t="str">
        <f t="shared" si="42"/>
        <v/>
      </c>
      <c r="H474" s="559" t="str">
        <f t="shared" si="43"/>
        <v/>
      </c>
      <c r="I474" s="559" t="str">
        <f t="shared" si="44"/>
        <v/>
      </c>
    </row>
    <row r="475" spans="2:9">
      <c r="B475" s="555" t="str">
        <f t="shared" si="39"/>
        <v/>
      </c>
      <c r="C475" s="556" t="str">
        <f t="shared" si="40"/>
        <v/>
      </c>
      <c r="D475" s="557" t="str">
        <f t="shared" si="41"/>
        <v/>
      </c>
      <c r="E475" s="560"/>
      <c r="F475" s="559"/>
      <c r="G475" s="559" t="str">
        <f t="shared" si="42"/>
        <v/>
      </c>
      <c r="H475" s="559" t="str">
        <f t="shared" si="43"/>
        <v/>
      </c>
      <c r="I475" s="559" t="str">
        <f t="shared" si="44"/>
        <v/>
      </c>
    </row>
    <row r="476" spans="2:9">
      <c r="B476" s="555" t="str">
        <f t="shared" si="39"/>
        <v/>
      </c>
      <c r="C476" s="556" t="str">
        <f t="shared" si="40"/>
        <v/>
      </c>
      <c r="D476" s="557" t="str">
        <f t="shared" si="41"/>
        <v/>
      </c>
      <c r="E476" s="560"/>
      <c r="F476" s="559"/>
      <c r="G476" s="559" t="str">
        <f t="shared" si="42"/>
        <v/>
      </c>
      <c r="H476" s="559" t="str">
        <f t="shared" si="43"/>
        <v/>
      </c>
      <c r="I476" s="559" t="str">
        <f t="shared" si="44"/>
        <v/>
      </c>
    </row>
    <row r="477" spans="2:9">
      <c r="B477" s="555" t="str">
        <f t="shared" si="39"/>
        <v/>
      </c>
      <c r="C477" s="556" t="str">
        <f t="shared" si="40"/>
        <v/>
      </c>
      <c r="D477" s="557" t="str">
        <f t="shared" si="41"/>
        <v/>
      </c>
      <c r="E477" s="560"/>
      <c r="F477" s="559"/>
      <c r="G477" s="559" t="str">
        <f t="shared" si="42"/>
        <v/>
      </c>
      <c r="H477" s="559" t="str">
        <f t="shared" si="43"/>
        <v/>
      </c>
      <c r="I477" s="559" t="str">
        <f t="shared" si="44"/>
        <v/>
      </c>
    </row>
    <row r="478" spans="2:9">
      <c r="B478" s="555" t="str">
        <f t="shared" si="39"/>
        <v/>
      </c>
      <c r="C478" s="556" t="str">
        <f t="shared" si="40"/>
        <v/>
      </c>
      <c r="D478" s="557" t="str">
        <f t="shared" si="41"/>
        <v/>
      </c>
      <c r="E478" s="560"/>
      <c r="F478" s="559"/>
      <c r="G478" s="559" t="str">
        <f t="shared" si="42"/>
        <v/>
      </c>
      <c r="H478" s="559" t="str">
        <f t="shared" si="43"/>
        <v/>
      </c>
      <c r="I478" s="559" t="str">
        <f t="shared" si="44"/>
        <v/>
      </c>
    </row>
    <row r="479" spans="2:9">
      <c r="B479" s="555" t="str">
        <f t="shared" si="39"/>
        <v/>
      </c>
      <c r="C479" s="556" t="str">
        <f t="shared" si="40"/>
        <v/>
      </c>
      <c r="D479" s="557" t="str">
        <f t="shared" si="41"/>
        <v/>
      </c>
      <c r="E479" s="560"/>
      <c r="F479" s="559"/>
      <c r="G479" s="559" t="str">
        <f t="shared" si="42"/>
        <v/>
      </c>
      <c r="H479" s="559" t="str">
        <f t="shared" si="43"/>
        <v/>
      </c>
      <c r="I479" s="559" t="str">
        <f t="shared" si="44"/>
        <v/>
      </c>
    </row>
    <row r="480" spans="2:9">
      <c r="B480" s="555" t="str">
        <f t="shared" si="39"/>
        <v/>
      </c>
      <c r="C480" s="556" t="str">
        <f t="shared" si="40"/>
        <v/>
      </c>
      <c r="D480" s="557" t="str">
        <f t="shared" si="41"/>
        <v/>
      </c>
      <c r="E480" s="560"/>
      <c r="F480" s="559"/>
      <c r="G480" s="559" t="str">
        <f t="shared" si="42"/>
        <v/>
      </c>
      <c r="H480" s="559" t="str">
        <f t="shared" si="43"/>
        <v/>
      </c>
      <c r="I480" s="559" t="str">
        <f t="shared" si="44"/>
        <v/>
      </c>
    </row>
    <row r="481" spans="2:9">
      <c r="B481" s="555" t="str">
        <f t="shared" si="39"/>
        <v/>
      </c>
      <c r="C481" s="556" t="str">
        <f t="shared" si="40"/>
        <v/>
      </c>
      <c r="D481" s="557" t="str">
        <f t="shared" si="41"/>
        <v/>
      </c>
      <c r="E481" s="560"/>
      <c r="F481" s="559"/>
      <c r="G481" s="559" t="str">
        <f t="shared" si="42"/>
        <v/>
      </c>
      <c r="H481" s="559" t="str">
        <f t="shared" si="43"/>
        <v/>
      </c>
      <c r="I481" s="559" t="str">
        <f t="shared" si="44"/>
        <v/>
      </c>
    </row>
    <row r="482" spans="2:9">
      <c r="B482" s="555" t="str">
        <f t="shared" si="39"/>
        <v/>
      </c>
      <c r="C482" s="556" t="str">
        <f t="shared" si="40"/>
        <v/>
      </c>
      <c r="D482" s="557" t="str">
        <f t="shared" si="41"/>
        <v/>
      </c>
      <c r="E482" s="560"/>
      <c r="F482" s="559"/>
      <c r="G482" s="559" t="str">
        <f t="shared" si="42"/>
        <v/>
      </c>
      <c r="H482" s="559" t="str">
        <f t="shared" si="43"/>
        <v/>
      </c>
      <c r="I482" s="559" t="str">
        <f t="shared" si="44"/>
        <v/>
      </c>
    </row>
    <row r="483" spans="2:9">
      <c r="B483" s="555" t="str">
        <f t="shared" si="39"/>
        <v/>
      </c>
      <c r="C483" s="556" t="str">
        <f t="shared" si="40"/>
        <v/>
      </c>
      <c r="D483" s="557" t="str">
        <f t="shared" si="41"/>
        <v/>
      </c>
      <c r="E483" s="560"/>
      <c r="F483" s="559"/>
      <c r="G483" s="559" t="str">
        <f t="shared" si="42"/>
        <v/>
      </c>
      <c r="H483" s="559" t="str">
        <f t="shared" si="43"/>
        <v/>
      </c>
      <c r="I483" s="559" t="str">
        <f t="shared" si="44"/>
        <v/>
      </c>
    </row>
    <row r="484" spans="2:9">
      <c r="B484" s="555" t="str">
        <f t="shared" si="39"/>
        <v/>
      </c>
      <c r="C484" s="556" t="str">
        <f t="shared" si="40"/>
        <v/>
      </c>
      <c r="D484" s="557" t="str">
        <f t="shared" si="41"/>
        <v/>
      </c>
      <c r="E484" s="560"/>
      <c r="F484" s="559"/>
      <c r="G484" s="559" t="str">
        <f t="shared" si="42"/>
        <v/>
      </c>
      <c r="H484" s="559" t="str">
        <f t="shared" si="43"/>
        <v/>
      </c>
      <c r="I484" s="559" t="str">
        <f t="shared" si="44"/>
        <v/>
      </c>
    </row>
    <row r="485" spans="2:9">
      <c r="B485" s="555" t="str">
        <f t="shared" si="39"/>
        <v/>
      </c>
      <c r="C485" s="556" t="str">
        <f t="shared" si="40"/>
        <v/>
      </c>
      <c r="D485" s="557" t="str">
        <f t="shared" si="41"/>
        <v/>
      </c>
      <c r="E485" s="560"/>
      <c r="F485" s="559"/>
      <c r="G485" s="559" t="str">
        <f t="shared" si="42"/>
        <v/>
      </c>
      <c r="H485" s="559" t="str">
        <f t="shared" si="43"/>
        <v/>
      </c>
      <c r="I485" s="559" t="str">
        <f t="shared" si="44"/>
        <v/>
      </c>
    </row>
    <row r="486" spans="2:9">
      <c r="B486" s="555" t="str">
        <f t="shared" si="39"/>
        <v/>
      </c>
      <c r="C486" s="556" t="str">
        <f t="shared" si="40"/>
        <v/>
      </c>
      <c r="D486" s="557" t="str">
        <f t="shared" si="41"/>
        <v/>
      </c>
      <c r="E486" s="560"/>
      <c r="F486" s="559"/>
      <c r="G486" s="559" t="str">
        <f t="shared" si="42"/>
        <v/>
      </c>
      <c r="H486" s="559" t="str">
        <f t="shared" si="43"/>
        <v/>
      </c>
      <c r="I486" s="559" t="str">
        <f t="shared" si="44"/>
        <v/>
      </c>
    </row>
    <row r="487" spans="2:9">
      <c r="B487" s="555" t="str">
        <f t="shared" si="39"/>
        <v/>
      </c>
      <c r="C487" s="556" t="str">
        <f t="shared" si="40"/>
        <v/>
      </c>
      <c r="D487" s="557" t="str">
        <f t="shared" si="41"/>
        <v/>
      </c>
      <c r="E487" s="560"/>
      <c r="F487" s="559"/>
      <c r="G487" s="559" t="str">
        <f t="shared" si="42"/>
        <v/>
      </c>
      <c r="H487" s="559" t="str">
        <f t="shared" si="43"/>
        <v/>
      </c>
      <c r="I487" s="559" t="str">
        <f t="shared" si="44"/>
        <v/>
      </c>
    </row>
    <row r="488" spans="2:9">
      <c r="B488" s="555" t="str">
        <f t="shared" si="39"/>
        <v/>
      </c>
      <c r="C488" s="556" t="str">
        <f t="shared" si="40"/>
        <v/>
      </c>
      <c r="D488" s="557" t="str">
        <f t="shared" si="41"/>
        <v/>
      </c>
      <c r="E488" s="560"/>
      <c r="F488" s="559"/>
      <c r="G488" s="559" t="str">
        <f t="shared" si="42"/>
        <v/>
      </c>
      <c r="H488" s="559" t="str">
        <f t="shared" si="43"/>
        <v/>
      </c>
      <c r="I488" s="559" t="str">
        <f t="shared" si="44"/>
        <v/>
      </c>
    </row>
    <row r="489" spans="2:9">
      <c r="B489" s="555" t="str">
        <f t="shared" si="39"/>
        <v/>
      </c>
      <c r="C489" s="556" t="str">
        <f t="shared" si="40"/>
        <v/>
      </c>
      <c r="D489" s="557" t="str">
        <f t="shared" si="41"/>
        <v/>
      </c>
      <c r="E489" s="560"/>
      <c r="F489" s="559"/>
      <c r="G489" s="559" t="str">
        <f t="shared" si="42"/>
        <v/>
      </c>
      <c r="H489" s="559" t="str">
        <f t="shared" si="43"/>
        <v/>
      </c>
      <c r="I489" s="559" t="str">
        <f t="shared" si="44"/>
        <v/>
      </c>
    </row>
    <row r="490" spans="2:9">
      <c r="B490" s="555" t="str">
        <f t="shared" si="39"/>
        <v/>
      </c>
      <c r="C490" s="556" t="str">
        <f t="shared" si="40"/>
        <v/>
      </c>
      <c r="D490" s="557" t="str">
        <f t="shared" si="41"/>
        <v/>
      </c>
      <c r="E490" s="560"/>
      <c r="F490" s="559"/>
      <c r="G490" s="559" t="str">
        <f t="shared" si="42"/>
        <v/>
      </c>
      <c r="H490" s="559" t="str">
        <f t="shared" si="43"/>
        <v/>
      </c>
      <c r="I490" s="559" t="str">
        <f t="shared" si="44"/>
        <v/>
      </c>
    </row>
    <row r="491" spans="2:9">
      <c r="B491" s="555" t="str">
        <f t="shared" si="39"/>
        <v/>
      </c>
      <c r="C491" s="556" t="str">
        <f t="shared" si="40"/>
        <v/>
      </c>
      <c r="D491" s="557" t="str">
        <f t="shared" si="41"/>
        <v/>
      </c>
      <c r="E491" s="560"/>
      <c r="F491" s="559"/>
      <c r="G491" s="559" t="str">
        <f t="shared" si="42"/>
        <v/>
      </c>
      <c r="H491" s="559" t="str">
        <f t="shared" si="43"/>
        <v/>
      </c>
      <c r="I491" s="559" t="str">
        <f t="shared" si="44"/>
        <v/>
      </c>
    </row>
    <row r="492" spans="2:9">
      <c r="B492" s="555" t="str">
        <f t="shared" si="39"/>
        <v/>
      </c>
      <c r="C492" s="556" t="str">
        <f t="shared" si="40"/>
        <v/>
      </c>
      <c r="D492" s="557" t="str">
        <f t="shared" si="41"/>
        <v/>
      </c>
      <c r="E492" s="560"/>
      <c r="F492" s="559"/>
      <c r="G492" s="559" t="str">
        <f t="shared" si="42"/>
        <v/>
      </c>
      <c r="H492" s="559" t="str">
        <f t="shared" si="43"/>
        <v/>
      </c>
      <c r="I492" s="559" t="str">
        <f t="shared" si="44"/>
        <v/>
      </c>
    </row>
    <row r="493" spans="2:9">
      <c r="B493" s="555" t="str">
        <f t="shared" si="39"/>
        <v/>
      </c>
      <c r="C493" s="556" t="str">
        <f t="shared" si="40"/>
        <v/>
      </c>
      <c r="D493" s="557" t="str">
        <f t="shared" si="41"/>
        <v/>
      </c>
      <c r="E493" s="560"/>
      <c r="F493" s="559"/>
      <c r="G493" s="559" t="str">
        <f t="shared" si="42"/>
        <v/>
      </c>
      <c r="H493" s="559" t="str">
        <f t="shared" si="43"/>
        <v/>
      </c>
      <c r="I493" s="559" t="str">
        <f t="shared" si="44"/>
        <v/>
      </c>
    </row>
    <row r="494" spans="2:9">
      <c r="B494" s="555" t="str">
        <f t="shared" si="39"/>
        <v/>
      </c>
      <c r="C494" s="556" t="str">
        <f t="shared" si="40"/>
        <v/>
      </c>
      <c r="D494" s="557" t="str">
        <f t="shared" si="41"/>
        <v/>
      </c>
      <c r="E494" s="560"/>
      <c r="F494" s="559"/>
      <c r="G494" s="559" t="str">
        <f t="shared" si="42"/>
        <v/>
      </c>
      <c r="H494" s="559" t="str">
        <f t="shared" si="43"/>
        <v/>
      </c>
      <c r="I494" s="559" t="str">
        <f t="shared" si="44"/>
        <v/>
      </c>
    </row>
    <row r="495" spans="2:9">
      <c r="B495" s="555" t="str">
        <f t="shared" si="39"/>
        <v/>
      </c>
      <c r="C495" s="556" t="str">
        <f t="shared" si="40"/>
        <v/>
      </c>
      <c r="D495" s="557" t="str">
        <f t="shared" si="41"/>
        <v/>
      </c>
      <c r="E495" s="560"/>
      <c r="F495" s="559"/>
      <c r="G495" s="559" t="str">
        <f t="shared" si="42"/>
        <v/>
      </c>
      <c r="H495" s="559" t="str">
        <f t="shared" si="43"/>
        <v/>
      </c>
      <c r="I495" s="559" t="str">
        <f t="shared" si="44"/>
        <v/>
      </c>
    </row>
    <row r="496" spans="2:9">
      <c r="B496" s="555" t="str">
        <f t="shared" si="39"/>
        <v/>
      </c>
      <c r="C496" s="556" t="str">
        <f t="shared" si="40"/>
        <v/>
      </c>
      <c r="D496" s="557" t="str">
        <f t="shared" si="41"/>
        <v/>
      </c>
      <c r="E496" s="560"/>
      <c r="F496" s="559"/>
      <c r="G496" s="559" t="str">
        <f t="shared" si="42"/>
        <v/>
      </c>
      <c r="H496" s="559" t="str">
        <f t="shared" si="43"/>
        <v/>
      </c>
      <c r="I496" s="559" t="str">
        <f t="shared" si="44"/>
        <v/>
      </c>
    </row>
    <row r="497" spans="2:9">
      <c r="B497" s="555" t="str">
        <f t="shared" si="39"/>
        <v/>
      </c>
      <c r="C497" s="556" t="str">
        <f t="shared" si="40"/>
        <v/>
      </c>
      <c r="D497" s="557" t="str">
        <f t="shared" si="41"/>
        <v/>
      </c>
      <c r="E497" s="560"/>
      <c r="F497" s="559"/>
      <c r="G497" s="559" t="str">
        <f t="shared" si="42"/>
        <v/>
      </c>
      <c r="H497" s="559" t="str">
        <f t="shared" si="43"/>
        <v/>
      </c>
      <c r="I497" s="559" t="str">
        <f t="shared" si="44"/>
        <v/>
      </c>
    </row>
    <row r="498" spans="2:9">
      <c r="B498" s="555" t="str">
        <f t="shared" si="39"/>
        <v/>
      </c>
      <c r="C498" s="556" t="str">
        <f t="shared" si="40"/>
        <v/>
      </c>
      <c r="D498" s="557" t="str">
        <f t="shared" si="41"/>
        <v/>
      </c>
      <c r="E498" s="560"/>
      <c r="F498" s="559"/>
      <c r="G498" s="559" t="str">
        <f t="shared" si="42"/>
        <v/>
      </c>
      <c r="H498" s="559" t="str">
        <f t="shared" si="43"/>
        <v/>
      </c>
      <c r="I498" s="559" t="str">
        <f t="shared" si="44"/>
        <v/>
      </c>
    </row>
    <row r="499" spans="2:9">
      <c r="B499" s="555" t="str">
        <f t="shared" si="39"/>
        <v/>
      </c>
      <c r="C499" s="556" t="str">
        <f t="shared" si="40"/>
        <v/>
      </c>
      <c r="D499" s="557" t="str">
        <f t="shared" si="41"/>
        <v/>
      </c>
      <c r="E499" s="560"/>
      <c r="F499" s="559"/>
      <c r="G499" s="559" t="str">
        <f t="shared" si="42"/>
        <v/>
      </c>
      <c r="H499" s="559" t="str">
        <f t="shared" si="43"/>
        <v/>
      </c>
      <c r="I499" s="559" t="str">
        <f t="shared" si="44"/>
        <v/>
      </c>
    </row>
    <row r="500" spans="2:9">
      <c r="B500" s="555" t="str">
        <f t="shared" si="39"/>
        <v/>
      </c>
      <c r="C500" s="556" t="str">
        <f t="shared" si="40"/>
        <v/>
      </c>
      <c r="D500" s="557" t="str">
        <f t="shared" si="41"/>
        <v/>
      </c>
      <c r="E500" s="560"/>
      <c r="F500" s="559"/>
      <c r="G500" s="559" t="str">
        <f t="shared" si="42"/>
        <v/>
      </c>
      <c r="H500" s="559" t="str">
        <f t="shared" si="43"/>
        <v/>
      </c>
      <c r="I500" s="559" t="str">
        <f t="shared" si="44"/>
        <v/>
      </c>
    </row>
    <row r="501" spans="2:9">
      <c r="B501" s="555" t="str">
        <f t="shared" si="39"/>
        <v/>
      </c>
      <c r="C501" s="556" t="str">
        <f t="shared" si="40"/>
        <v/>
      </c>
      <c r="D501" s="557" t="str">
        <f t="shared" si="41"/>
        <v/>
      </c>
      <c r="E501" s="560"/>
      <c r="F501" s="559"/>
      <c r="G501" s="559" t="str">
        <f t="shared" si="42"/>
        <v/>
      </c>
      <c r="H501" s="559" t="str">
        <f t="shared" si="43"/>
        <v/>
      </c>
      <c r="I501" s="559" t="str">
        <f t="shared" si="44"/>
        <v/>
      </c>
    </row>
    <row r="502" spans="2:9">
      <c r="B502" s="555" t="str">
        <f t="shared" si="39"/>
        <v/>
      </c>
      <c r="C502" s="556" t="str">
        <f t="shared" si="40"/>
        <v/>
      </c>
      <c r="D502" s="557" t="str">
        <f t="shared" si="41"/>
        <v/>
      </c>
      <c r="E502" s="560"/>
      <c r="F502" s="559"/>
      <c r="G502" s="559" t="str">
        <f t="shared" si="42"/>
        <v/>
      </c>
      <c r="H502" s="559" t="str">
        <f t="shared" si="43"/>
        <v/>
      </c>
      <c r="I502" s="559" t="str">
        <f t="shared" si="44"/>
        <v/>
      </c>
    </row>
    <row r="503" spans="2:9">
      <c r="B503" s="555" t="str">
        <f t="shared" si="39"/>
        <v/>
      </c>
      <c r="C503" s="556" t="str">
        <f t="shared" si="40"/>
        <v/>
      </c>
      <c r="D503" s="557" t="str">
        <f t="shared" si="41"/>
        <v/>
      </c>
      <c r="E503" s="560"/>
      <c r="F503" s="559"/>
      <c r="G503" s="559" t="str">
        <f t="shared" si="42"/>
        <v/>
      </c>
      <c r="H503" s="559" t="str">
        <f t="shared" si="43"/>
        <v/>
      </c>
      <c r="I503" s="559" t="str">
        <f t="shared" si="44"/>
        <v/>
      </c>
    </row>
    <row r="504" spans="2:9">
      <c r="B504" s="555" t="str">
        <f t="shared" si="39"/>
        <v/>
      </c>
      <c r="C504" s="556" t="str">
        <f t="shared" si="40"/>
        <v/>
      </c>
      <c r="D504" s="557" t="str">
        <f t="shared" si="41"/>
        <v/>
      </c>
      <c r="E504" s="560"/>
      <c r="F504" s="559"/>
      <c r="G504" s="559" t="str">
        <f t="shared" si="42"/>
        <v/>
      </c>
      <c r="H504" s="559" t="str">
        <f t="shared" si="43"/>
        <v/>
      </c>
      <c r="I504" s="559" t="str">
        <f t="shared" si="44"/>
        <v/>
      </c>
    </row>
    <row r="505" spans="2:9">
      <c r="B505" s="555" t="str">
        <f t="shared" si="39"/>
        <v/>
      </c>
      <c r="C505" s="556" t="str">
        <f t="shared" si="40"/>
        <v/>
      </c>
      <c r="D505" s="557" t="str">
        <f t="shared" si="41"/>
        <v/>
      </c>
      <c r="E505" s="560"/>
      <c r="F505" s="559"/>
      <c r="G505" s="559" t="str">
        <f t="shared" si="42"/>
        <v/>
      </c>
      <c r="H505" s="559" t="str">
        <f t="shared" si="43"/>
        <v/>
      </c>
      <c r="I505" s="559" t="str">
        <f t="shared" si="44"/>
        <v/>
      </c>
    </row>
    <row r="506" spans="2:9">
      <c r="B506" s="555" t="str">
        <f t="shared" si="39"/>
        <v/>
      </c>
      <c r="C506" s="556" t="str">
        <f t="shared" si="40"/>
        <v/>
      </c>
      <c r="D506" s="557" t="str">
        <f t="shared" si="41"/>
        <v/>
      </c>
      <c r="E506" s="560"/>
      <c r="F506" s="559"/>
      <c r="G506" s="559" t="str">
        <f t="shared" si="42"/>
        <v/>
      </c>
      <c r="H506" s="559" t="str">
        <f t="shared" si="43"/>
        <v/>
      </c>
      <c r="I506" s="559" t="str">
        <f t="shared" si="44"/>
        <v/>
      </c>
    </row>
    <row r="507" spans="2:9">
      <c r="B507" s="555" t="str">
        <f t="shared" si="39"/>
        <v/>
      </c>
      <c r="C507" s="556" t="str">
        <f t="shared" si="40"/>
        <v/>
      </c>
      <c r="D507" s="557" t="str">
        <f t="shared" si="41"/>
        <v/>
      </c>
      <c r="E507" s="560"/>
      <c r="F507" s="559"/>
      <c r="G507" s="559" t="str">
        <f t="shared" si="42"/>
        <v/>
      </c>
      <c r="H507" s="559" t="str">
        <f t="shared" si="43"/>
        <v/>
      </c>
      <c r="I507" s="559" t="str">
        <f t="shared" si="44"/>
        <v/>
      </c>
    </row>
    <row r="508" spans="2:9">
      <c r="B508" s="555" t="str">
        <f t="shared" si="39"/>
        <v/>
      </c>
      <c r="C508" s="556" t="str">
        <f t="shared" si="40"/>
        <v/>
      </c>
      <c r="D508" s="557" t="str">
        <f t="shared" si="41"/>
        <v/>
      </c>
      <c r="E508" s="560"/>
      <c r="F508" s="559"/>
      <c r="G508" s="559" t="str">
        <f t="shared" si="42"/>
        <v/>
      </c>
      <c r="H508" s="559" t="str">
        <f t="shared" si="43"/>
        <v/>
      </c>
      <c r="I508" s="559" t="str">
        <f t="shared" si="44"/>
        <v/>
      </c>
    </row>
    <row r="509" spans="2:9">
      <c r="B509" s="555" t="str">
        <f t="shared" ref="B509:B572" si="45">IF(I508="","",IF(roundOpt,IF(OR(B508&gt;=nper,ROUND(I508,2)&lt;=0),"",B508+1),IF(OR(B508&gt;=nper,I508&lt;=0),"",B508+1)))</f>
        <v/>
      </c>
      <c r="C509" s="556" t="str">
        <f t="shared" ref="C509:C572" si="46">IF(B509="","",IF(OR(periods_per_year=26,periods_per_year=52),IF(periods_per_year=26,IF(B509=1,fpdate,C508+14),IF(periods_per_year=52,IF(B509=1,fpdate,C508+7),"n/a")),IF(periods_per_year=24,DATE(YEAR(fpdate),MONTH(fpdate)+(B509-1)/2+IF(AND(DAY(fpdate)&gt;=15,MOD(B509,2)=0),1,0),IF(MOD(B509,2)=0,IF(DAY(fpdate)&gt;=15,DAY(fpdate)-14,DAY(fpdate)+14),DAY(fpdate))),IF(DAY(DATE(YEAR(fpdate),MONTH(fpdate)+(B509-1)*months_per_period,DAY(fpdate)))&lt;&gt;DAY(fpdate),DATE(YEAR(fpdate),MONTH(fpdate)+(B509-1)*months_per_period+1,0),DATE(YEAR(fpdate),MONTH(fpdate)+(B509-1)*months_per_period,DAY(fpdate))))))</f>
        <v/>
      </c>
      <c r="D509" s="557" t="str">
        <f t="shared" ref="D509:D572" si="47">IF(B509="","",IF(roundOpt,IF(OR(B509=nper,payment&gt;ROUND((1+rate)*I508,2)),ROUND((1+rate)*I508,2),payment),IF(OR(B509=nper,payment&gt;(1+rate)*I508),(1+rate)*I508,payment)))</f>
        <v/>
      </c>
      <c r="E509" s="560"/>
      <c r="F509" s="559"/>
      <c r="G509" s="559" t="str">
        <f t="shared" ref="G509:G572" si="48">IF(B509="","",IF(AND(B509=1,pmtType=1),0,IF(roundOpt,ROUND(rate*I508,2),rate*I508)))</f>
        <v/>
      </c>
      <c r="H509" s="559" t="str">
        <f t="shared" ref="H509:H572" si="49">IF(B509="","",D509-G509+E509)</f>
        <v/>
      </c>
      <c r="I509" s="559" t="str">
        <f t="shared" ref="I509:I572" si="50">IF(B509="","",I508-H509)</f>
        <v/>
      </c>
    </row>
    <row r="510" spans="2:9">
      <c r="B510" s="555" t="str">
        <f t="shared" si="45"/>
        <v/>
      </c>
      <c r="C510" s="556" t="str">
        <f t="shared" si="46"/>
        <v/>
      </c>
      <c r="D510" s="557" t="str">
        <f t="shared" si="47"/>
        <v/>
      </c>
      <c r="E510" s="560"/>
      <c r="F510" s="559"/>
      <c r="G510" s="559" t="str">
        <f t="shared" si="48"/>
        <v/>
      </c>
      <c r="H510" s="559" t="str">
        <f t="shared" si="49"/>
        <v/>
      </c>
      <c r="I510" s="559" t="str">
        <f t="shared" si="50"/>
        <v/>
      </c>
    </row>
    <row r="511" spans="2:9">
      <c r="B511" s="555" t="str">
        <f t="shared" si="45"/>
        <v/>
      </c>
      <c r="C511" s="556" t="str">
        <f t="shared" si="46"/>
        <v/>
      </c>
      <c r="D511" s="557" t="str">
        <f t="shared" si="47"/>
        <v/>
      </c>
      <c r="E511" s="560"/>
      <c r="F511" s="559"/>
      <c r="G511" s="559" t="str">
        <f t="shared" si="48"/>
        <v/>
      </c>
      <c r="H511" s="559" t="str">
        <f t="shared" si="49"/>
        <v/>
      </c>
      <c r="I511" s="559" t="str">
        <f t="shared" si="50"/>
        <v/>
      </c>
    </row>
    <row r="512" spans="2:9">
      <c r="B512" s="555" t="str">
        <f t="shared" si="45"/>
        <v/>
      </c>
      <c r="C512" s="556" t="str">
        <f t="shared" si="46"/>
        <v/>
      </c>
      <c r="D512" s="557" t="str">
        <f t="shared" si="47"/>
        <v/>
      </c>
      <c r="E512" s="560"/>
      <c r="F512" s="559"/>
      <c r="G512" s="559" t="str">
        <f t="shared" si="48"/>
        <v/>
      </c>
      <c r="H512" s="559" t="str">
        <f t="shared" si="49"/>
        <v/>
      </c>
      <c r="I512" s="559" t="str">
        <f t="shared" si="50"/>
        <v/>
      </c>
    </row>
    <row r="513" spans="2:9">
      <c r="B513" s="555" t="str">
        <f t="shared" si="45"/>
        <v/>
      </c>
      <c r="C513" s="556" t="str">
        <f t="shared" si="46"/>
        <v/>
      </c>
      <c r="D513" s="557" t="str">
        <f t="shared" si="47"/>
        <v/>
      </c>
      <c r="E513" s="560"/>
      <c r="F513" s="559"/>
      <c r="G513" s="559" t="str">
        <f t="shared" si="48"/>
        <v/>
      </c>
      <c r="H513" s="559" t="str">
        <f t="shared" si="49"/>
        <v/>
      </c>
      <c r="I513" s="559" t="str">
        <f t="shared" si="50"/>
        <v/>
      </c>
    </row>
    <row r="514" spans="2:9">
      <c r="B514" s="555" t="str">
        <f t="shared" si="45"/>
        <v/>
      </c>
      <c r="C514" s="556" t="str">
        <f t="shared" si="46"/>
        <v/>
      </c>
      <c r="D514" s="557" t="str">
        <f t="shared" si="47"/>
        <v/>
      </c>
      <c r="E514" s="560"/>
      <c r="F514" s="559"/>
      <c r="G514" s="559" t="str">
        <f t="shared" si="48"/>
        <v/>
      </c>
      <c r="H514" s="559" t="str">
        <f t="shared" si="49"/>
        <v/>
      </c>
      <c r="I514" s="559" t="str">
        <f t="shared" si="50"/>
        <v/>
      </c>
    </row>
    <row r="515" spans="2:9">
      <c r="B515" s="555" t="str">
        <f t="shared" si="45"/>
        <v/>
      </c>
      <c r="C515" s="556" t="str">
        <f t="shared" si="46"/>
        <v/>
      </c>
      <c r="D515" s="557" t="str">
        <f t="shared" si="47"/>
        <v/>
      </c>
      <c r="E515" s="560"/>
      <c r="F515" s="559"/>
      <c r="G515" s="559" t="str">
        <f t="shared" si="48"/>
        <v/>
      </c>
      <c r="H515" s="559" t="str">
        <f t="shared" si="49"/>
        <v/>
      </c>
      <c r="I515" s="559" t="str">
        <f t="shared" si="50"/>
        <v/>
      </c>
    </row>
    <row r="516" spans="2:9">
      <c r="B516" s="555" t="str">
        <f t="shared" si="45"/>
        <v/>
      </c>
      <c r="C516" s="556" t="str">
        <f t="shared" si="46"/>
        <v/>
      </c>
      <c r="D516" s="557" t="str">
        <f t="shared" si="47"/>
        <v/>
      </c>
      <c r="E516" s="560"/>
      <c r="F516" s="559"/>
      <c r="G516" s="559" t="str">
        <f t="shared" si="48"/>
        <v/>
      </c>
      <c r="H516" s="559" t="str">
        <f t="shared" si="49"/>
        <v/>
      </c>
      <c r="I516" s="559" t="str">
        <f t="shared" si="50"/>
        <v/>
      </c>
    </row>
    <row r="517" spans="2:9">
      <c r="B517" s="555" t="str">
        <f t="shared" si="45"/>
        <v/>
      </c>
      <c r="C517" s="556" t="str">
        <f t="shared" si="46"/>
        <v/>
      </c>
      <c r="D517" s="557" t="str">
        <f t="shared" si="47"/>
        <v/>
      </c>
      <c r="E517" s="560"/>
      <c r="F517" s="559"/>
      <c r="G517" s="559" t="str">
        <f t="shared" si="48"/>
        <v/>
      </c>
      <c r="H517" s="559" t="str">
        <f t="shared" si="49"/>
        <v/>
      </c>
      <c r="I517" s="559" t="str">
        <f t="shared" si="50"/>
        <v/>
      </c>
    </row>
    <row r="518" spans="2:9">
      <c r="B518" s="555" t="str">
        <f t="shared" si="45"/>
        <v/>
      </c>
      <c r="C518" s="556" t="str">
        <f t="shared" si="46"/>
        <v/>
      </c>
      <c r="D518" s="557" t="str">
        <f t="shared" si="47"/>
        <v/>
      </c>
      <c r="E518" s="560"/>
      <c r="F518" s="559"/>
      <c r="G518" s="559" t="str">
        <f t="shared" si="48"/>
        <v/>
      </c>
      <c r="H518" s="559" t="str">
        <f t="shared" si="49"/>
        <v/>
      </c>
      <c r="I518" s="559" t="str">
        <f t="shared" si="50"/>
        <v/>
      </c>
    </row>
    <row r="519" spans="2:9">
      <c r="B519" s="555" t="str">
        <f t="shared" si="45"/>
        <v/>
      </c>
      <c r="C519" s="556" t="str">
        <f t="shared" si="46"/>
        <v/>
      </c>
      <c r="D519" s="557" t="str">
        <f t="shared" si="47"/>
        <v/>
      </c>
      <c r="E519" s="560"/>
      <c r="F519" s="559"/>
      <c r="G519" s="559" t="str">
        <f t="shared" si="48"/>
        <v/>
      </c>
      <c r="H519" s="559" t="str">
        <f t="shared" si="49"/>
        <v/>
      </c>
      <c r="I519" s="559" t="str">
        <f t="shared" si="50"/>
        <v/>
      </c>
    </row>
    <row r="520" spans="2:9">
      <c r="B520" s="555" t="str">
        <f t="shared" si="45"/>
        <v/>
      </c>
      <c r="C520" s="556" t="str">
        <f t="shared" si="46"/>
        <v/>
      </c>
      <c r="D520" s="557" t="str">
        <f t="shared" si="47"/>
        <v/>
      </c>
      <c r="E520" s="560"/>
      <c r="F520" s="559"/>
      <c r="G520" s="559" t="str">
        <f t="shared" si="48"/>
        <v/>
      </c>
      <c r="H520" s="559" t="str">
        <f t="shared" si="49"/>
        <v/>
      </c>
      <c r="I520" s="559" t="str">
        <f t="shared" si="50"/>
        <v/>
      </c>
    </row>
    <row r="521" spans="2:9">
      <c r="B521" s="555" t="str">
        <f t="shared" si="45"/>
        <v/>
      </c>
      <c r="C521" s="556" t="str">
        <f t="shared" si="46"/>
        <v/>
      </c>
      <c r="D521" s="557" t="str">
        <f t="shared" si="47"/>
        <v/>
      </c>
      <c r="E521" s="560"/>
      <c r="F521" s="559"/>
      <c r="G521" s="559" t="str">
        <f t="shared" si="48"/>
        <v/>
      </c>
      <c r="H521" s="559" t="str">
        <f t="shared" si="49"/>
        <v/>
      </c>
      <c r="I521" s="559" t="str">
        <f t="shared" si="50"/>
        <v/>
      </c>
    </row>
    <row r="522" spans="2:9">
      <c r="B522" s="555" t="str">
        <f t="shared" si="45"/>
        <v/>
      </c>
      <c r="C522" s="556" t="str">
        <f t="shared" si="46"/>
        <v/>
      </c>
      <c r="D522" s="557" t="str">
        <f t="shared" si="47"/>
        <v/>
      </c>
      <c r="E522" s="560"/>
      <c r="F522" s="559"/>
      <c r="G522" s="559" t="str">
        <f t="shared" si="48"/>
        <v/>
      </c>
      <c r="H522" s="559" t="str">
        <f t="shared" si="49"/>
        <v/>
      </c>
      <c r="I522" s="559" t="str">
        <f t="shared" si="50"/>
        <v/>
      </c>
    </row>
    <row r="523" spans="2:9">
      <c r="B523" s="555" t="str">
        <f t="shared" si="45"/>
        <v/>
      </c>
      <c r="C523" s="556" t="str">
        <f t="shared" si="46"/>
        <v/>
      </c>
      <c r="D523" s="557" t="str">
        <f t="shared" si="47"/>
        <v/>
      </c>
      <c r="E523" s="560"/>
      <c r="F523" s="559"/>
      <c r="G523" s="559" t="str">
        <f t="shared" si="48"/>
        <v/>
      </c>
      <c r="H523" s="559" t="str">
        <f t="shared" si="49"/>
        <v/>
      </c>
      <c r="I523" s="559" t="str">
        <f t="shared" si="50"/>
        <v/>
      </c>
    </row>
    <row r="524" spans="2:9">
      <c r="B524" s="555" t="str">
        <f t="shared" si="45"/>
        <v/>
      </c>
      <c r="C524" s="556" t="str">
        <f t="shared" si="46"/>
        <v/>
      </c>
      <c r="D524" s="557" t="str">
        <f t="shared" si="47"/>
        <v/>
      </c>
      <c r="E524" s="560"/>
      <c r="F524" s="559"/>
      <c r="G524" s="559" t="str">
        <f t="shared" si="48"/>
        <v/>
      </c>
      <c r="H524" s="559" t="str">
        <f t="shared" si="49"/>
        <v/>
      </c>
      <c r="I524" s="559" t="str">
        <f t="shared" si="50"/>
        <v/>
      </c>
    </row>
    <row r="525" spans="2:9">
      <c r="B525" s="555" t="str">
        <f t="shared" si="45"/>
        <v/>
      </c>
      <c r="C525" s="556" t="str">
        <f t="shared" si="46"/>
        <v/>
      </c>
      <c r="D525" s="557" t="str">
        <f t="shared" si="47"/>
        <v/>
      </c>
      <c r="E525" s="560"/>
      <c r="F525" s="559"/>
      <c r="G525" s="559" t="str">
        <f t="shared" si="48"/>
        <v/>
      </c>
      <c r="H525" s="559" t="str">
        <f t="shared" si="49"/>
        <v/>
      </c>
      <c r="I525" s="559" t="str">
        <f t="shared" si="50"/>
        <v/>
      </c>
    </row>
    <row r="526" spans="2:9">
      <c r="B526" s="555" t="str">
        <f t="shared" si="45"/>
        <v/>
      </c>
      <c r="C526" s="556" t="str">
        <f t="shared" si="46"/>
        <v/>
      </c>
      <c r="D526" s="557" t="str">
        <f t="shared" si="47"/>
        <v/>
      </c>
      <c r="E526" s="560"/>
      <c r="F526" s="559"/>
      <c r="G526" s="559" t="str">
        <f t="shared" si="48"/>
        <v/>
      </c>
      <c r="H526" s="559" t="str">
        <f t="shared" si="49"/>
        <v/>
      </c>
      <c r="I526" s="559" t="str">
        <f t="shared" si="50"/>
        <v/>
      </c>
    </row>
    <row r="527" spans="2:9">
      <c r="B527" s="555" t="str">
        <f t="shared" si="45"/>
        <v/>
      </c>
      <c r="C527" s="556" t="str">
        <f t="shared" si="46"/>
        <v/>
      </c>
      <c r="D527" s="557" t="str">
        <f t="shared" si="47"/>
        <v/>
      </c>
      <c r="E527" s="560"/>
      <c r="F527" s="559"/>
      <c r="G527" s="559" t="str">
        <f t="shared" si="48"/>
        <v/>
      </c>
      <c r="H527" s="559" t="str">
        <f t="shared" si="49"/>
        <v/>
      </c>
      <c r="I527" s="559" t="str">
        <f t="shared" si="50"/>
        <v/>
      </c>
    </row>
    <row r="528" spans="2:9">
      <c r="B528" s="555" t="str">
        <f t="shared" si="45"/>
        <v/>
      </c>
      <c r="C528" s="556" t="str">
        <f t="shared" si="46"/>
        <v/>
      </c>
      <c r="D528" s="557" t="str">
        <f t="shared" si="47"/>
        <v/>
      </c>
      <c r="E528" s="560"/>
      <c r="F528" s="559"/>
      <c r="G528" s="559" t="str">
        <f t="shared" si="48"/>
        <v/>
      </c>
      <c r="H528" s="559" t="str">
        <f t="shared" si="49"/>
        <v/>
      </c>
      <c r="I528" s="559" t="str">
        <f t="shared" si="50"/>
        <v/>
      </c>
    </row>
    <row r="529" spans="2:9">
      <c r="B529" s="555" t="str">
        <f t="shared" si="45"/>
        <v/>
      </c>
      <c r="C529" s="556" t="str">
        <f t="shared" si="46"/>
        <v/>
      </c>
      <c r="D529" s="557" t="str">
        <f t="shared" si="47"/>
        <v/>
      </c>
      <c r="E529" s="560"/>
      <c r="F529" s="559"/>
      <c r="G529" s="559" t="str">
        <f t="shared" si="48"/>
        <v/>
      </c>
      <c r="H529" s="559" t="str">
        <f t="shared" si="49"/>
        <v/>
      </c>
      <c r="I529" s="559" t="str">
        <f t="shared" si="50"/>
        <v/>
      </c>
    </row>
    <row r="530" spans="2:9">
      <c r="B530" s="555" t="str">
        <f t="shared" si="45"/>
        <v/>
      </c>
      <c r="C530" s="556" t="str">
        <f t="shared" si="46"/>
        <v/>
      </c>
      <c r="D530" s="557" t="str">
        <f t="shared" si="47"/>
        <v/>
      </c>
      <c r="E530" s="560"/>
      <c r="F530" s="559"/>
      <c r="G530" s="559" t="str">
        <f t="shared" si="48"/>
        <v/>
      </c>
      <c r="H530" s="559" t="str">
        <f t="shared" si="49"/>
        <v/>
      </c>
      <c r="I530" s="559" t="str">
        <f t="shared" si="50"/>
        <v/>
      </c>
    </row>
    <row r="531" spans="2:9">
      <c r="B531" s="555" t="str">
        <f t="shared" si="45"/>
        <v/>
      </c>
      <c r="C531" s="556" t="str">
        <f t="shared" si="46"/>
        <v/>
      </c>
      <c r="D531" s="557" t="str">
        <f t="shared" si="47"/>
        <v/>
      </c>
      <c r="E531" s="560"/>
      <c r="F531" s="559"/>
      <c r="G531" s="559" t="str">
        <f t="shared" si="48"/>
        <v/>
      </c>
      <c r="H531" s="559" t="str">
        <f t="shared" si="49"/>
        <v/>
      </c>
      <c r="I531" s="559" t="str">
        <f t="shared" si="50"/>
        <v/>
      </c>
    </row>
    <row r="532" spans="2:9">
      <c r="B532" s="555" t="str">
        <f t="shared" si="45"/>
        <v/>
      </c>
      <c r="C532" s="556" t="str">
        <f t="shared" si="46"/>
        <v/>
      </c>
      <c r="D532" s="557" t="str">
        <f t="shared" si="47"/>
        <v/>
      </c>
      <c r="E532" s="560"/>
      <c r="F532" s="559"/>
      <c r="G532" s="559" t="str">
        <f t="shared" si="48"/>
        <v/>
      </c>
      <c r="H532" s="559" t="str">
        <f t="shared" si="49"/>
        <v/>
      </c>
      <c r="I532" s="559" t="str">
        <f t="shared" si="50"/>
        <v/>
      </c>
    </row>
    <row r="533" spans="2:9">
      <c r="B533" s="555" t="str">
        <f t="shared" si="45"/>
        <v/>
      </c>
      <c r="C533" s="556" t="str">
        <f t="shared" si="46"/>
        <v/>
      </c>
      <c r="D533" s="557" t="str">
        <f t="shared" si="47"/>
        <v/>
      </c>
      <c r="E533" s="560"/>
      <c r="F533" s="559"/>
      <c r="G533" s="559" t="str">
        <f t="shared" si="48"/>
        <v/>
      </c>
      <c r="H533" s="559" t="str">
        <f t="shared" si="49"/>
        <v/>
      </c>
      <c r="I533" s="559" t="str">
        <f t="shared" si="50"/>
        <v/>
      </c>
    </row>
    <row r="534" spans="2:9">
      <c r="B534" s="555" t="str">
        <f t="shared" si="45"/>
        <v/>
      </c>
      <c r="C534" s="556" t="str">
        <f t="shared" si="46"/>
        <v/>
      </c>
      <c r="D534" s="557" t="str">
        <f t="shared" si="47"/>
        <v/>
      </c>
      <c r="E534" s="560"/>
      <c r="F534" s="559"/>
      <c r="G534" s="559" t="str">
        <f t="shared" si="48"/>
        <v/>
      </c>
      <c r="H534" s="559" t="str">
        <f t="shared" si="49"/>
        <v/>
      </c>
      <c r="I534" s="559" t="str">
        <f t="shared" si="50"/>
        <v/>
      </c>
    </row>
    <row r="535" spans="2:9">
      <c r="B535" s="555" t="str">
        <f t="shared" si="45"/>
        <v/>
      </c>
      <c r="C535" s="556" t="str">
        <f t="shared" si="46"/>
        <v/>
      </c>
      <c r="D535" s="557" t="str">
        <f t="shared" si="47"/>
        <v/>
      </c>
      <c r="E535" s="560"/>
      <c r="F535" s="559"/>
      <c r="G535" s="559" t="str">
        <f t="shared" si="48"/>
        <v/>
      </c>
      <c r="H535" s="559" t="str">
        <f t="shared" si="49"/>
        <v/>
      </c>
      <c r="I535" s="559" t="str">
        <f t="shared" si="50"/>
        <v/>
      </c>
    </row>
    <row r="536" spans="2:9">
      <c r="B536" s="555" t="str">
        <f t="shared" si="45"/>
        <v/>
      </c>
      <c r="C536" s="556" t="str">
        <f t="shared" si="46"/>
        <v/>
      </c>
      <c r="D536" s="557" t="str">
        <f t="shared" si="47"/>
        <v/>
      </c>
      <c r="E536" s="560"/>
      <c r="F536" s="559"/>
      <c r="G536" s="559" t="str">
        <f t="shared" si="48"/>
        <v/>
      </c>
      <c r="H536" s="559" t="str">
        <f t="shared" si="49"/>
        <v/>
      </c>
      <c r="I536" s="559" t="str">
        <f t="shared" si="50"/>
        <v/>
      </c>
    </row>
    <row r="537" spans="2:9">
      <c r="B537" s="555" t="str">
        <f t="shared" si="45"/>
        <v/>
      </c>
      <c r="C537" s="556" t="str">
        <f t="shared" si="46"/>
        <v/>
      </c>
      <c r="D537" s="557" t="str">
        <f t="shared" si="47"/>
        <v/>
      </c>
      <c r="E537" s="560"/>
      <c r="F537" s="559"/>
      <c r="G537" s="559" t="str">
        <f t="shared" si="48"/>
        <v/>
      </c>
      <c r="H537" s="559" t="str">
        <f t="shared" si="49"/>
        <v/>
      </c>
      <c r="I537" s="559" t="str">
        <f t="shared" si="50"/>
        <v/>
      </c>
    </row>
    <row r="538" spans="2:9">
      <c r="B538" s="555" t="str">
        <f t="shared" si="45"/>
        <v/>
      </c>
      <c r="C538" s="556" t="str">
        <f t="shared" si="46"/>
        <v/>
      </c>
      <c r="D538" s="557" t="str">
        <f t="shared" si="47"/>
        <v/>
      </c>
      <c r="E538" s="560"/>
      <c r="F538" s="559"/>
      <c r="G538" s="559" t="str">
        <f t="shared" si="48"/>
        <v/>
      </c>
      <c r="H538" s="559" t="str">
        <f t="shared" si="49"/>
        <v/>
      </c>
      <c r="I538" s="559" t="str">
        <f t="shared" si="50"/>
        <v/>
      </c>
    </row>
    <row r="539" spans="2:9">
      <c r="B539" s="555" t="str">
        <f t="shared" si="45"/>
        <v/>
      </c>
      <c r="C539" s="556" t="str">
        <f t="shared" si="46"/>
        <v/>
      </c>
      <c r="D539" s="557" t="str">
        <f t="shared" si="47"/>
        <v/>
      </c>
      <c r="E539" s="560"/>
      <c r="F539" s="559"/>
      <c r="G539" s="559" t="str">
        <f t="shared" si="48"/>
        <v/>
      </c>
      <c r="H539" s="559" t="str">
        <f t="shared" si="49"/>
        <v/>
      </c>
      <c r="I539" s="559" t="str">
        <f t="shared" si="50"/>
        <v/>
      </c>
    </row>
    <row r="540" spans="2:9">
      <c r="B540" s="555" t="str">
        <f t="shared" si="45"/>
        <v/>
      </c>
      <c r="C540" s="556" t="str">
        <f t="shared" si="46"/>
        <v/>
      </c>
      <c r="D540" s="557" t="str">
        <f t="shared" si="47"/>
        <v/>
      </c>
      <c r="E540" s="560"/>
      <c r="F540" s="559"/>
      <c r="G540" s="559" t="str">
        <f t="shared" si="48"/>
        <v/>
      </c>
      <c r="H540" s="559" t="str">
        <f t="shared" si="49"/>
        <v/>
      </c>
      <c r="I540" s="559" t="str">
        <f t="shared" si="50"/>
        <v/>
      </c>
    </row>
    <row r="541" spans="2:9">
      <c r="B541" s="555" t="str">
        <f t="shared" si="45"/>
        <v/>
      </c>
      <c r="C541" s="556" t="str">
        <f t="shared" si="46"/>
        <v/>
      </c>
      <c r="D541" s="557" t="str">
        <f t="shared" si="47"/>
        <v/>
      </c>
      <c r="E541" s="560"/>
      <c r="F541" s="559"/>
      <c r="G541" s="559" t="str">
        <f t="shared" si="48"/>
        <v/>
      </c>
      <c r="H541" s="559" t="str">
        <f t="shared" si="49"/>
        <v/>
      </c>
      <c r="I541" s="559" t="str">
        <f t="shared" si="50"/>
        <v/>
      </c>
    </row>
    <row r="542" spans="2:9">
      <c r="B542" s="555" t="str">
        <f t="shared" si="45"/>
        <v/>
      </c>
      <c r="C542" s="556" t="str">
        <f t="shared" si="46"/>
        <v/>
      </c>
      <c r="D542" s="557" t="str">
        <f t="shared" si="47"/>
        <v/>
      </c>
      <c r="E542" s="560"/>
      <c r="F542" s="559"/>
      <c r="G542" s="559" t="str">
        <f t="shared" si="48"/>
        <v/>
      </c>
      <c r="H542" s="559" t="str">
        <f t="shared" si="49"/>
        <v/>
      </c>
      <c r="I542" s="559" t="str">
        <f t="shared" si="50"/>
        <v/>
      </c>
    </row>
    <row r="543" spans="2:9">
      <c r="B543" s="555" t="str">
        <f t="shared" si="45"/>
        <v/>
      </c>
      <c r="C543" s="556" t="str">
        <f t="shared" si="46"/>
        <v/>
      </c>
      <c r="D543" s="557" t="str">
        <f t="shared" si="47"/>
        <v/>
      </c>
      <c r="E543" s="560"/>
      <c r="F543" s="559"/>
      <c r="G543" s="559" t="str">
        <f t="shared" si="48"/>
        <v/>
      </c>
      <c r="H543" s="559" t="str">
        <f t="shared" si="49"/>
        <v/>
      </c>
      <c r="I543" s="559" t="str">
        <f t="shared" si="50"/>
        <v/>
      </c>
    </row>
    <row r="544" spans="2:9">
      <c r="B544" s="555" t="str">
        <f t="shared" si="45"/>
        <v/>
      </c>
      <c r="C544" s="556" t="str">
        <f t="shared" si="46"/>
        <v/>
      </c>
      <c r="D544" s="557" t="str">
        <f t="shared" si="47"/>
        <v/>
      </c>
      <c r="E544" s="560"/>
      <c r="F544" s="559"/>
      <c r="G544" s="559" t="str">
        <f t="shared" si="48"/>
        <v/>
      </c>
      <c r="H544" s="559" t="str">
        <f t="shared" si="49"/>
        <v/>
      </c>
      <c r="I544" s="559" t="str">
        <f t="shared" si="50"/>
        <v/>
      </c>
    </row>
    <row r="545" spans="2:9">
      <c r="B545" s="555" t="str">
        <f t="shared" si="45"/>
        <v/>
      </c>
      <c r="C545" s="556" t="str">
        <f t="shared" si="46"/>
        <v/>
      </c>
      <c r="D545" s="557" t="str">
        <f t="shared" si="47"/>
        <v/>
      </c>
      <c r="E545" s="560"/>
      <c r="F545" s="559"/>
      <c r="G545" s="559" t="str">
        <f t="shared" si="48"/>
        <v/>
      </c>
      <c r="H545" s="559" t="str">
        <f t="shared" si="49"/>
        <v/>
      </c>
      <c r="I545" s="559" t="str">
        <f t="shared" si="50"/>
        <v/>
      </c>
    </row>
    <row r="546" spans="2:9">
      <c r="B546" s="555" t="str">
        <f t="shared" si="45"/>
        <v/>
      </c>
      <c r="C546" s="556" t="str">
        <f t="shared" si="46"/>
        <v/>
      </c>
      <c r="D546" s="557" t="str">
        <f t="shared" si="47"/>
        <v/>
      </c>
      <c r="E546" s="560"/>
      <c r="F546" s="559"/>
      <c r="G546" s="559" t="str">
        <f t="shared" si="48"/>
        <v/>
      </c>
      <c r="H546" s="559" t="str">
        <f t="shared" si="49"/>
        <v/>
      </c>
      <c r="I546" s="559" t="str">
        <f t="shared" si="50"/>
        <v/>
      </c>
    </row>
    <row r="547" spans="2:9">
      <c r="B547" s="555" t="str">
        <f t="shared" si="45"/>
        <v/>
      </c>
      <c r="C547" s="556" t="str">
        <f t="shared" si="46"/>
        <v/>
      </c>
      <c r="D547" s="557" t="str">
        <f t="shared" si="47"/>
        <v/>
      </c>
      <c r="E547" s="560"/>
      <c r="F547" s="559"/>
      <c r="G547" s="559" t="str">
        <f t="shared" si="48"/>
        <v/>
      </c>
      <c r="H547" s="559" t="str">
        <f t="shared" si="49"/>
        <v/>
      </c>
      <c r="I547" s="559" t="str">
        <f t="shared" si="50"/>
        <v/>
      </c>
    </row>
    <row r="548" spans="2:9">
      <c r="B548" s="555" t="str">
        <f t="shared" si="45"/>
        <v/>
      </c>
      <c r="C548" s="556" t="str">
        <f t="shared" si="46"/>
        <v/>
      </c>
      <c r="D548" s="557" t="str">
        <f t="shared" si="47"/>
        <v/>
      </c>
      <c r="E548" s="560"/>
      <c r="F548" s="559"/>
      <c r="G548" s="559" t="str">
        <f t="shared" si="48"/>
        <v/>
      </c>
      <c r="H548" s="559" t="str">
        <f t="shared" si="49"/>
        <v/>
      </c>
      <c r="I548" s="559" t="str">
        <f t="shared" si="50"/>
        <v/>
      </c>
    </row>
    <row r="549" spans="2:9">
      <c r="B549" s="555" t="str">
        <f t="shared" si="45"/>
        <v/>
      </c>
      <c r="C549" s="556" t="str">
        <f t="shared" si="46"/>
        <v/>
      </c>
      <c r="D549" s="557" t="str">
        <f t="shared" si="47"/>
        <v/>
      </c>
      <c r="E549" s="560"/>
      <c r="F549" s="559"/>
      <c r="G549" s="559" t="str">
        <f t="shared" si="48"/>
        <v/>
      </c>
      <c r="H549" s="559" t="str">
        <f t="shared" si="49"/>
        <v/>
      </c>
      <c r="I549" s="559" t="str">
        <f t="shared" si="50"/>
        <v/>
      </c>
    </row>
    <row r="550" spans="2:9">
      <c r="B550" s="555" t="str">
        <f t="shared" si="45"/>
        <v/>
      </c>
      <c r="C550" s="556" t="str">
        <f t="shared" si="46"/>
        <v/>
      </c>
      <c r="D550" s="557" t="str">
        <f t="shared" si="47"/>
        <v/>
      </c>
      <c r="E550" s="560"/>
      <c r="F550" s="559"/>
      <c r="G550" s="559" t="str">
        <f t="shared" si="48"/>
        <v/>
      </c>
      <c r="H550" s="559" t="str">
        <f t="shared" si="49"/>
        <v/>
      </c>
      <c r="I550" s="559" t="str">
        <f t="shared" si="50"/>
        <v/>
      </c>
    </row>
    <row r="551" spans="2:9">
      <c r="B551" s="555" t="str">
        <f t="shared" si="45"/>
        <v/>
      </c>
      <c r="C551" s="556" t="str">
        <f t="shared" si="46"/>
        <v/>
      </c>
      <c r="D551" s="557" t="str">
        <f t="shared" si="47"/>
        <v/>
      </c>
      <c r="E551" s="560"/>
      <c r="F551" s="559"/>
      <c r="G551" s="559" t="str">
        <f t="shared" si="48"/>
        <v/>
      </c>
      <c r="H551" s="559" t="str">
        <f t="shared" si="49"/>
        <v/>
      </c>
      <c r="I551" s="559" t="str">
        <f t="shared" si="50"/>
        <v/>
      </c>
    </row>
    <row r="552" spans="2:9">
      <c r="B552" s="555" t="str">
        <f t="shared" si="45"/>
        <v/>
      </c>
      <c r="C552" s="556" t="str">
        <f t="shared" si="46"/>
        <v/>
      </c>
      <c r="D552" s="557" t="str">
        <f t="shared" si="47"/>
        <v/>
      </c>
      <c r="E552" s="560"/>
      <c r="F552" s="559"/>
      <c r="G552" s="559" t="str">
        <f t="shared" si="48"/>
        <v/>
      </c>
      <c r="H552" s="559" t="str">
        <f t="shared" si="49"/>
        <v/>
      </c>
      <c r="I552" s="559" t="str">
        <f t="shared" si="50"/>
        <v/>
      </c>
    </row>
    <row r="553" spans="2:9">
      <c r="B553" s="555" t="str">
        <f t="shared" si="45"/>
        <v/>
      </c>
      <c r="C553" s="556" t="str">
        <f t="shared" si="46"/>
        <v/>
      </c>
      <c r="D553" s="557" t="str">
        <f t="shared" si="47"/>
        <v/>
      </c>
      <c r="E553" s="560"/>
      <c r="F553" s="559"/>
      <c r="G553" s="559" t="str">
        <f t="shared" si="48"/>
        <v/>
      </c>
      <c r="H553" s="559" t="str">
        <f t="shared" si="49"/>
        <v/>
      </c>
      <c r="I553" s="559" t="str">
        <f t="shared" si="50"/>
        <v/>
      </c>
    </row>
    <row r="554" spans="2:9">
      <c r="B554" s="555" t="str">
        <f t="shared" si="45"/>
        <v/>
      </c>
      <c r="C554" s="556" t="str">
        <f t="shared" si="46"/>
        <v/>
      </c>
      <c r="D554" s="557" t="str">
        <f t="shared" si="47"/>
        <v/>
      </c>
      <c r="E554" s="560"/>
      <c r="F554" s="559"/>
      <c r="G554" s="559" t="str">
        <f t="shared" si="48"/>
        <v/>
      </c>
      <c r="H554" s="559" t="str">
        <f t="shared" si="49"/>
        <v/>
      </c>
      <c r="I554" s="559" t="str">
        <f t="shared" si="50"/>
        <v/>
      </c>
    </row>
    <row r="555" spans="2:9">
      <c r="B555" s="555" t="str">
        <f t="shared" si="45"/>
        <v/>
      </c>
      <c r="C555" s="556" t="str">
        <f t="shared" si="46"/>
        <v/>
      </c>
      <c r="D555" s="557" t="str">
        <f t="shared" si="47"/>
        <v/>
      </c>
      <c r="E555" s="560"/>
      <c r="F555" s="559"/>
      <c r="G555" s="559" t="str">
        <f t="shared" si="48"/>
        <v/>
      </c>
      <c r="H555" s="559" t="str">
        <f t="shared" si="49"/>
        <v/>
      </c>
      <c r="I555" s="559" t="str">
        <f t="shared" si="50"/>
        <v/>
      </c>
    </row>
    <row r="556" spans="2:9">
      <c r="B556" s="555" t="str">
        <f t="shared" si="45"/>
        <v/>
      </c>
      <c r="C556" s="556" t="str">
        <f t="shared" si="46"/>
        <v/>
      </c>
      <c r="D556" s="557" t="str">
        <f t="shared" si="47"/>
        <v/>
      </c>
      <c r="E556" s="560"/>
      <c r="F556" s="559"/>
      <c r="G556" s="559" t="str">
        <f t="shared" si="48"/>
        <v/>
      </c>
      <c r="H556" s="559" t="str">
        <f t="shared" si="49"/>
        <v/>
      </c>
      <c r="I556" s="559" t="str">
        <f t="shared" si="50"/>
        <v/>
      </c>
    </row>
    <row r="557" spans="2:9">
      <c r="B557" s="555" t="str">
        <f t="shared" si="45"/>
        <v/>
      </c>
      <c r="C557" s="556" t="str">
        <f t="shared" si="46"/>
        <v/>
      </c>
      <c r="D557" s="557" t="str">
        <f t="shared" si="47"/>
        <v/>
      </c>
      <c r="E557" s="560"/>
      <c r="F557" s="559"/>
      <c r="G557" s="559" t="str">
        <f t="shared" si="48"/>
        <v/>
      </c>
      <c r="H557" s="559" t="str">
        <f t="shared" si="49"/>
        <v/>
      </c>
      <c r="I557" s="559" t="str">
        <f t="shared" si="50"/>
        <v/>
      </c>
    </row>
    <row r="558" spans="2:9">
      <c r="B558" s="555" t="str">
        <f t="shared" si="45"/>
        <v/>
      </c>
      <c r="C558" s="556" t="str">
        <f t="shared" si="46"/>
        <v/>
      </c>
      <c r="D558" s="557" t="str">
        <f t="shared" si="47"/>
        <v/>
      </c>
      <c r="E558" s="560"/>
      <c r="F558" s="559"/>
      <c r="G558" s="559" t="str">
        <f t="shared" si="48"/>
        <v/>
      </c>
      <c r="H558" s="559" t="str">
        <f t="shared" si="49"/>
        <v/>
      </c>
      <c r="I558" s="559" t="str">
        <f t="shared" si="50"/>
        <v/>
      </c>
    </row>
    <row r="559" spans="2:9">
      <c r="B559" s="555" t="str">
        <f t="shared" si="45"/>
        <v/>
      </c>
      <c r="C559" s="556" t="str">
        <f t="shared" si="46"/>
        <v/>
      </c>
      <c r="D559" s="557" t="str">
        <f t="shared" si="47"/>
        <v/>
      </c>
      <c r="E559" s="560"/>
      <c r="F559" s="559"/>
      <c r="G559" s="559" t="str">
        <f t="shared" si="48"/>
        <v/>
      </c>
      <c r="H559" s="559" t="str">
        <f t="shared" si="49"/>
        <v/>
      </c>
      <c r="I559" s="559" t="str">
        <f t="shared" si="50"/>
        <v/>
      </c>
    </row>
    <row r="560" spans="2:9">
      <c r="B560" s="555" t="str">
        <f t="shared" si="45"/>
        <v/>
      </c>
      <c r="C560" s="556" t="str">
        <f t="shared" si="46"/>
        <v/>
      </c>
      <c r="D560" s="557" t="str">
        <f t="shared" si="47"/>
        <v/>
      </c>
      <c r="E560" s="560"/>
      <c r="F560" s="559"/>
      <c r="G560" s="559" t="str">
        <f t="shared" si="48"/>
        <v/>
      </c>
      <c r="H560" s="559" t="str">
        <f t="shared" si="49"/>
        <v/>
      </c>
      <c r="I560" s="559" t="str">
        <f t="shared" si="50"/>
        <v/>
      </c>
    </row>
    <row r="561" spans="2:9">
      <c r="B561" s="555" t="str">
        <f t="shared" si="45"/>
        <v/>
      </c>
      <c r="C561" s="556" t="str">
        <f t="shared" si="46"/>
        <v/>
      </c>
      <c r="D561" s="557" t="str">
        <f t="shared" si="47"/>
        <v/>
      </c>
      <c r="E561" s="560"/>
      <c r="F561" s="559"/>
      <c r="G561" s="559" t="str">
        <f t="shared" si="48"/>
        <v/>
      </c>
      <c r="H561" s="559" t="str">
        <f t="shared" si="49"/>
        <v/>
      </c>
      <c r="I561" s="559" t="str">
        <f t="shared" si="50"/>
        <v/>
      </c>
    </row>
    <row r="562" spans="2:9">
      <c r="B562" s="555" t="str">
        <f t="shared" si="45"/>
        <v/>
      </c>
      <c r="C562" s="556" t="str">
        <f t="shared" si="46"/>
        <v/>
      </c>
      <c r="D562" s="557" t="str">
        <f t="shared" si="47"/>
        <v/>
      </c>
      <c r="E562" s="560"/>
      <c r="F562" s="559"/>
      <c r="G562" s="559" t="str">
        <f t="shared" si="48"/>
        <v/>
      </c>
      <c r="H562" s="559" t="str">
        <f t="shared" si="49"/>
        <v/>
      </c>
      <c r="I562" s="559" t="str">
        <f t="shared" si="50"/>
        <v/>
      </c>
    </row>
    <row r="563" spans="2:9">
      <c r="B563" s="555" t="str">
        <f t="shared" si="45"/>
        <v/>
      </c>
      <c r="C563" s="556" t="str">
        <f t="shared" si="46"/>
        <v/>
      </c>
      <c r="D563" s="557" t="str">
        <f t="shared" si="47"/>
        <v/>
      </c>
      <c r="E563" s="560"/>
      <c r="F563" s="559"/>
      <c r="G563" s="559" t="str">
        <f t="shared" si="48"/>
        <v/>
      </c>
      <c r="H563" s="559" t="str">
        <f t="shared" si="49"/>
        <v/>
      </c>
      <c r="I563" s="559" t="str">
        <f t="shared" si="50"/>
        <v/>
      </c>
    </row>
    <row r="564" spans="2:9">
      <c r="B564" s="555" t="str">
        <f t="shared" si="45"/>
        <v/>
      </c>
      <c r="C564" s="556" t="str">
        <f t="shared" si="46"/>
        <v/>
      </c>
      <c r="D564" s="557" t="str">
        <f t="shared" si="47"/>
        <v/>
      </c>
      <c r="E564" s="560"/>
      <c r="F564" s="559"/>
      <c r="G564" s="559" t="str">
        <f t="shared" si="48"/>
        <v/>
      </c>
      <c r="H564" s="559" t="str">
        <f t="shared" si="49"/>
        <v/>
      </c>
      <c r="I564" s="559" t="str">
        <f t="shared" si="50"/>
        <v/>
      </c>
    </row>
    <row r="565" spans="2:9">
      <c r="B565" s="555" t="str">
        <f t="shared" si="45"/>
        <v/>
      </c>
      <c r="C565" s="556" t="str">
        <f t="shared" si="46"/>
        <v/>
      </c>
      <c r="D565" s="557" t="str">
        <f t="shared" si="47"/>
        <v/>
      </c>
      <c r="E565" s="560"/>
      <c r="F565" s="559"/>
      <c r="G565" s="559" t="str">
        <f t="shared" si="48"/>
        <v/>
      </c>
      <c r="H565" s="559" t="str">
        <f t="shared" si="49"/>
        <v/>
      </c>
      <c r="I565" s="559" t="str">
        <f t="shared" si="50"/>
        <v/>
      </c>
    </row>
    <row r="566" spans="2:9">
      <c r="B566" s="555" t="str">
        <f t="shared" si="45"/>
        <v/>
      </c>
      <c r="C566" s="556" t="str">
        <f t="shared" si="46"/>
        <v/>
      </c>
      <c r="D566" s="557" t="str">
        <f t="shared" si="47"/>
        <v/>
      </c>
      <c r="E566" s="560"/>
      <c r="F566" s="559"/>
      <c r="G566" s="559" t="str">
        <f t="shared" si="48"/>
        <v/>
      </c>
      <c r="H566" s="559" t="str">
        <f t="shared" si="49"/>
        <v/>
      </c>
      <c r="I566" s="559" t="str">
        <f t="shared" si="50"/>
        <v/>
      </c>
    </row>
    <row r="567" spans="2:9">
      <c r="B567" s="555" t="str">
        <f t="shared" si="45"/>
        <v/>
      </c>
      <c r="C567" s="556" t="str">
        <f t="shared" si="46"/>
        <v/>
      </c>
      <c r="D567" s="557" t="str">
        <f t="shared" si="47"/>
        <v/>
      </c>
      <c r="E567" s="560"/>
      <c r="F567" s="559"/>
      <c r="G567" s="559" t="str">
        <f t="shared" si="48"/>
        <v/>
      </c>
      <c r="H567" s="559" t="str">
        <f t="shared" si="49"/>
        <v/>
      </c>
      <c r="I567" s="559" t="str">
        <f t="shared" si="50"/>
        <v/>
      </c>
    </row>
    <row r="568" spans="2:9">
      <c r="B568" s="555" t="str">
        <f t="shared" si="45"/>
        <v/>
      </c>
      <c r="C568" s="556" t="str">
        <f t="shared" si="46"/>
        <v/>
      </c>
      <c r="D568" s="557" t="str">
        <f t="shared" si="47"/>
        <v/>
      </c>
      <c r="E568" s="560"/>
      <c r="F568" s="559"/>
      <c r="G568" s="559" t="str">
        <f t="shared" si="48"/>
        <v/>
      </c>
      <c r="H568" s="559" t="str">
        <f t="shared" si="49"/>
        <v/>
      </c>
      <c r="I568" s="559" t="str">
        <f t="shared" si="50"/>
        <v/>
      </c>
    </row>
    <row r="569" spans="2:9">
      <c r="B569" s="555" t="str">
        <f t="shared" si="45"/>
        <v/>
      </c>
      <c r="C569" s="556" t="str">
        <f t="shared" si="46"/>
        <v/>
      </c>
      <c r="D569" s="557" t="str">
        <f t="shared" si="47"/>
        <v/>
      </c>
      <c r="E569" s="560"/>
      <c r="F569" s="559"/>
      <c r="G569" s="559" t="str">
        <f t="shared" si="48"/>
        <v/>
      </c>
      <c r="H569" s="559" t="str">
        <f t="shared" si="49"/>
        <v/>
      </c>
      <c r="I569" s="559" t="str">
        <f t="shared" si="50"/>
        <v/>
      </c>
    </row>
    <row r="570" spans="2:9">
      <c r="B570" s="555" t="str">
        <f t="shared" si="45"/>
        <v/>
      </c>
      <c r="C570" s="556" t="str">
        <f t="shared" si="46"/>
        <v/>
      </c>
      <c r="D570" s="557" t="str">
        <f t="shared" si="47"/>
        <v/>
      </c>
      <c r="E570" s="560"/>
      <c r="F570" s="559"/>
      <c r="G570" s="559" t="str">
        <f t="shared" si="48"/>
        <v/>
      </c>
      <c r="H570" s="559" t="str">
        <f t="shared" si="49"/>
        <v/>
      </c>
      <c r="I570" s="559" t="str">
        <f t="shared" si="50"/>
        <v/>
      </c>
    </row>
    <row r="571" spans="2:9">
      <c r="B571" s="555" t="str">
        <f t="shared" si="45"/>
        <v/>
      </c>
      <c r="C571" s="556" t="str">
        <f t="shared" si="46"/>
        <v/>
      </c>
      <c r="D571" s="557" t="str">
        <f t="shared" si="47"/>
        <v/>
      </c>
      <c r="E571" s="560"/>
      <c r="F571" s="559"/>
      <c r="G571" s="559" t="str">
        <f t="shared" si="48"/>
        <v/>
      </c>
      <c r="H571" s="559" t="str">
        <f t="shared" si="49"/>
        <v/>
      </c>
      <c r="I571" s="559" t="str">
        <f t="shared" si="50"/>
        <v/>
      </c>
    </row>
    <row r="572" spans="2:9">
      <c r="B572" s="555" t="str">
        <f t="shared" si="45"/>
        <v/>
      </c>
      <c r="C572" s="556" t="str">
        <f t="shared" si="46"/>
        <v/>
      </c>
      <c r="D572" s="557" t="str">
        <f t="shared" si="47"/>
        <v/>
      </c>
      <c r="E572" s="560"/>
      <c r="F572" s="559"/>
      <c r="G572" s="559" t="str">
        <f t="shared" si="48"/>
        <v/>
      </c>
      <c r="H572" s="559" t="str">
        <f t="shared" si="49"/>
        <v/>
      </c>
      <c r="I572" s="559" t="str">
        <f t="shared" si="50"/>
        <v/>
      </c>
    </row>
    <row r="573" spans="2:9">
      <c r="B573" s="555" t="str">
        <f t="shared" ref="B573:B636" si="51">IF(I572="","",IF(roundOpt,IF(OR(B572&gt;=nper,ROUND(I572,2)&lt;=0),"",B572+1),IF(OR(B572&gt;=nper,I572&lt;=0),"",B572+1)))</f>
        <v/>
      </c>
      <c r="C573" s="556" t="str">
        <f t="shared" ref="C573:C636" si="52">IF(B573="","",IF(OR(periods_per_year=26,periods_per_year=52),IF(periods_per_year=26,IF(B573=1,fpdate,C572+14),IF(periods_per_year=52,IF(B573=1,fpdate,C572+7),"n/a")),IF(periods_per_year=24,DATE(YEAR(fpdate),MONTH(fpdate)+(B573-1)/2+IF(AND(DAY(fpdate)&gt;=15,MOD(B573,2)=0),1,0),IF(MOD(B573,2)=0,IF(DAY(fpdate)&gt;=15,DAY(fpdate)-14,DAY(fpdate)+14),DAY(fpdate))),IF(DAY(DATE(YEAR(fpdate),MONTH(fpdate)+(B573-1)*months_per_period,DAY(fpdate)))&lt;&gt;DAY(fpdate),DATE(YEAR(fpdate),MONTH(fpdate)+(B573-1)*months_per_period+1,0),DATE(YEAR(fpdate),MONTH(fpdate)+(B573-1)*months_per_period,DAY(fpdate))))))</f>
        <v/>
      </c>
      <c r="D573" s="557" t="str">
        <f t="shared" ref="D573:D636" si="53">IF(B573="","",IF(roundOpt,IF(OR(B573=nper,payment&gt;ROUND((1+rate)*I572,2)),ROUND((1+rate)*I572,2),payment),IF(OR(B573=nper,payment&gt;(1+rate)*I572),(1+rate)*I572,payment)))</f>
        <v/>
      </c>
      <c r="E573" s="560"/>
      <c r="F573" s="559"/>
      <c r="G573" s="559" t="str">
        <f t="shared" ref="G573:G636" si="54">IF(B573="","",IF(AND(B573=1,pmtType=1),0,IF(roundOpt,ROUND(rate*I572,2),rate*I572)))</f>
        <v/>
      </c>
      <c r="H573" s="559" t="str">
        <f t="shared" ref="H573:H636" si="55">IF(B573="","",D573-G573+E573)</f>
        <v/>
      </c>
      <c r="I573" s="559" t="str">
        <f t="shared" ref="I573:I636" si="56">IF(B573="","",I572-H573)</f>
        <v/>
      </c>
    </row>
    <row r="574" spans="2:9">
      <c r="B574" s="555" t="str">
        <f t="shared" si="51"/>
        <v/>
      </c>
      <c r="C574" s="556" t="str">
        <f t="shared" si="52"/>
        <v/>
      </c>
      <c r="D574" s="557" t="str">
        <f t="shared" si="53"/>
        <v/>
      </c>
      <c r="E574" s="560"/>
      <c r="F574" s="559"/>
      <c r="G574" s="559" t="str">
        <f t="shared" si="54"/>
        <v/>
      </c>
      <c r="H574" s="559" t="str">
        <f t="shared" si="55"/>
        <v/>
      </c>
      <c r="I574" s="559" t="str">
        <f t="shared" si="56"/>
        <v/>
      </c>
    </row>
    <row r="575" spans="2:9">
      <c r="B575" s="555" t="str">
        <f t="shared" si="51"/>
        <v/>
      </c>
      <c r="C575" s="556" t="str">
        <f t="shared" si="52"/>
        <v/>
      </c>
      <c r="D575" s="557" t="str">
        <f t="shared" si="53"/>
        <v/>
      </c>
      <c r="E575" s="560"/>
      <c r="F575" s="559"/>
      <c r="G575" s="559" t="str">
        <f t="shared" si="54"/>
        <v/>
      </c>
      <c r="H575" s="559" t="str">
        <f t="shared" si="55"/>
        <v/>
      </c>
      <c r="I575" s="559" t="str">
        <f t="shared" si="56"/>
        <v/>
      </c>
    </row>
    <row r="576" spans="2:9">
      <c r="B576" s="555" t="str">
        <f t="shared" si="51"/>
        <v/>
      </c>
      <c r="C576" s="556" t="str">
        <f t="shared" si="52"/>
        <v/>
      </c>
      <c r="D576" s="557" t="str">
        <f t="shared" si="53"/>
        <v/>
      </c>
      <c r="E576" s="560"/>
      <c r="F576" s="559"/>
      <c r="G576" s="559" t="str">
        <f t="shared" si="54"/>
        <v/>
      </c>
      <c r="H576" s="559" t="str">
        <f t="shared" si="55"/>
        <v/>
      </c>
      <c r="I576" s="559" t="str">
        <f t="shared" si="56"/>
        <v/>
      </c>
    </row>
    <row r="577" spans="2:9">
      <c r="B577" s="555" t="str">
        <f t="shared" si="51"/>
        <v/>
      </c>
      <c r="C577" s="556" t="str">
        <f t="shared" si="52"/>
        <v/>
      </c>
      <c r="D577" s="557" t="str">
        <f t="shared" si="53"/>
        <v/>
      </c>
      <c r="E577" s="560"/>
      <c r="F577" s="559"/>
      <c r="G577" s="559" t="str">
        <f t="shared" si="54"/>
        <v/>
      </c>
      <c r="H577" s="559" t="str">
        <f t="shared" si="55"/>
        <v/>
      </c>
      <c r="I577" s="559" t="str">
        <f t="shared" si="56"/>
        <v/>
      </c>
    </row>
    <row r="578" spans="2:9">
      <c r="B578" s="555" t="str">
        <f t="shared" si="51"/>
        <v/>
      </c>
      <c r="C578" s="556" t="str">
        <f t="shared" si="52"/>
        <v/>
      </c>
      <c r="D578" s="557" t="str">
        <f t="shared" si="53"/>
        <v/>
      </c>
      <c r="E578" s="560"/>
      <c r="F578" s="559"/>
      <c r="G578" s="559" t="str">
        <f t="shared" si="54"/>
        <v/>
      </c>
      <c r="H578" s="559" t="str">
        <f t="shared" si="55"/>
        <v/>
      </c>
      <c r="I578" s="559" t="str">
        <f t="shared" si="56"/>
        <v/>
      </c>
    </row>
    <row r="579" spans="2:9">
      <c r="B579" s="555" t="str">
        <f t="shared" si="51"/>
        <v/>
      </c>
      <c r="C579" s="556" t="str">
        <f t="shared" si="52"/>
        <v/>
      </c>
      <c r="D579" s="557" t="str">
        <f t="shared" si="53"/>
        <v/>
      </c>
      <c r="E579" s="560"/>
      <c r="F579" s="559"/>
      <c r="G579" s="559" t="str">
        <f t="shared" si="54"/>
        <v/>
      </c>
      <c r="H579" s="559" t="str">
        <f t="shared" si="55"/>
        <v/>
      </c>
      <c r="I579" s="559" t="str">
        <f t="shared" si="56"/>
        <v/>
      </c>
    </row>
    <row r="580" spans="2:9">
      <c r="B580" s="555" t="str">
        <f t="shared" si="51"/>
        <v/>
      </c>
      <c r="C580" s="556" t="str">
        <f t="shared" si="52"/>
        <v/>
      </c>
      <c r="D580" s="557" t="str">
        <f t="shared" si="53"/>
        <v/>
      </c>
      <c r="E580" s="560"/>
      <c r="F580" s="559"/>
      <c r="G580" s="559" t="str">
        <f t="shared" si="54"/>
        <v/>
      </c>
      <c r="H580" s="559" t="str">
        <f t="shared" si="55"/>
        <v/>
      </c>
      <c r="I580" s="559" t="str">
        <f t="shared" si="56"/>
        <v/>
      </c>
    </row>
    <row r="581" spans="2:9">
      <c r="B581" s="555" t="str">
        <f t="shared" si="51"/>
        <v/>
      </c>
      <c r="C581" s="556" t="str">
        <f t="shared" si="52"/>
        <v/>
      </c>
      <c r="D581" s="557" t="str">
        <f t="shared" si="53"/>
        <v/>
      </c>
      <c r="E581" s="560"/>
      <c r="F581" s="559"/>
      <c r="G581" s="559" t="str">
        <f t="shared" si="54"/>
        <v/>
      </c>
      <c r="H581" s="559" t="str">
        <f t="shared" si="55"/>
        <v/>
      </c>
      <c r="I581" s="559" t="str">
        <f t="shared" si="56"/>
        <v/>
      </c>
    </row>
    <row r="582" spans="2:9">
      <c r="B582" s="555" t="str">
        <f t="shared" si="51"/>
        <v/>
      </c>
      <c r="C582" s="556" t="str">
        <f t="shared" si="52"/>
        <v/>
      </c>
      <c r="D582" s="557" t="str">
        <f t="shared" si="53"/>
        <v/>
      </c>
      <c r="E582" s="560"/>
      <c r="F582" s="559"/>
      <c r="G582" s="559" t="str">
        <f t="shared" si="54"/>
        <v/>
      </c>
      <c r="H582" s="559" t="str">
        <f t="shared" si="55"/>
        <v/>
      </c>
      <c r="I582" s="559" t="str">
        <f t="shared" si="56"/>
        <v/>
      </c>
    </row>
    <row r="583" spans="2:9">
      <c r="B583" s="555" t="str">
        <f t="shared" si="51"/>
        <v/>
      </c>
      <c r="C583" s="556" t="str">
        <f t="shared" si="52"/>
        <v/>
      </c>
      <c r="D583" s="557" t="str">
        <f t="shared" si="53"/>
        <v/>
      </c>
      <c r="E583" s="560"/>
      <c r="F583" s="559"/>
      <c r="G583" s="559" t="str">
        <f t="shared" si="54"/>
        <v/>
      </c>
      <c r="H583" s="559" t="str">
        <f t="shared" si="55"/>
        <v/>
      </c>
      <c r="I583" s="559" t="str">
        <f t="shared" si="56"/>
        <v/>
      </c>
    </row>
    <row r="584" spans="2:9">
      <c r="B584" s="555" t="str">
        <f t="shared" si="51"/>
        <v/>
      </c>
      <c r="C584" s="556" t="str">
        <f t="shared" si="52"/>
        <v/>
      </c>
      <c r="D584" s="557" t="str">
        <f t="shared" si="53"/>
        <v/>
      </c>
      <c r="E584" s="560"/>
      <c r="F584" s="559"/>
      <c r="G584" s="559" t="str">
        <f t="shared" si="54"/>
        <v/>
      </c>
      <c r="H584" s="559" t="str">
        <f t="shared" si="55"/>
        <v/>
      </c>
      <c r="I584" s="559" t="str">
        <f t="shared" si="56"/>
        <v/>
      </c>
    </row>
    <row r="585" spans="2:9">
      <c r="B585" s="555" t="str">
        <f t="shared" si="51"/>
        <v/>
      </c>
      <c r="C585" s="556" t="str">
        <f t="shared" si="52"/>
        <v/>
      </c>
      <c r="D585" s="557" t="str">
        <f t="shared" si="53"/>
        <v/>
      </c>
      <c r="E585" s="560"/>
      <c r="F585" s="559"/>
      <c r="G585" s="559" t="str">
        <f t="shared" si="54"/>
        <v/>
      </c>
      <c r="H585" s="559" t="str">
        <f t="shared" si="55"/>
        <v/>
      </c>
      <c r="I585" s="559" t="str">
        <f t="shared" si="56"/>
        <v/>
      </c>
    </row>
    <row r="586" spans="2:9">
      <c r="B586" s="555" t="str">
        <f t="shared" si="51"/>
        <v/>
      </c>
      <c r="C586" s="556" t="str">
        <f t="shared" si="52"/>
        <v/>
      </c>
      <c r="D586" s="557" t="str">
        <f t="shared" si="53"/>
        <v/>
      </c>
      <c r="E586" s="560"/>
      <c r="F586" s="559"/>
      <c r="G586" s="559" t="str">
        <f t="shared" si="54"/>
        <v/>
      </c>
      <c r="H586" s="559" t="str">
        <f t="shared" si="55"/>
        <v/>
      </c>
      <c r="I586" s="559" t="str">
        <f t="shared" si="56"/>
        <v/>
      </c>
    </row>
    <row r="587" spans="2:9">
      <c r="B587" s="555" t="str">
        <f t="shared" si="51"/>
        <v/>
      </c>
      <c r="C587" s="556" t="str">
        <f t="shared" si="52"/>
        <v/>
      </c>
      <c r="D587" s="557" t="str">
        <f t="shared" si="53"/>
        <v/>
      </c>
      <c r="E587" s="560"/>
      <c r="F587" s="559"/>
      <c r="G587" s="559" t="str">
        <f t="shared" si="54"/>
        <v/>
      </c>
      <c r="H587" s="559" t="str">
        <f t="shared" si="55"/>
        <v/>
      </c>
      <c r="I587" s="559" t="str">
        <f t="shared" si="56"/>
        <v/>
      </c>
    </row>
    <row r="588" spans="2:9">
      <c r="B588" s="555" t="str">
        <f t="shared" si="51"/>
        <v/>
      </c>
      <c r="C588" s="556" t="str">
        <f t="shared" si="52"/>
        <v/>
      </c>
      <c r="D588" s="557" t="str">
        <f t="shared" si="53"/>
        <v/>
      </c>
      <c r="E588" s="560"/>
      <c r="F588" s="559"/>
      <c r="G588" s="559" t="str">
        <f t="shared" si="54"/>
        <v/>
      </c>
      <c r="H588" s="559" t="str">
        <f t="shared" si="55"/>
        <v/>
      </c>
      <c r="I588" s="559" t="str">
        <f t="shared" si="56"/>
        <v/>
      </c>
    </row>
    <row r="589" spans="2:9">
      <c r="B589" s="555" t="str">
        <f t="shared" si="51"/>
        <v/>
      </c>
      <c r="C589" s="556" t="str">
        <f t="shared" si="52"/>
        <v/>
      </c>
      <c r="D589" s="557" t="str">
        <f t="shared" si="53"/>
        <v/>
      </c>
      <c r="E589" s="560"/>
      <c r="F589" s="559"/>
      <c r="G589" s="559" t="str">
        <f t="shared" si="54"/>
        <v/>
      </c>
      <c r="H589" s="559" t="str">
        <f t="shared" si="55"/>
        <v/>
      </c>
      <c r="I589" s="559" t="str">
        <f t="shared" si="56"/>
        <v/>
      </c>
    </row>
    <row r="590" spans="2:9">
      <c r="B590" s="555" t="str">
        <f t="shared" si="51"/>
        <v/>
      </c>
      <c r="C590" s="556" t="str">
        <f t="shared" si="52"/>
        <v/>
      </c>
      <c r="D590" s="557" t="str">
        <f t="shared" si="53"/>
        <v/>
      </c>
      <c r="E590" s="560"/>
      <c r="F590" s="559"/>
      <c r="G590" s="559" t="str">
        <f t="shared" si="54"/>
        <v/>
      </c>
      <c r="H590" s="559" t="str">
        <f t="shared" si="55"/>
        <v/>
      </c>
      <c r="I590" s="559" t="str">
        <f t="shared" si="56"/>
        <v/>
      </c>
    </row>
    <row r="591" spans="2:9">
      <c r="B591" s="555" t="str">
        <f t="shared" si="51"/>
        <v/>
      </c>
      <c r="C591" s="556" t="str">
        <f t="shared" si="52"/>
        <v/>
      </c>
      <c r="D591" s="557" t="str">
        <f t="shared" si="53"/>
        <v/>
      </c>
      <c r="E591" s="560"/>
      <c r="F591" s="559"/>
      <c r="G591" s="559" t="str">
        <f t="shared" si="54"/>
        <v/>
      </c>
      <c r="H591" s="559" t="str">
        <f t="shared" si="55"/>
        <v/>
      </c>
      <c r="I591" s="559" t="str">
        <f t="shared" si="56"/>
        <v/>
      </c>
    </row>
    <row r="592" spans="2:9">
      <c r="B592" s="555" t="str">
        <f t="shared" si="51"/>
        <v/>
      </c>
      <c r="C592" s="556" t="str">
        <f t="shared" si="52"/>
        <v/>
      </c>
      <c r="D592" s="557" t="str">
        <f t="shared" si="53"/>
        <v/>
      </c>
      <c r="E592" s="560"/>
      <c r="F592" s="559"/>
      <c r="G592" s="559" t="str">
        <f t="shared" si="54"/>
        <v/>
      </c>
      <c r="H592" s="559" t="str">
        <f t="shared" si="55"/>
        <v/>
      </c>
      <c r="I592" s="559" t="str">
        <f t="shared" si="56"/>
        <v/>
      </c>
    </row>
    <row r="593" spans="2:9">
      <c r="B593" s="555" t="str">
        <f t="shared" si="51"/>
        <v/>
      </c>
      <c r="C593" s="556" t="str">
        <f t="shared" si="52"/>
        <v/>
      </c>
      <c r="D593" s="557" t="str">
        <f t="shared" si="53"/>
        <v/>
      </c>
      <c r="E593" s="560"/>
      <c r="F593" s="559"/>
      <c r="G593" s="559" t="str">
        <f t="shared" si="54"/>
        <v/>
      </c>
      <c r="H593" s="559" t="str">
        <f t="shared" si="55"/>
        <v/>
      </c>
      <c r="I593" s="559" t="str">
        <f t="shared" si="56"/>
        <v/>
      </c>
    </row>
    <row r="594" spans="2:9">
      <c r="B594" s="555" t="str">
        <f t="shared" si="51"/>
        <v/>
      </c>
      <c r="C594" s="556" t="str">
        <f t="shared" si="52"/>
        <v/>
      </c>
      <c r="D594" s="557" t="str">
        <f t="shared" si="53"/>
        <v/>
      </c>
      <c r="E594" s="560"/>
      <c r="F594" s="559"/>
      <c r="G594" s="559" t="str">
        <f t="shared" si="54"/>
        <v/>
      </c>
      <c r="H594" s="559" t="str">
        <f t="shared" si="55"/>
        <v/>
      </c>
      <c r="I594" s="559" t="str">
        <f t="shared" si="56"/>
        <v/>
      </c>
    </row>
    <row r="595" spans="2:9">
      <c r="B595" s="555" t="str">
        <f t="shared" si="51"/>
        <v/>
      </c>
      <c r="C595" s="556" t="str">
        <f t="shared" si="52"/>
        <v/>
      </c>
      <c r="D595" s="557" t="str">
        <f t="shared" si="53"/>
        <v/>
      </c>
      <c r="E595" s="560"/>
      <c r="F595" s="559"/>
      <c r="G595" s="559" t="str">
        <f t="shared" si="54"/>
        <v/>
      </c>
      <c r="H595" s="559" t="str">
        <f t="shared" si="55"/>
        <v/>
      </c>
      <c r="I595" s="559" t="str">
        <f t="shared" si="56"/>
        <v/>
      </c>
    </row>
    <row r="596" spans="2:9">
      <c r="B596" s="555" t="str">
        <f t="shared" si="51"/>
        <v/>
      </c>
      <c r="C596" s="556" t="str">
        <f t="shared" si="52"/>
        <v/>
      </c>
      <c r="D596" s="557" t="str">
        <f t="shared" si="53"/>
        <v/>
      </c>
      <c r="E596" s="560"/>
      <c r="F596" s="559"/>
      <c r="G596" s="559" t="str">
        <f t="shared" si="54"/>
        <v/>
      </c>
      <c r="H596" s="559" t="str">
        <f t="shared" si="55"/>
        <v/>
      </c>
      <c r="I596" s="559" t="str">
        <f t="shared" si="56"/>
        <v/>
      </c>
    </row>
    <row r="597" spans="2:9">
      <c r="B597" s="555" t="str">
        <f t="shared" si="51"/>
        <v/>
      </c>
      <c r="C597" s="556" t="str">
        <f t="shared" si="52"/>
        <v/>
      </c>
      <c r="D597" s="557" t="str">
        <f t="shared" si="53"/>
        <v/>
      </c>
      <c r="E597" s="560"/>
      <c r="F597" s="559"/>
      <c r="G597" s="559" t="str">
        <f t="shared" si="54"/>
        <v/>
      </c>
      <c r="H597" s="559" t="str">
        <f t="shared" si="55"/>
        <v/>
      </c>
      <c r="I597" s="559" t="str">
        <f t="shared" si="56"/>
        <v/>
      </c>
    </row>
    <row r="598" spans="2:9">
      <c r="B598" s="555" t="str">
        <f t="shared" si="51"/>
        <v/>
      </c>
      <c r="C598" s="556" t="str">
        <f t="shared" si="52"/>
        <v/>
      </c>
      <c r="D598" s="557" t="str">
        <f t="shared" si="53"/>
        <v/>
      </c>
      <c r="E598" s="560"/>
      <c r="F598" s="559"/>
      <c r="G598" s="559" t="str">
        <f t="shared" si="54"/>
        <v/>
      </c>
      <c r="H598" s="559" t="str">
        <f t="shared" si="55"/>
        <v/>
      </c>
      <c r="I598" s="559" t="str">
        <f t="shared" si="56"/>
        <v/>
      </c>
    </row>
    <row r="599" spans="2:9">
      <c r="B599" s="555" t="str">
        <f t="shared" si="51"/>
        <v/>
      </c>
      <c r="C599" s="556" t="str">
        <f t="shared" si="52"/>
        <v/>
      </c>
      <c r="D599" s="557" t="str">
        <f t="shared" si="53"/>
        <v/>
      </c>
      <c r="E599" s="560"/>
      <c r="F599" s="559"/>
      <c r="G599" s="559" t="str">
        <f t="shared" si="54"/>
        <v/>
      </c>
      <c r="H599" s="559" t="str">
        <f t="shared" si="55"/>
        <v/>
      </c>
      <c r="I599" s="559" t="str">
        <f t="shared" si="56"/>
        <v/>
      </c>
    </row>
    <row r="600" spans="2:9">
      <c r="B600" s="555" t="str">
        <f t="shared" si="51"/>
        <v/>
      </c>
      <c r="C600" s="556" t="str">
        <f t="shared" si="52"/>
        <v/>
      </c>
      <c r="D600" s="557" t="str">
        <f t="shared" si="53"/>
        <v/>
      </c>
      <c r="E600" s="560"/>
      <c r="F600" s="559"/>
      <c r="G600" s="559" t="str">
        <f t="shared" si="54"/>
        <v/>
      </c>
      <c r="H600" s="559" t="str">
        <f t="shared" si="55"/>
        <v/>
      </c>
      <c r="I600" s="559" t="str">
        <f t="shared" si="56"/>
        <v/>
      </c>
    </row>
    <row r="601" spans="2:9">
      <c r="B601" s="555" t="str">
        <f t="shared" si="51"/>
        <v/>
      </c>
      <c r="C601" s="556" t="str">
        <f t="shared" si="52"/>
        <v/>
      </c>
      <c r="D601" s="557" t="str">
        <f t="shared" si="53"/>
        <v/>
      </c>
      <c r="E601" s="560"/>
      <c r="F601" s="559"/>
      <c r="G601" s="559" t="str">
        <f t="shared" si="54"/>
        <v/>
      </c>
      <c r="H601" s="559" t="str">
        <f t="shared" si="55"/>
        <v/>
      </c>
      <c r="I601" s="559" t="str">
        <f t="shared" si="56"/>
        <v/>
      </c>
    </row>
    <row r="602" spans="2:9">
      <c r="B602" s="555" t="str">
        <f t="shared" si="51"/>
        <v/>
      </c>
      <c r="C602" s="556" t="str">
        <f t="shared" si="52"/>
        <v/>
      </c>
      <c r="D602" s="557" t="str">
        <f t="shared" si="53"/>
        <v/>
      </c>
      <c r="E602" s="560"/>
      <c r="F602" s="559"/>
      <c r="G602" s="559" t="str">
        <f t="shared" si="54"/>
        <v/>
      </c>
      <c r="H602" s="559" t="str">
        <f t="shared" si="55"/>
        <v/>
      </c>
      <c r="I602" s="559" t="str">
        <f t="shared" si="56"/>
        <v/>
      </c>
    </row>
    <row r="603" spans="2:9">
      <c r="B603" s="555" t="str">
        <f t="shared" si="51"/>
        <v/>
      </c>
      <c r="C603" s="556" t="str">
        <f t="shared" si="52"/>
        <v/>
      </c>
      <c r="D603" s="557" t="str">
        <f t="shared" si="53"/>
        <v/>
      </c>
      <c r="E603" s="560"/>
      <c r="F603" s="559"/>
      <c r="G603" s="559" t="str">
        <f t="shared" si="54"/>
        <v/>
      </c>
      <c r="H603" s="559" t="str">
        <f t="shared" si="55"/>
        <v/>
      </c>
      <c r="I603" s="559" t="str">
        <f t="shared" si="56"/>
        <v/>
      </c>
    </row>
    <row r="604" spans="2:9">
      <c r="B604" s="555" t="str">
        <f t="shared" si="51"/>
        <v/>
      </c>
      <c r="C604" s="556" t="str">
        <f t="shared" si="52"/>
        <v/>
      </c>
      <c r="D604" s="557" t="str">
        <f t="shared" si="53"/>
        <v/>
      </c>
      <c r="E604" s="560"/>
      <c r="F604" s="559"/>
      <c r="G604" s="559" t="str">
        <f t="shared" si="54"/>
        <v/>
      </c>
      <c r="H604" s="559" t="str">
        <f t="shared" si="55"/>
        <v/>
      </c>
      <c r="I604" s="559" t="str">
        <f t="shared" si="56"/>
        <v/>
      </c>
    </row>
    <row r="605" spans="2:9">
      <c r="B605" s="555" t="str">
        <f t="shared" si="51"/>
        <v/>
      </c>
      <c r="C605" s="556" t="str">
        <f t="shared" si="52"/>
        <v/>
      </c>
      <c r="D605" s="557" t="str">
        <f t="shared" si="53"/>
        <v/>
      </c>
      <c r="E605" s="560"/>
      <c r="F605" s="559"/>
      <c r="G605" s="559" t="str">
        <f t="shared" si="54"/>
        <v/>
      </c>
      <c r="H605" s="559" t="str">
        <f t="shared" si="55"/>
        <v/>
      </c>
      <c r="I605" s="559" t="str">
        <f t="shared" si="56"/>
        <v/>
      </c>
    </row>
    <row r="606" spans="2:9">
      <c r="B606" s="555" t="str">
        <f t="shared" si="51"/>
        <v/>
      </c>
      <c r="C606" s="556" t="str">
        <f t="shared" si="52"/>
        <v/>
      </c>
      <c r="D606" s="557" t="str">
        <f t="shared" si="53"/>
        <v/>
      </c>
      <c r="E606" s="560"/>
      <c r="F606" s="559"/>
      <c r="G606" s="559" t="str">
        <f t="shared" si="54"/>
        <v/>
      </c>
      <c r="H606" s="559" t="str">
        <f t="shared" si="55"/>
        <v/>
      </c>
      <c r="I606" s="559" t="str">
        <f t="shared" si="56"/>
        <v/>
      </c>
    </row>
    <row r="607" spans="2:9">
      <c r="B607" s="555" t="str">
        <f t="shared" si="51"/>
        <v/>
      </c>
      <c r="C607" s="556" t="str">
        <f t="shared" si="52"/>
        <v/>
      </c>
      <c r="D607" s="557" t="str">
        <f t="shared" si="53"/>
        <v/>
      </c>
      <c r="E607" s="560"/>
      <c r="F607" s="559"/>
      <c r="G607" s="559" t="str">
        <f t="shared" si="54"/>
        <v/>
      </c>
      <c r="H607" s="559" t="str">
        <f t="shared" si="55"/>
        <v/>
      </c>
      <c r="I607" s="559" t="str">
        <f t="shared" si="56"/>
        <v/>
      </c>
    </row>
    <row r="608" spans="2:9">
      <c r="B608" s="555" t="str">
        <f t="shared" si="51"/>
        <v/>
      </c>
      <c r="C608" s="556" t="str">
        <f t="shared" si="52"/>
        <v/>
      </c>
      <c r="D608" s="557" t="str">
        <f t="shared" si="53"/>
        <v/>
      </c>
      <c r="E608" s="560"/>
      <c r="F608" s="559"/>
      <c r="G608" s="559" t="str">
        <f t="shared" si="54"/>
        <v/>
      </c>
      <c r="H608" s="559" t="str">
        <f t="shared" si="55"/>
        <v/>
      </c>
      <c r="I608" s="559" t="str">
        <f t="shared" si="56"/>
        <v/>
      </c>
    </row>
    <row r="609" spans="2:9">
      <c r="B609" s="555" t="str">
        <f t="shared" si="51"/>
        <v/>
      </c>
      <c r="C609" s="556" t="str">
        <f t="shared" si="52"/>
        <v/>
      </c>
      <c r="D609" s="557" t="str">
        <f t="shared" si="53"/>
        <v/>
      </c>
      <c r="E609" s="560"/>
      <c r="F609" s="559"/>
      <c r="G609" s="559" t="str">
        <f t="shared" si="54"/>
        <v/>
      </c>
      <c r="H609" s="559" t="str">
        <f t="shared" si="55"/>
        <v/>
      </c>
      <c r="I609" s="559" t="str">
        <f t="shared" si="56"/>
        <v/>
      </c>
    </row>
    <row r="610" spans="2:9">
      <c r="B610" s="555" t="str">
        <f t="shared" si="51"/>
        <v/>
      </c>
      <c r="C610" s="556" t="str">
        <f t="shared" si="52"/>
        <v/>
      </c>
      <c r="D610" s="557" t="str">
        <f t="shared" si="53"/>
        <v/>
      </c>
      <c r="E610" s="560"/>
      <c r="F610" s="559"/>
      <c r="G610" s="559" t="str">
        <f t="shared" si="54"/>
        <v/>
      </c>
      <c r="H610" s="559" t="str">
        <f t="shared" si="55"/>
        <v/>
      </c>
      <c r="I610" s="559" t="str">
        <f t="shared" si="56"/>
        <v/>
      </c>
    </row>
    <row r="611" spans="2:9">
      <c r="B611" s="555" t="str">
        <f t="shared" si="51"/>
        <v/>
      </c>
      <c r="C611" s="556" t="str">
        <f t="shared" si="52"/>
        <v/>
      </c>
      <c r="D611" s="557" t="str">
        <f t="shared" si="53"/>
        <v/>
      </c>
      <c r="E611" s="560"/>
      <c r="F611" s="559"/>
      <c r="G611" s="559" t="str">
        <f t="shared" si="54"/>
        <v/>
      </c>
      <c r="H611" s="559" t="str">
        <f t="shared" si="55"/>
        <v/>
      </c>
      <c r="I611" s="559" t="str">
        <f t="shared" si="56"/>
        <v/>
      </c>
    </row>
    <row r="612" spans="2:9">
      <c r="B612" s="555" t="str">
        <f t="shared" si="51"/>
        <v/>
      </c>
      <c r="C612" s="556" t="str">
        <f t="shared" si="52"/>
        <v/>
      </c>
      <c r="D612" s="557" t="str">
        <f t="shared" si="53"/>
        <v/>
      </c>
      <c r="E612" s="560"/>
      <c r="F612" s="559"/>
      <c r="G612" s="559" t="str">
        <f t="shared" si="54"/>
        <v/>
      </c>
      <c r="H612" s="559" t="str">
        <f t="shared" si="55"/>
        <v/>
      </c>
      <c r="I612" s="559" t="str">
        <f t="shared" si="56"/>
        <v/>
      </c>
    </row>
    <row r="613" spans="2:9">
      <c r="B613" s="555" t="str">
        <f t="shared" si="51"/>
        <v/>
      </c>
      <c r="C613" s="556" t="str">
        <f t="shared" si="52"/>
        <v/>
      </c>
      <c r="D613" s="557" t="str">
        <f t="shared" si="53"/>
        <v/>
      </c>
      <c r="E613" s="560"/>
      <c r="F613" s="559"/>
      <c r="G613" s="559" t="str">
        <f t="shared" si="54"/>
        <v/>
      </c>
      <c r="H613" s="559" t="str">
        <f t="shared" si="55"/>
        <v/>
      </c>
      <c r="I613" s="559" t="str">
        <f t="shared" si="56"/>
        <v/>
      </c>
    </row>
    <row r="614" spans="2:9">
      <c r="B614" s="555" t="str">
        <f t="shared" si="51"/>
        <v/>
      </c>
      <c r="C614" s="556" t="str">
        <f t="shared" si="52"/>
        <v/>
      </c>
      <c r="D614" s="557" t="str">
        <f t="shared" si="53"/>
        <v/>
      </c>
      <c r="E614" s="560"/>
      <c r="F614" s="559"/>
      <c r="G614" s="559" t="str">
        <f t="shared" si="54"/>
        <v/>
      </c>
      <c r="H614" s="559" t="str">
        <f t="shared" si="55"/>
        <v/>
      </c>
      <c r="I614" s="559" t="str">
        <f t="shared" si="56"/>
        <v/>
      </c>
    </row>
    <row r="615" spans="2:9">
      <c r="B615" s="555" t="str">
        <f t="shared" si="51"/>
        <v/>
      </c>
      <c r="C615" s="556" t="str">
        <f t="shared" si="52"/>
        <v/>
      </c>
      <c r="D615" s="557" t="str">
        <f t="shared" si="53"/>
        <v/>
      </c>
      <c r="E615" s="560"/>
      <c r="F615" s="559"/>
      <c r="G615" s="559" t="str">
        <f t="shared" si="54"/>
        <v/>
      </c>
      <c r="H615" s="559" t="str">
        <f t="shared" si="55"/>
        <v/>
      </c>
      <c r="I615" s="559" t="str">
        <f t="shared" si="56"/>
        <v/>
      </c>
    </row>
    <row r="616" spans="2:9">
      <c r="B616" s="555" t="str">
        <f t="shared" si="51"/>
        <v/>
      </c>
      <c r="C616" s="556" t="str">
        <f t="shared" si="52"/>
        <v/>
      </c>
      <c r="D616" s="557" t="str">
        <f t="shared" si="53"/>
        <v/>
      </c>
      <c r="E616" s="560"/>
      <c r="F616" s="559"/>
      <c r="G616" s="559" t="str">
        <f t="shared" si="54"/>
        <v/>
      </c>
      <c r="H616" s="559" t="str">
        <f t="shared" si="55"/>
        <v/>
      </c>
      <c r="I616" s="559" t="str">
        <f t="shared" si="56"/>
        <v/>
      </c>
    </row>
    <row r="617" spans="2:9">
      <c r="B617" s="555" t="str">
        <f t="shared" si="51"/>
        <v/>
      </c>
      <c r="C617" s="556" t="str">
        <f t="shared" si="52"/>
        <v/>
      </c>
      <c r="D617" s="557" t="str">
        <f t="shared" si="53"/>
        <v/>
      </c>
      <c r="E617" s="560"/>
      <c r="F617" s="559"/>
      <c r="G617" s="559" t="str">
        <f t="shared" si="54"/>
        <v/>
      </c>
      <c r="H617" s="559" t="str">
        <f t="shared" si="55"/>
        <v/>
      </c>
      <c r="I617" s="559" t="str">
        <f t="shared" si="56"/>
        <v/>
      </c>
    </row>
    <row r="618" spans="2:9">
      <c r="B618" s="555" t="str">
        <f t="shared" si="51"/>
        <v/>
      </c>
      <c r="C618" s="556" t="str">
        <f t="shared" si="52"/>
        <v/>
      </c>
      <c r="D618" s="557" t="str">
        <f t="shared" si="53"/>
        <v/>
      </c>
      <c r="E618" s="560"/>
      <c r="F618" s="559"/>
      <c r="G618" s="559" t="str">
        <f t="shared" si="54"/>
        <v/>
      </c>
      <c r="H618" s="559" t="str">
        <f t="shared" si="55"/>
        <v/>
      </c>
      <c r="I618" s="559" t="str">
        <f t="shared" si="56"/>
        <v/>
      </c>
    </row>
    <row r="619" spans="2:9">
      <c r="B619" s="555" t="str">
        <f t="shared" si="51"/>
        <v/>
      </c>
      <c r="C619" s="556" t="str">
        <f t="shared" si="52"/>
        <v/>
      </c>
      <c r="D619" s="557" t="str">
        <f t="shared" si="53"/>
        <v/>
      </c>
      <c r="E619" s="560"/>
      <c r="F619" s="559"/>
      <c r="G619" s="559" t="str">
        <f t="shared" si="54"/>
        <v/>
      </c>
      <c r="H619" s="559" t="str">
        <f t="shared" si="55"/>
        <v/>
      </c>
      <c r="I619" s="559" t="str">
        <f t="shared" si="56"/>
        <v/>
      </c>
    </row>
    <row r="620" spans="2:9">
      <c r="B620" s="555" t="str">
        <f t="shared" si="51"/>
        <v/>
      </c>
      <c r="C620" s="556" t="str">
        <f t="shared" si="52"/>
        <v/>
      </c>
      <c r="D620" s="557" t="str">
        <f t="shared" si="53"/>
        <v/>
      </c>
      <c r="E620" s="560"/>
      <c r="F620" s="559"/>
      <c r="G620" s="559" t="str">
        <f t="shared" si="54"/>
        <v/>
      </c>
      <c r="H620" s="559" t="str">
        <f t="shared" si="55"/>
        <v/>
      </c>
      <c r="I620" s="559" t="str">
        <f t="shared" si="56"/>
        <v/>
      </c>
    </row>
    <row r="621" spans="2:9">
      <c r="B621" s="555" t="str">
        <f t="shared" si="51"/>
        <v/>
      </c>
      <c r="C621" s="556" t="str">
        <f t="shared" si="52"/>
        <v/>
      </c>
      <c r="D621" s="557" t="str">
        <f t="shared" si="53"/>
        <v/>
      </c>
      <c r="E621" s="560"/>
      <c r="F621" s="559"/>
      <c r="G621" s="559" t="str">
        <f t="shared" si="54"/>
        <v/>
      </c>
      <c r="H621" s="559" t="str">
        <f t="shared" si="55"/>
        <v/>
      </c>
      <c r="I621" s="559" t="str">
        <f t="shared" si="56"/>
        <v/>
      </c>
    </row>
    <row r="622" spans="2:9">
      <c r="B622" s="555" t="str">
        <f t="shared" si="51"/>
        <v/>
      </c>
      <c r="C622" s="556" t="str">
        <f t="shared" si="52"/>
        <v/>
      </c>
      <c r="D622" s="557" t="str">
        <f t="shared" si="53"/>
        <v/>
      </c>
      <c r="E622" s="560"/>
      <c r="F622" s="559"/>
      <c r="G622" s="559" t="str">
        <f t="shared" si="54"/>
        <v/>
      </c>
      <c r="H622" s="559" t="str">
        <f t="shared" si="55"/>
        <v/>
      </c>
      <c r="I622" s="559" t="str">
        <f t="shared" si="56"/>
        <v/>
      </c>
    </row>
    <row r="623" spans="2:9">
      <c r="B623" s="555" t="str">
        <f t="shared" si="51"/>
        <v/>
      </c>
      <c r="C623" s="556" t="str">
        <f t="shared" si="52"/>
        <v/>
      </c>
      <c r="D623" s="557" t="str">
        <f t="shared" si="53"/>
        <v/>
      </c>
      <c r="E623" s="560"/>
      <c r="F623" s="559"/>
      <c r="G623" s="559" t="str">
        <f t="shared" si="54"/>
        <v/>
      </c>
      <c r="H623" s="559" t="str">
        <f t="shared" si="55"/>
        <v/>
      </c>
      <c r="I623" s="559" t="str">
        <f t="shared" si="56"/>
        <v/>
      </c>
    </row>
    <row r="624" spans="2:9">
      <c r="B624" s="555" t="str">
        <f t="shared" si="51"/>
        <v/>
      </c>
      <c r="C624" s="556" t="str">
        <f t="shared" si="52"/>
        <v/>
      </c>
      <c r="D624" s="557" t="str">
        <f t="shared" si="53"/>
        <v/>
      </c>
      <c r="E624" s="560"/>
      <c r="F624" s="559"/>
      <c r="G624" s="559" t="str">
        <f t="shared" si="54"/>
        <v/>
      </c>
      <c r="H624" s="559" t="str">
        <f t="shared" si="55"/>
        <v/>
      </c>
      <c r="I624" s="559" t="str">
        <f t="shared" si="56"/>
        <v/>
      </c>
    </row>
    <row r="625" spans="2:9">
      <c r="B625" s="555" t="str">
        <f t="shared" si="51"/>
        <v/>
      </c>
      <c r="C625" s="556" t="str">
        <f t="shared" si="52"/>
        <v/>
      </c>
      <c r="D625" s="557" t="str">
        <f t="shared" si="53"/>
        <v/>
      </c>
      <c r="E625" s="560"/>
      <c r="F625" s="559"/>
      <c r="G625" s="559" t="str">
        <f t="shared" si="54"/>
        <v/>
      </c>
      <c r="H625" s="559" t="str">
        <f t="shared" si="55"/>
        <v/>
      </c>
      <c r="I625" s="559" t="str">
        <f t="shared" si="56"/>
        <v/>
      </c>
    </row>
    <row r="626" spans="2:9">
      <c r="B626" s="555" t="str">
        <f t="shared" si="51"/>
        <v/>
      </c>
      <c r="C626" s="556" t="str">
        <f t="shared" si="52"/>
        <v/>
      </c>
      <c r="D626" s="557" t="str">
        <f t="shared" si="53"/>
        <v/>
      </c>
      <c r="E626" s="560"/>
      <c r="F626" s="559"/>
      <c r="G626" s="559" t="str">
        <f t="shared" si="54"/>
        <v/>
      </c>
      <c r="H626" s="559" t="str">
        <f t="shared" si="55"/>
        <v/>
      </c>
      <c r="I626" s="559" t="str">
        <f t="shared" si="56"/>
        <v/>
      </c>
    </row>
    <row r="627" spans="2:9">
      <c r="B627" s="555" t="str">
        <f t="shared" si="51"/>
        <v/>
      </c>
      <c r="C627" s="556" t="str">
        <f t="shared" si="52"/>
        <v/>
      </c>
      <c r="D627" s="557" t="str">
        <f t="shared" si="53"/>
        <v/>
      </c>
      <c r="E627" s="560"/>
      <c r="F627" s="559"/>
      <c r="G627" s="559" t="str">
        <f t="shared" si="54"/>
        <v/>
      </c>
      <c r="H627" s="559" t="str">
        <f t="shared" si="55"/>
        <v/>
      </c>
      <c r="I627" s="559" t="str">
        <f t="shared" si="56"/>
        <v/>
      </c>
    </row>
    <row r="628" spans="2:9">
      <c r="B628" s="555" t="str">
        <f t="shared" si="51"/>
        <v/>
      </c>
      <c r="C628" s="556" t="str">
        <f t="shared" si="52"/>
        <v/>
      </c>
      <c r="D628" s="557" t="str">
        <f t="shared" si="53"/>
        <v/>
      </c>
      <c r="E628" s="560"/>
      <c r="F628" s="559"/>
      <c r="G628" s="559" t="str">
        <f t="shared" si="54"/>
        <v/>
      </c>
      <c r="H628" s="559" t="str">
        <f t="shared" si="55"/>
        <v/>
      </c>
      <c r="I628" s="559" t="str">
        <f t="shared" si="56"/>
        <v/>
      </c>
    </row>
    <row r="629" spans="2:9">
      <c r="B629" s="555" t="str">
        <f t="shared" si="51"/>
        <v/>
      </c>
      <c r="C629" s="556" t="str">
        <f t="shared" si="52"/>
        <v/>
      </c>
      <c r="D629" s="557" t="str">
        <f t="shared" si="53"/>
        <v/>
      </c>
      <c r="E629" s="560"/>
      <c r="F629" s="559"/>
      <c r="G629" s="559" t="str">
        <f t="shared" si="54"/>
        <v/>
      </c>
      <c r="H629" s="559" t="str">
        <f t="shared" si="55"/>
        <v/>
      </c>
      <c r="I629" s="559" t="str">
        <f t="shared" si="56"/>
        <v/>
      </c>
    </row>
    <row r="630" spans="2:9">
      <c r="B630" s="555" t="str">
        <f t="shared" si="51"/>
        <v/>
      </c>
      <c r="C630" s="556" t="str">
        <f t="shared" si="52"/>
        <v/>
      </c>
      <c r="D630" s="557" t="str">
        <f t="shared" si="53"/>
        <v/>
      </c>
      <c r="E630" s="560"/>
      <c r="F630" s="559"/>
      <c r="G630" s="559" t="str">
        <f t="shared" si="54"/>
        <v/>
      </c>
      <c r="H630" s="559" t="str">
        <f t="shared" si="55"/>
        <v/>
      </c>
      <c r="I630" s="559" t="str">
        <f t="shared" si="56"/>
        <v/>
      </c>
    </row>
    <row r="631" spans="2:9">
      <c r="B631" s="555" t="str">
        <f t="shared" si="51"/>
        <v/>
      </c>
      <c r="C631" s="556" t="str">
        <f t="shared" si="52"/>
        <v/>
      </c>
      <c r="D631" s="557" t="str">
        <f t="shared" si="53"/>
        <v/>
      </c>
      <c r="E631" s="560"/>
      <c r="F631" s="559"/>
      <c r="G631" s="559" t="str">
        <f t="shared" si="54"/>
        <v/>
      </c>
      <c r="H631" s="559" t="str">
        <f t="shared" si="55"/>
        <v/>
      </c>
      <c r="I631" s="559" t="str">
        <f t="shared" si="56"/>
        <v/>
      </c>
    </row>
    <row r="632" spans="2:9">
      <c r="B632" s="555" t="str">
        <f t="shared" si="51"/>
        <v/>
      </c>
      <c r="C632" s="556" t="str">
        <f t="shared" si="52"/>
        <v/>
      </c>
      <c r="D632" s="557" t="str">
        <f t="shared" si="53"/>
        <v/>
      </c>
      <c r="E632" s="560"/>
      <c r="F632" s="559"/>
      <c r="G632" s="559" t="str">
        <f t="shared" si="54"/>
        <v/>
      </c>
      <c r="H632" s="559" t="str">
        <f t="shared" si="55"/>
        <v/>
      </c>
      <c r="I632" s="559" t="str">
        <f t="shared" si="56"/>
        <v/>
      </c>
    </row>
    <row r="633" spans="2:9">
      <c r="B633" s="555" t="str">
        <f t="shared" si="51"/>
        <v/>
      </c>
      <c r="C633" s="556" t="str">
        <f t="shared" si="52"/>
        <v/>
      </c>
      <c r="D633" s="557" t="str">
        <f t="shared" si="53"/>
        <v/>
      </c>
      <c r="E633" s="560"/>
      <c r="F633" s="559"/>
      <c r="G633" s="559" t="str">
        <f t="shared" si="54"/>
        <v/>
      </c>
      <c r="H633" s="559" t="str">
        <f t="shared" si="55"/>
        <v/>
      </c>
      <c r="I633" s="559" t="str">
        <f t="shared" si="56"/>
        <v/>
      </c>
    </row>
    <row r="634" spans="2:9">
      <c r="B634" s="555" t="str">
        <f t="shared" si="51"/>
        <v/>
      </c>
      <c r="C634" s="556" t="str">
        <f t="shared" si="52"/>
        <v/>
      </c>
      <c r="D634" s="557" t="str">
        <f t="shared" si="53"/>
        <v/>
      </c>
      <c r="E634" s="560"/>
      <c r="F634" s="559"/>
      <c r="G634" s="559" t="str">
        <f t="shared" si="54"/>
        <v/>
      </c>
      <c r="H634" s="559" t="str">
        <f t="shared" si="55"/>
        <v/>
      </c>
      <c r="I634" s="559" t="str">
        <f t="shared" si="56"/>
        <v/>
      </c>
    </row>
    <row r="635" spans="2:9">
      <c r="B635" s="555" t="str">
        <f t="shared" si="51"/>
        <v/>
      </c>
      <c r="C635" s="556" t="str">
        <f t="shared" si="52"/>
        <v/>
      </c>
      <c r="D635" s="557" t="str">
        <f t="shared" si="53"/>
        <v/>
      </c>
      <c r="E635" s="560"/>
      <c r="F635" s="559"/>
      <c r="G635" s="559" t="str">
        <f t="shared" si="54"/>
        <v/>
      </c>
      <c r="H635" s="559" t="str">
        <f t="shared" si="55"/>
        <v/>
      </c>
      <c r="I635" s="559" t="str">
        <f t="shared" si="56"/>
        <v/>
      </c>
    </row>
    <row r="636" spans="2:9">
      <c r="B636" s="555" t="str">
        <f t="shared" si="51"/>
        <v/>
      </c>
      <c r="C636" s="556" t="str">
        <f t="shared" si="52"/>
        <v/>
      </c>
      <c r="D636" s="557" t="str">
        <f t="shared" si="53"/>
        <v/>
      </c>
      <c r="E636" s="560"/>
      <c r="F636" s="559"/>
      <c r="G636" s="559" t="str">
        <f t="shared" si="54"/>
        <v/>
      </c>
      <c r="H636" s="559" t="str">
        <f t="shared" si="55"/>
        <v/>
      </c>
      <c r="I636" s="559" t="str">
        <f t="shared" si="56"/>
        <v/>
      </c>
    </row>
    <row r="637" spans="2:9">
      <c r="B637" s="555" t="str">
        <f t="shared" ref="B637:B700" si="57">IF(I636="","",IF(roundOpt,IF(OR(B636&gt;=nper,ROUND(I636,2)&lt;=0),"",B636+1),IF(OR(B636&gt;=nper,I636&lt;=0),"",B636+1)))</f>
        <v/>
      </c>
      <c r="C637" s="556" t="str">
        <f t="shared" ref="C637:C700" si="58">IF(B637="","",IF(OR(periods_per_year=26,periods_per_year=52),IF(periods_per_year=26,IF(B637=1,fpdate,C636+14),IF(periods_per_year=52,IF(B637=1,fpdate,C636+7),"n/a")),IF(periods_per_year=24,DATE(YEAR(fpdate),MONTH(fpdate)+(B637-1)/2+IF(AND(DAY(fpdate)&gt;=15,MOD(B637,2)=0),1,0),IF(MOD(B637,2)=0,IF(DAY(fpdate)&gt;=15,DAY(fpdate)-14,DAY(fpdate)+14),DAY(fpdate))),IF(DAY(DATE(YEAR(fpdate),MONTH(fpdate)+(B637-1)*months_per_period,DAY(fpdate)))&lt;&gt;DAY(fpdate),DATE(YEAR(fpdate),MONTH(fpdate)+(B637-1)*months_per_period+1,0),DATE(YEAR(fpdate),MONTH(fpdate)+(B637-1)*months_per_period,DAY(fpdate))))))</f>
        <v/>
      </c>
      <c r="D637" s="557" t="str">
        <f t="shared" ref="D637:D700" si="59">IF(B637="","",IF(roundOpt,IF(OR(B637=nper,payment&gt;ROUND((1+rate)*I636,2)),ROUND((1+rate)*I636,2),payment),IF(OR(B637=nper,payment&gt;(1+rate)*I636),(1+rate)*I636,payment)))</f>
        <v/>
      </c>
      <c r="E637" s="560"/>
      <c r="F637" s="559"/>
      <c r="G637" s="559" t="str">
        <f t="shared" ref="G637:G700" si="60">IF(B637="","",IF(AND(B637=1,pmtType=1),0,IF(roundOpt,ROUND(rate*I636,2),rate*I636)))</f>
        <v/>
      </c>
      <c r="H637" s="559" t="str">
        <f t="shared" ref="H637:H700" si="61">IF(B637="","",D637-G637+E637)</f>
        <v/>
      </c>
      <c r="I637" s="559" t="str">
        <f t="shared" ref="I637:I700" si="62">IF(B637="","",I636-H637)</f>
        <v/>
      </c>
    </row>
    <row r="638" spans="2:9">
      <c r="B638" s="555" t="str">
        <f t="shared" si="57"/>
        <v/>
      </c>
      <c r="C638" s="556" t="str">
        <f t="shared" si="58"/>
        <v/>
      </c>
      <c r="D638" s="557" t="str">
        <f t="shared" si="59"/>
        <v/>
      </c>
      <c r="E638" s="560"/>
      <c r="F638" s="559"/>
      <c r="G638" s="559" t="str">
        <f t="shared" si="60"/>
        <v/>
      </c>
      <c r="H638" s="559" t="str">
        <f t="shared" si="61"/>
        <v/>
      </c>
      <c r="I638" s="559" t="str">
        <f t="shared" si="62"/>
        <v/>
      </c>
    </row>
    <row r="639" spans="2:9">
      <c r="B639" s="555" t="str">
        <f t="shared" si="57"/>
        <v/>
      </c>
      <c r="C639" s="556" t="str">
        <f t="shared" si="58"/>
        <v/>
      </c>
      <c r="D639" s="557" t="str">
        <f t="shared" si="59"/>
        <v/>
      </c>
      <c r="E639" s="560"/>
      <c r="F639" s="559"/>
      <c r="G639" s="559" t="str">
        <f t="shared" si="60"/>
        <v/>
      </c>
      <c r="H639" s="559" t="str">
        <f t="shared" si="61"/>
        <v/>
      </c>
      <c r="I639" s="559" t="str">
        <f t="shared" si="62"/>
        <v/>
      </c>
    </row>
    <row r="640" spans="2:9">
      <c r="B640" s="555" t="str">
        <f t="shared" si="57"/>
        <v/>
      </c>
      <c r="C640" s="556" t="str">
        <f t="shared" si="58"/>
        <v/>
      </c>
      <c r="D640" s="557" t="str">
        <f t="shared" si="59"/>
        <v/>
      </c>
      <c r="E640" s="560"/>
      <c r="F640" s="559"/>
      <c r="G640" s="559" t="str">
        <f t="shared" si="60"/>
        <v/>
      </c>
      <c r="H640" s="559" t="str">
        <f t="shared" si="61"/>
        <v/>
      </c>
      <c r="I640" s="559" t="str">
        <f t="shared" si="62"/>
        <v/>
      </c>
    </row>
    <row r="641" spans="2:9">
      <c r="B641" s="555" t="str">
        <f t="shared" si="57"/>
        <v/>
      </c>
      <c r="C641" s="556" t="str">
        <f t="shared" si="58"/>
        <v/>
      </c>
      <c r="D641" s="557" t="str">
        <f t="shared" si="59"/>
        <v/>
      </c>
      <c r="E641" s="560"/>
      <c r="F641" s="559"/>
      <c r="G641" s="559" t="str">
        <f t="shared" si="60"/>
        <v/>
      </c>
      <c r="H641" s="559" t="str">
        <f t="shared" si="61"/>
        <v/>
      </c>
      <c r="I641" s="559" t="str">
        <f t="shared" si="62"/>
        <v/>
      </c>
    </row>
    <row r="642" spans="2:9">
      <c r="B642" s="555" t="str">
        <f t="shared" si="57"/>
        <v/>
      </c>
      <c r="C642" s="556" t="str">
        <f t="shared" si="58"/>
        <v/>
      </c>
      <c r="D642" s="557" t="str">
        <f t="shared" si="59"/>
        <v/>
      </c>
      <c r="E642" s="560"/>
      <c r="F642" s="559"/>
      <c r="G642" s="559" t="str">
        <f t="shared" si="60"/>
        <v/>
      </c>
      <c r="H642" s="559" t="str">
        <f t="shared" si="61"/>
        <v/>
      </c>
      <c r="I642" s="559" t="str">
        <f t="shared" si="62"/>
        <v/>
      </c>
    </row>
    <row r="643" spans="2:9">
      <c r="B643" s="555" t="str">
        <f t="shared" si="57"/>
        <v/>
      </c>
      <c r="C643" s="556" t="str">
        <f t="shared" si="58"/>
        <v/>
      </c>
      <c r="D643" s="557" t="str">
        <f t="shared" si="59"/>
        <v/>
      </c>
      <c r="E643" s="560"/>
      <c r="F643" s="559"/>
      <c r="G643" s="559" t="str">
        <f t="shared" si="60"/>
        <v/>
      </c>
      <c r="H643" s="559" t="str">
        <f t="shared" si="61"/>
        <v/>
      </c>
      <c r="I643" s="559" t="str">
        <f t="shared" si="62"/>
        <v/>
      </c>
    </row>
    <row r="644" spans="2:9">
      <c r="B644" s="555" t="str">
        <f t="shared" si="57"/>
        <v/>
      </c>
      <c r="C644" s="556" t="str">
        <f t="shared" si="58"/>
        <v/>
      </c>
      <c r="D644" s="557" t="str">
        <f t="shared" si="59"/>
        <v/>
      </c>
      <c r="E644" s="560"/>
      <c r="F644" s="559"/>
      <c r="G644" s="559" t="str">
        <f t="shared" si="60"/>
        <v/>
      </c>
      <c r="H644" s="559" t="str">
        <f t="shared" si="61"/>
        <v/>
      </c>
      <c r="I644" s="559" t="str">
        <f t="shared" si="62"/>
        <v/>
      </c>
    </row>
    <row r="645" spans="2:9">
      <c r="B645" s="555" t="str">
        <f t="shared" si="57"/>
        <v/>
      </c>
      <c r="C645" s="556" t="str">
        <f t="shared" si="58"/>
        <v/>
      </c>
      <c r="D645" s="557" t="str">
        <f t="shared" si="59"/>
        <v/>
      </c>
      <c r="E645" s="560"/>
      <c r="F645" s="559"/>
      <c r="G645" s="559" t="str">
        <f t="shared" si="60"/>
        <v/>
      </c>
      <c r="H645" s="559" t="str">
        <f t="shared" si="61"/>
        <v/>
      </c>
      <c r="I645" s="559" t="str">
        <f t="shared" si="62"/>
        <v/>
      </c>
    </row>
    <row r="646" spans="2:9">
      <c r="B646" s="555" t="str">
        <f t="shared" si="57"/>
        <v/>
      </c>
      <c r="C646" s="556" t="str">
        <f t="shared" si="58"/>
        <v/>
      </c>
      <c r="D646" s="557" t="str">
        <f t="shared" si="59"/>
        <v/>
      </c>
      <c r="E646" s="560"/>
      <c r="F646" s="559"/>
      <c r="G646" s="559" t="str">
        <f t="shared" si="60"/>
        <v/>
      </c>
      <c r="H646" s="559" t="str">
        <f t="shared" si="61"/>
        <v/>
      </c>
      <c r="I646" s="559" t="str">
        <f t="shared" si="62"/>
        <v/>
      </c>
    </row>
    <row r="647" spans="2:9">
      <c r="B647" s="555" t="str">
        <f t="shared" si="57"/>
        <v/>
      </c>
      <c r="C647" s="556" t="str">
        <f t="shared" si="58"/>
        <v/>
      </c>
      <c r="D647" s="557" t="str">
        <f t="shared" si="59"/>
        <v/>
      </c>
      <c r="E647" s="560"/>
      <c r="F647" s="559"/>
      <c r="G647" s="559" t="str">
        <f t="shared" si="60"/>
        <v/>
      </c>
      <c r="H647" s="559" t="str">
        <f t="shared" si="61"/>
        <v/>
      </c>
      <c r="I647" s="559" t="str">
        <f t="shared" si="62"/>
        <v/>
      </c>
    </row>
    <row r="648" spans="2:9">
      <c r="B648" s="555" t="str">
        <f t="shared" si="57"/>
        <v/>
      </c>
      <c r="C648" s="556" t="str">
        <f t="shared" si="58"/>
        <v/>
      </c>
      <c r="D648" s="557" t="str">
        <f t="shared" si="59"/>
        <v/>
      </c>
      <c r="E648" s="560"/>
      <c r="F648" s="559"/>
      <c r="G648" s="559" t="str">
        <f t="shared" si="60"/>
        <v/>
      </c>
      <c r="H648" s="559" t="str">
        <f t="shared" si="61"/>
        <v/>
      </c>
      <c r="I648" s="559" t="str">
        <f t="shared" si="62"/>
        <v/>
      </c>
    </row>
    <row r="649" spans="2:9">
      <c r="B649" s="555" t="str">
        <f t="shared" si="57"/>
        <v/>
      </c>
      <c r="C649" s="556" t="str">
        <f t="shared" si="58"/>
        <v/>
      </c>
      <c r="D649" s="557" t="str">
        <f t="shared" si="59"/>
        <v/>
      </c>
      <c r="E649" s="560"/>
      <c r="F649" s="559"/>
      <c r="G649" s="559" t="str">
        <f t="shared" si="60"/>
        <v/>
      </c>
      <c r="H649" s="559" t="str">
        <f t="shared" si="61"/>
        <v/>
      </c>
      <c r="I649" s="559" t="str">
        <f t="shared" si="62"/>
        <v/>
      </c>
    </row>
    <row r="650" spans="2:9">
      <c r="B650" s="555" t="str">
        <f t="shared" si="57"/>
        <v/>
      </c>
      <c r="C650" s="556" t="str">
        <f t="shared" si="58"/>
        <v/>
      </c>
      <c r="D650" s="557" t="str">
        <f t="shared" si="59"/>
        <v/>
      </c>
      <c r="E650" s="560"/>
      <c r="F650" s="559"/>
      <c r="G650" s="559" t="str">
        <f t="shared" si="60"/>
        <v/>
      </c>
      <c r="H650" s="559" t="str">
        <f t="shared" si="61"/>
        <v/>
      </c>
      <c r="I650" s="559" t="str">
        <f t="shared" si="62"/>
        <v/>
      </c>
    </row>
    <row r="651" spans="2:9">
      <c r="B651" s="555" t="str">
        <f t="shared" si="57"/>
        <v/>
      </c>
      <c r="C651" s="556" t="str">
        <f t="shared" si="58"/>
        <v/>
      </c>
      <c r="D651" s="557" t="str">
        <f t="shared" si="59"/>
        <v/>
      </c>
      <c r="E651" s="560"/>
      <c r="F651" s="559"/>
      <c r="G651" s="559" t="str">
        <f t="shared" si="60"/>
        <v/>
      </c>
      <c r="H651" s="559" t="str">
        <f t="shared" si="61"/>
        <v/>
      </c>
      <c r="I651" s="559" t="str">
        <f t="shared" si="62"/>
        <v/>
      </c>
    </row>
    <row r="652" spans="2:9">
      <c r="B652" s="555" t="str">
        <f t="shared" si="57"/>
        <v/>
      </c>
      <c r="C652" s="556" t="str">
        <f t="shared" si="58"/>
        <v/>
      </c>
      <c r="D652" s="557" t="str">
        <f t="shared" si="59"/>
        <v/>
      </c>
      <c r="E652" s="560"/>
      <c r="F652" s="559"/>
      <c r="G652" s="559" t="str">
        <f t="shared" si="60"/>
        <v/>
      </c>
      <c r="H652" s="559" t="str">
        <f t="shared" si="61"/>
        <v/>
      </c>
      <c r="I652" s="559" t="str">
        <f t="shared" si="62"/>
        <v/>
      </c>
    </row>
    <row r="653" spans="2:9">
      <c r="B653" s="555" t="str">
        <f t="shared" si="57"/>
        <v/>
      </c>
      <c r="C653" s="556" t="str">
        <f t="shared" si="58"/>
        <v/>
      </c>
      <c r="D653" s="557" t="str">
        <f t="shared" si="59"/>
        <v/>
      </c>
      <c r="E653" s="560"/>
      <c r="F653" s="559"/>
      <c r="G653" s="559" t="str">
        <f t="shared" si="60"/>
        <v/>
      </c>
      <c r="H653" s="559" t="str">
        <f t="shared" si="61"/>
        <v/>
      </c>
      <c r="I653" s="559" t="str">
        <f t="shared" si="62"/>
        <v/>
      </c>
    </row>
    <row r="654" spans="2:9">
      <c r="B654" s="555" t="str">
        <f t="shared" si="57"/>
        <v/>
      </c>
      <c r="C654" s="556" t="str">
        <f t="shared" si="58"/>
        <v/>
      </c>
      <c r="D654" s="557" t="str">
        <f t="shared" si="59"/>
        <v/>
      </c>
      <c r="E654" s="560"/>
      <c r="F654" s="559"/>
      <c r="G654" s="559" t="str">
        <f t="shared" si="60"/>
        <v/>
      </c>
      <c r="H654" s="559" t="str">
        <f t="shared" si="61"/>
        <v/>
      </c>
      <c r="I654" s="559" t="str">
        <f t="shared" si="62"/>
        <v/>
      </c>
    </row>
    <row r="655" spans="2:9">
      <c r="B655" s="555" t="str">
        <f t="shared" si="57"/>
        <v/>
      </c>
      <c r="C655" s="556" t="str">
        <f t="shared" si="58"/>
        <v/>
      </c>
      <c r="D655" s="557" t="str">
        <f t="shared" si="59"/>
        <v/>
      </c>
      <c r="E655" s="560"/>
      <c r="F655" s="559"/>
      <c r="G655" s="559" t="str">
        <f t="shared" si="60"/>
        <v/>
      </c>
      <c r="H655" s="559" t="str">
        <f t="shared" si="61"/>
        <v/>
      </c>
      <c r="I655" s="559" t="str">
        <f t="shared" si="62"/>
        <v/>
      </c>
    </row>
    <row r="656" spans="2:9">
      <c r="B656" s="555" t="str">
        <f t="shared" si="57"/>
        <v/>
      </c>
      <c r="C656" s="556" t="str">
        <f t="shared" si="58"/>
        <v/>
      </c>
      <c r="D656" s="557" t="str">
        <f t="shared" si="59"/>
        <v/>
      </c>
      <c r="E656" s="560"/>
      <c r="F656" s="559"/>
      <c r="G656" s="559" t="str">
        <f t="shared" si="60"/>
        <v/>
      </c>
      <c r="H656" s="559" t="str">
        <f t="shared" si="61"/>
        <v/>
      </c>
      <c r="I656" s="559" t="str">
        <f t="shared" si="62"/>
        <v/>
      </c>
    </row>
    <row r="657" spans="2:9">
      <c r="B657" s="555" t="str">
        <f t="shared" si="57"/>
        <v/>
      </c>
      <c r="C657" s="556" t="str">
        <f t="shared" si="58"/>
        <v/>
      </c>
      <c r="D657" s="557" t="str">
        <f t="shared" si="59"/>
        <v/>
      </c>
      <c r="E657" s="560"/>
      <c r="F657" s="559"/>
      <c r="G657" s="559" t="str">
        <f t="shared" si="60"/>
        <v/>
      </c>
      <c r="H657" s="559" t="str">
        <f t="shared" si="61"/>
        <v/>
      </c>
      <c r="I657" s="559" t="str">
        <f t="shared" si="62"/>
        <v/>
      </c>
    </row>
    <row r="658" spans="2:9">
      <c r="B658" s="555" t="str">
        <f t="shared" si="57"/>
        <v/>
      </c>
      <c r="C658" s="556" t="str">
        <f t="shared" si="58"/>
        <v/>
      </c>
      <c r="D658" s="557" t="str">
        <f t="shared" si="59"/>
        <v/>
      </c>
      <c r="E658" s="560"/>
      <c r="F658" s="559"/>
      <c r="G658" s="559" t="str">
        <f t="shared" si="60"/>
        <v/>
      </c>
      <c r="H658" s="559" t="str">
        <f t="shared" si="61"/>
        <v/>
      </c>
      <c r="I658" s="559" t="str">
        <f t="shared" si="62"/>
        <v/>
      </c>
    </row>
    <row r="659" spans="2:9">
      <c r="B659" s="555" t="str">
        <f t="shared" si="57"/>
        <v/>
      </c>
      <c r="C659" s="556" t="str">
        <f t="shared" si="58"/>
        <v/>
      </c>
      <c r="D659" s="557" t="str">
        <f t="shared" si="59"/>
        <v/>
      </c>
      <c r="E659" s="560"/>
      <c r="F659" s="559"/>
      <c r="G659" s="559" t="str">
        <f t="shared" si="60"/>
        <v/>
      </c>
      <c r="H659" s="559" t="str">
        <f t="shared" si="61"/>
        <v/>
      </c>
      <c r="I659" s="559" t="str">
        <f t="shared" si="62"/>
        <v/>
      </c>
    </row>
    <row r="660" spans="2:9">
      <c r="B660" s="555" t="str">
        <f t="shared" si="57"/>
        <v/>
      </c>
      <c r="C660" s="556" t="str">
        <f t="shared" si="58"/>
        <v/>
      </c>
      <c r="D660" s="557" t="str">
        <f t="shared" si="59"/>
        <v/>
      </c>
      <c r="E660" s="560"/>
      <c r="F660" s="559"/>
      <c r="G660" s="559" t="str">
        <f t="shared" si="60"/>
        <v/>
      </c>
      <c r="H660" s="559" t="str">
        <f t="shared" si="61"/>
        <v/>
      </c>
      <c r="I660" s="559" t="str">
        <f t="shared" si="62"/>
        <v/>
      </c>
    </row>
    <row r="661" spans="2:9">
      <c r="B661" s="555" t="str">
        <f t="shared" si="57"/>
        <v/>
      </c>
      <c r="C661" s="556" t="str">
        <f t="shared" si="58"/>
        <v/>
      </c>
      <c r="D661" s="557" t="str">
        <f t="shared" si="59"/>
        <v/>
      </c>
      <c r="E661" s="560"/>
      <c r="F661" s="559"/>
      <c r="G661" s="559" t="str">
        <f t="shared" si="60"/>
        <v/>
      </c>
      <c r="H661" s="559" t="str">
        <f t="shared" si="61"/>
        <v/>
      </c>
      <c r="I661" s="559" t="str">
        <f t="shared" si="62"/>
        <v/>
      </c>
    </row>
    <row r="662" spans="2:9">
      <c r="B662" s="555" t="str">
        <f t="shared" si="57"/>
        <v/>
      </c>
      <c r="C662" s="556" t="str">
        <f t="shared" si="58"/>
        <v/>
      </c>
      <c r="D662" s="557" t="str">
        <f t="shared" si="59"/>
        <v/>
      </c>
      <c r="E662" s="560"/>
      <c r="F662" s="559"/>
      <c r="G662" s="559" t="str">
        <f t="shared" si="60"/>
        <v/>
      </c>
      <c r="H662" s="559" t="str">
        <f t="shared" si="61"/>
        <v/>
      </c>
      <c r="I662" s="559" t="str">
        <f t="shared" si="62"/>
        <v/>
      </c>
    </row>
    <row r="663" spans="2:9">
      <c r="B663" s="555" t="str">
        <f t="shared" si="57"/>
        <v/>
      </c>
      <c r="C663" s="556" t="str">
        <f t="shared" si="58"/>
        <v/>
      </c>
      <c r="D663" s="557" t="str">
        <f t="shared" si="59"/>
        <v/>
      </c>
      <c r="E663" s="560"/>
      <c r="F663" s="559"/>
      <c r="G663" s="559" t="str">
        <f t="shared" si="60"/>
        <v/>
      </c>
      <c r="H663" s="559" t="str">
        <f t="shared" si="61"/>
        <v/>
      </c>
      <c r="I663" s="559" t="str">
        <f t="shared" si="62"/>
        <v/>
      </c>
    </row>
    <row r="664" spans="2:9">
      <c r="B664" s="555" t="str">
        <f t="shared" si="57"/>
        <v/>
      </c>
      <c r="C664" s="556" t="str">
        <f t="shared" si="58"/>
        <v/>
      </c>
      <c r="D664" s="557" t="str">
        <f t="shared" si="59"/>
        <v/>
      </c>
      <c r="E664" s="560"/>
      <c r="F664" s="559"/>
      <c r="G664" s="559" t="str">
        <f t="shared" si="60"/>
        <v/>
      </c>
      <c r="H664" s="559" t="str">
        <f t="shared" si="61"/>
        <v/>
      </c>
      <c r="I664" s="559" t="str">
        <f t="shared" si="62"/>
        <v/>
      </c>
    </row>
    <row r="665" spans="2:9">
      <c r="B665" s="555" t="str">
        <f t="shared" si="57"/>
        <v/>
      </c>
      <c r="C665" s="556" t="str">
        <f t="shared" si="58"/>
        <v/>
      </c>
      <c r="D665" s="557" t="str">
        <f t="shared" si="59"/>
        <v/>
      </c>
      <c r="E665" s="560"/>
      <c r="F665" s="559"/>
      <c r="G665" s="559" t="str">
        <f t="shared" si="60"/>
        <v/>
      </c>
      <c r="H665" s="559" t="str">
        <f t="shared" si="61"/>
        <v/>
      </c>
      <c r="I665" s="559" t="str">
        <f t="shared" si="62"/>
        <v/>
      </c>
    </row>
    <row r="666" spans="2:9">
      <c r="B666" s="555" t="str">
        <f t="shared" si="57"/>
        <v/>
      </c>
      <c r="C666" s="556" t="str">
        <f t="shared" si="58"/>
        <v/>
      </c>
      <c r="D666" s="557" t="str">
        <f t="shared" si="59"/>
        <v/>
      </c>
      <c r="E666" s="560"/>
      <c r="F666" s="559"/>
      <c r="G666" s="559" t="str">
        <f t="shared" si="60"/>
        <v/>
      </c>
      <c r="H666" s="559" t="str">
        <f t="shared" si="61"/>
        <v/>
      </c>
      <c r="I666" s="559" t="str">
        <f t="shared" si="62"/>
        <v/>
      </c>
    </row>
    <row r="667" spans="2:9">
      <c r="B667" s="555" t="str">
        <f t="shared" si="57"/>
        <v/>
      </c>
      <c r="C667" s="556" t="str">
        <f t="shared" si="58"/>
        <v/>
      </c>
      <c r="D667" s="557" t="str">
        <f t="shared" si="59"/>
        <v/>
      </c>
      <c r="E667" s="560"/>
      <c r="F667" s="559"/>
      <c r="G667" s="559" t="str">
        <f t="shared" si="60"/>
        <v/>
      </c>
      <c r="H667" s="559" t="str">
        <f t="shared" si="61"/>
        <v/>
      </c>
      <c r="I667" s="559" t="str">
        <f t="shared" si="62"/>
        <v/>
      </c>
    </row>
    <row r="668" spans="2:9">
      <c r="B668" s="555" t="str">
        <f t="shared" si="57"/>
        <v/>
      </c>
      <c r="C668" s="556" t="str">
        <f t="shared" si="58"/>
        <v/>
      </c>
      <c r="D668" s="557" t="str">
        <f t="shared" si="59"/>
        <v/>
      </c>
      <c r="E668" s="560"/>
      <c r="F668" s="559"/>
      <c r="G668" s="559" t="str">
        <f t="shared" si="60"/>
        <v/>
      </c>
      <c r="H668" s="559" t="str">
        <f t="shared" si="61"/>
        <v/>
      </c>
      <c r="I668" s="559" t="str">
        <f t="shared" si="62"/>
        <v/>
      </c>
    </row>
    <row r="669" spans="2:9">
      <c r="B669" s="555" t="str">
        <f t="shared" si="57"/>
        <v/>
      </c>
      <c r="C669" s="556" t="str">
        <f t="shared" si="58"/>
        <v/>
      </c>
      <c r="D669" s="557" t="str">
        <f t="shared" si="59"/>
        <v/>
      </c>
      <c r="E669" s="560"/>
      <c r="F669" s="559"/>
      <c r="G669" s="559" t="str">
        <f t="shared" si="60"/>
        <v/>
      </c>
      <c r="H669" s="559" t="str">
        <f t="shared" si="61"/>
        <v/>
      </c>
      <c r="I669" s="559" t="str">
        <f t="shared" si="62"/>
        <v/>
      </c>
    </row>
    <row r="670" spans="2:9">
      <c r="B670" s="555" t="str">
        <f t="shared" si="57"/>
        <v/>
      </c>
      <c r="C670" s="556" t="str">
        <f t="shared" si="58"/>
        <v/>
      </c>
      <c r="D670" s="557" t="str">
        <f t="shared" si="59"/>
        <v/>
      </c>
      <c r="E670" s="560"/>
      <c r="F670" s="559"/>
      <c r="G670" s="559" t="str">
        <f t="shared" si="60"/>
        <v/>
      </c>
      <c r="H670" s="559" t="str">
        <f t="shared" si="61"/>
        <v/>
      </c>
      <c r="I670" s="559" t="str">
        <f t="shared" si="62"/>
        <v/>
      </c>
    </row>
    <row r="671" spans="2:9">
      <c r="B671" s="555" t="str">
        <f t="shared" si="57"/>
        <v/>
      </c>
      <c r="C671" s="556" t="str">
        <f t="shared" si="58"/>
        <v/>
      </c>
      <c r="D671" s="557" t="str">
        <f t="shared" si="59"/>
        <v/>
      </c>
      <c r="E671" s="560"/>
      <c r="F671" s="559"/>
      <c r="G671" s="559" t="str">
        <f t="shared" si="60"/>
        <v/>
      </c>
      <c r="H671" s="559" t="str">
        <f t="shared" si="61"/>
        <v/>
      </c>
      <c r="I671" s="559" t="str">
        <f t="shared" si="62"/>
        <v/>
      </c>
    </row>
    <row r="672" spans="2:9">
      <c r="B672" s="555" t="str">
        <f t="shared" si="57"/>
        <v/>
      </c>
      <c r="C672" s="556" t="str">
        <f t="shared" si="58"/>
        <v/>
      </c>
      <c r="D672" s="557" t="str">
        <f t="shared" si="59"/>
        <v/>
      </c>
      <c r="E672" s="560"/>
      <c r="F672" s="559"/>
      <c r="G672" s="559" t="str">
        <f t="shared" si="60"/>
        <v/>
      </c>
      <c r="H672" s="559" t="str">
        <f t="shared" si="61"/>
        <v/>
      </c>
      <c r="I672" s="559" t="str">
        <f t="shared" si="62"/>
        <v/>
      </c>
    </row>
    <row r="673" spans="2:9">
      <c r="B673" s="555" t="str">
        <f t="shared" si="57"/>
        <v/>
      </c>
      <c r="C673" s="556" t="str">
        <f t="shared" si="58"/>
        <v/>
      </c>
      <c r="D673" s="557" t="str">
        <f t="shared" si="59"/>
        <v/>
      </c>
      <c r="E673" s="560"/>
      <c r="F673" s="559"/>
      <c r="G673" s="559" t="str">
        <f t="shared" si="60"/>
        <v/>
      </c>
      <c r="H673" s="559" t="str">
        <f t="shared" si="61"/>
        <v/>
      </c>
      <c r="I673" s="559" t="str">
        <f t="shared" si="62"/>
        <v/>
      </c>
    </row>
    <row r="674" spans="2:9">
      <c r="B674" s="555" t="str">
        <f t="shared" si="57"/>
        <v/>
      </c>
      <c r="C674" s="556" t="str">
        <f t="shared" si="58"/>
        <v/>
      </c>
      <c r="D674" s="557" t="str">
        <f t="shared" si="59"/>
        <v/>
      </c>
      <c r="E674" s="560"/>
      <c r="F674" s="559"/>
      <c r="G674" s="559" t="str">
        <f t="shared" si="60"/>
        <v/>
      </c>
      <c r="H674" s="559" t="str">
        <f t="shared" si="61"/>
        <v/>
      </c>
      <c r="I674" s="559" t="str">
        <f t="shared" si="62"/>
        <v/>
      </c>
    </row>
    <row r="675" spans="2:9">
      <c r="B675" s="555" t="str">
        <f t="shared" si="57"/>
        <v/>
      </c>
      <c r="C675" s="556" t="str">
        <f t="shared" si="58"/>
        <v/>
      </c>
      <c r="D675" s="557" t="str">
        <f t="shared" si="59"/>
        <v/>
      </c>
      <c r="E675" s="560"/>
      <c r="F675" s="559"/>
      <c r="G675" s="559" t="str">
        <f t="shared" si="60"/>
        <v/>
      </c>
      <c r="H675" s="559" t="str">
        <f t="shared" si="61"/>
        <v/>
      </c>
      <c r="I675" s="559" t="str">
        <f t="shared" si="62"/>
        <v/>
      </c>
    </row>
    <row r="676" spans="2:9">
      <c r="B676" s="555" t="str">
        <f t="shared" si="57"/>
        <v/>
      </c>
      <c r="C676" s="556" t="str">
        <f t="shared" si="58"/>
        <v/>
      </c>
      <c r="D676" s="557" t="str">
        <f t="shared" si="59"/>
        <v/>
      </c>
      <c r="E676" s="560"/>
      <c r="F676" s="559"/>
      <c r="G676" s="559" t="str">
        <f t="shared" si="60"/>
        <v/>
      </c>
      <c r="H676" s="559" t="str">
        <f t="shared" si="61"/>
        <v/>
      </c>
      <c r="I676" s="559" t="str">
        <f t="shared" si="62"/>
        <v/>
      </c>
    </row>
    <row r="677" spans="2:9">
      <c r="B677" s="555" t="str">
        <f t="shared" si="57"/>
        <v/>
      </c>
      <c r="C677" s="556" t="str">
        <f t="shared" si="58"/>
        <v/>
      </c>
      <c r="D677" s="557" t="str">
        <f t="shared" si="59"/>
        <v/>
      </c>
      <c r="E677" s="560"/>
      <c r="F677" s="559"/>
      <c r="G677" s="559" t="str">
        <f t="shared" si="60"/>
        <v/>
      </c>
      <c r="H677" s="559" t="str">
        <f t="shared" si="61"/>
        <v/>
      </c>
      <c r="I677" s="559" t="str">
        <f t="shared" si="62"/>
        <v/>
      </c>
    </row>
    <row r="678" spans="2:9">
      <c r="B678" s="555" t="str">
        <f t="shared" si="57"/>
        <v/>
      </c>
      <c r="C678" s="556" t="str">
        <f t="shared" si="58"/>
        <v/>
      </c>
      <c r="D678" s="557" t="str">
        <f t="shared" si="59"/>
        <v/>
      </c>
      <c r="E678" s="560"/>
      <c r="F678" s="559"/>
      <c r="G678" s="559" t="str">
        <f t="shared" si="60"/>
        <v/>
      </c>
      <c r="H678" s="559" t="str">
        <f t="shared" si="61"/>
        <v/>
      </c>
      <c r="I678" s="559" t="str">
        <f t="shared" si="62"/>
        <v/>
      </c>
    </row>
    <row r="679" spans="2:9">
      <c r="B679" s="555" t="str">
        <f t="shared" si="57"/>
        <v/>
      </c>
      <c r="C679" s="556" t="str">
        <f t="shared" si="58"/>
        <v/>
      </c>
      <c r="D679" s="557" t="str">
        <f t="shared" si="59"/>
        <v/>
      </c>
      <c r="E679" s="560"/>
      <c r="F679" s="559"/>
      <c r="G679" s="559" t="str">
        <f t="shared" si="60"/>
        <v/>
      </c>
      <c r="H679" s="559" t="str">
        <f t="shared" si="61"/>
        <v/>
      </c>
      <c r="I679" s="559" t="str">
        <f t="shared" si="62"/>
        <v/>
      </c>
    </row>
    <row r="680" spans="2:9">
      <c r="B680" s="555" t="str">
        <f t="shared" si="57"/>
        <v/>
      </c>
      <c r="C680" s="556" t="str">
        <f t="shared" si="58"/>
        <v/>
      </c>
      <c r="D680" s="557" t="str">
        <f t="shared" si="59"/>
        <v/>
      </c>
      <c r="E680" s="560"/>
      <c r="F680" s="559"/>
      <c r="G680" s="559" t="str">
        <f t="shared" si="60"/>
        <v/>
      </c>
      <c r="H680" s="559" t="str">
        <f t="shared" si="61"/>
        <v/>
      </c>
      <c r="I680" s="559" t="str">
        <f t="shared" si="62"/>
        <v/>
      </c>
    </row>
    <row r="681" spans="2:9">
      <c r="B681" s="555" t="str">
        <f t="shared" si="57"/>
        <v/>
      </c>
      <c r="C681" s="556" t="str">
        <f t="shared" si="58"/>
        <v/>
      </c>
      <c r="D681" s="557" t="str">
        <f t="shared" si="59"/>
        <v/>
      </c>
      <c r="E681" s="560"/>
      <c r="F681" s="559"/>
      <c r="G681" s="559" t="str">
        <f t="shared" si="60"/>
        <v/>
      </c>
      <c r="H681" s="559" t="str">
        <f t="shared" si="61"/>
        <v/>
      </c>
      <c r="I681" s="559" t="str">
        <f t="shared" si="62"/>
        <v/>
      </c>
    </row>
    <row r="682" spans="2:9">
      <c r="B682" s="555" t="str">
        <f t="shared" si="57"/>
        <v/>
      </c>
      <c r="C682" s="556" t="str">
        <f t="shared" si="58"/>
        <v/>
      </c>
      <c r="D682" s="557" t="str">
        <f t="shared" si="59"/>
        <v/>
      </c>
      <c r="E682" s="560"/>
      <c r="F682" s="559"/>
      <c r="G682" s="559" t="str">
        <f t="shared" si="60"/>
        <v/>
      </c>
      <c r="H682" s="559" t="str">
        <f t="shared" si="61"/>
        <v/>
      </c>
      <c r="I682" s="559" t="str">
        <f t="shared" si="62"/>
        <v/>
      </c>
    </row>
    <row r="683" spans="2:9">
      <c r="B683" s="555" t="str">
        <f t="shared" si="57"/>
        <v/>
      </c>
      <c r="C683" s="556" t="str">
        <f t="shared" si="58"/>
        <v/>
      </c>
      <c r="D683" s="557" t="str">
        <f t="shared" si="59"/>
        <v/>
      </c>
      <c r="E683" s="560"/>
      <c r="F683" s="559"/>
      <c r="G683" s="559" t="str">
        <f t="shared" si="60"/>
        <v/>
      </c>
      <c r="H683" s="559" t="str">
        <f t="shared" si="61"/>
        <v/>
      </c>
      <c r="I683" s="559" t="str">
        <f t="shared" si="62"/>
        <v/>
      </c>
    </row>
    <row r="684" spans="2:9">
      <c r="B684" s="555" t="str">
        <f t="shared" si="57"/>
        <v/>
      </c>
      <c r="C684" s="556" t="str">
        <f t="shared" si="58"/>
        <v/>
      </c>
      <c r="D684" s="557" t="str">
        <f t="shared" si="59"/>
        <v/>
      </c>
      <c r="E684" s="560"/>
      <c r="F684" s="559"/>
      <c r="G684" s="559" t="str">
        <f t="shared" si="60"/>
        <v/>
      </c>
      <c r="H684" s="559" t="str">
        <f t="shared" si="61"/>
        <v/>
      </c>
      <c r="I684" s="559" t="str">
        <f t="shared" si="62"/>
        <v/>
      </c>
    </row>
    <row r="685" spans="2:9">
      <c r="B685" s="555" t="str">
        <f t="shared" si="57"/>
        <v/>
      </c>
      <c r="C685" s="556" t="str">
        <f t="shared" si="58"/>
        <v/>
      </c>
      <c r="D685" s="557" t="str">
        <f t="shared" si="59"/>
        <v/>
      </c>
      <c r="E685" s="560"/>
      <c r="F685" s="559"/>
      <c r="G685" s="559" t="str">
        <f t="shared" si="60"/>
        <v/>
      </c>
      <c r="H685" s="559" t="str">
        <f t="shared" si="61"/>
        <v/>
      </c>
      <c r="I685" s="559" t="str">
        <f t="shared" si="62"/>
        <v/>
      </c>
    </row>
    <row r="686" spans="2:9">
      <c r="B686" s="555" t="str">
        <f t="shared" si="57"/>
        <v/>
      </c>
      <c r="C686" s="556" t="str">
        <f t="shared" si="58"/>
        <v/>
      </c>
      <c r="D686" s="557" t="str">
        <f t="shared" si="59"/>
        <v/>
      </c>
      <c r="E686" s="560"/>
      <c r="F686" s="559"/>
      <c r="G686" s="559" t="str">
        <f t="shared" si="60"/>
        <v/>
      </c>
      <c r="H686" s="559" t="str">
        <f t="shared" si="61"/>
        <v/>
      </c>
      <c r="I686" s="559" t="str">
        <f t="shared" si="62"/>
        <v/>
      </c>
    </row>
    <row r="687" spans="2:9">
      <c r="B687" s="555" t="str">
        <f t="shared" si="57"/>
        <v/>
      </c>
      <c r="C687" s="556" t="str">
        <f t="shared" si="58"/>
        <v/>
      </c>
      <c r="D687" s="557" t="str">
        <f t="shared" si="59"/>
        <v/>
      </c>
      <c r="E687" s="560"/>
      <c r="F687" s="559"/>
      <c r="G687" s="559" t="str">
        <f t="shared" si="60"/>
        <v/>
      </c>
      <c r="H687" s="559" t="str">
        <f t="shared" si="61"/>
        <v/>
      </c>
      <c r="I687" s="559" t="str">
        <f t="shared" si="62"/>
        <v/>
      </c>
    </row>
    <row r="688" spans="2:9">
      <c r="B688" s="555" t="str">
        <f t="shared" si="57"/>
        <v/>
      </c>
      <c r="C688" s="556" t="str">
        <f t="shared" si="58"/>
        <v/>
      </c>
      <c r="D688" s="557" t="str">
        <f t="shared" si="59"/>
        <v/>
      </c>
      <c r="E688" s="560"/>
      <c r="F688" s="559"/>
      <c r="G688" s="559" t="str">
        <f t="shared" si="60"/>
        <v/>
      </c>
      <c r="H688" s="559" t="str">
        <f t="shared" si="61"/>
        <v/>
      </c>
      <c r="I688" s="559" t="str">
        <f t="shared" si="62"/>
        <v/>
      </c>
    </row>
    <row r="689" spans="2:9">
      <c r="B689" s="555" t="str">
        <f t="shared" si="57"/>
        <v/>
      </c>
      <c r="C689" s="556" t="str">
        <f t="shared" si="58"/>
        <v/>
      </c>
      <c r="D689" s="557" t="str">
        <f t="shared" si="59"/>
        <v/>
      </c>
      <c r="E689" s="560"/>
      <c r="F689" s="559"/>
      <c r="G689" s="559" t="str">
        <f t="shared" si="60"/>
        <v/>
      </c>
      <c r="H689" s="559" t="str">
        <f t="shared" si="61"/>
        <v/>
      </c>
      <c r="I689" s="559" t="str">
        <f t="shared" si="62"/>
        <v/>
      </c>
    </row>
    <row r="690" spans="2:9">
      <c r="B690" s="555" t="str">
        <f t="shared" si="57"/>
        <v/>
      </c>
      <c r="C690" s="556" t="str">
        <f t="shared" si="58"/>
        <v/>
      </c>
      <c r="D690" s="557" t="str">
        <f t="shared" si="59"/>
        <v/>
      </c>
      <c r="E690" s="560"/>
      <c r="F690" s="559"/>
      <c r="G690" s="559" t="str">
        <f t="shared" si="60"/>
        <v/>
      </c>
      <c r="H690" s="559" t="str">
        <f t="shared" si="61"/>
        <v/>
      </c>
      <c r="I690" s="559" t="str">
        <f t="shared" si="62"/>
        <v/>
      </c>
    </row>
    <row r="691" spans="2:9">
      <c r="B691" s="555" t="str">
        <f t="shared" si="57"/>
        <v/>
      </c>
      <c r="C691" s="556" t="str">
        <f t="shared" si="58"/>
        <v/>
      </c>
      <c r="D691" s="557" t="str">
        <f t="shared" si="59"/>
        <v/>
      </c>
      <c r="E691" s="560"/>
      <c r="F691" s="559"/>
      <c r="G691" s="559" t="str">
        <f t="shared" si="60"/>
        <v/>
      </c>
      <c r="H691" s="559" t="str">
        <f t="shared" si="61"/>
        <v/>
      </c>
      <c r="I691" s="559" t="str">
        <f t="shared" si="62"/>
        <v/>
      </c>
    </row>
    <row r="692" spans="2:9">
      <c r="B692" s="555" t="str">
        <f t="shared" si="57"/>
        <v/>
      </c>
      <c r="C692" s="556" t="str">
        <f t="shared" si="58"/>
        <v/>
      </c>
      <c r="D692" s="557" t="str">
        <f t="shared" si="59"/>
        <v/>
      </c>
      <c r="E692" s="560"/>
      <c r="F692" s="559"/>
      <c r="G692" s="559" t="str">
        <f t="shared" si="60"/>
        <v/>
      </c>
      <c r="H692" s="559" t="str">
        <f t="shared" si="61"/>
        <v/>
      </c>
      <c r="I692" s="559" t="str">
        <f t="shared" si="62"/>
        <v/>
      </c>
    </row>
    <row r="693" spans="2:9">
      <c r="B693" s="555" t="str">
        <f t="shared" si="57"/>
        <v/>
      </c>
      <c r="C693" s="556" t="str">
        <f t="shared" si="58"/>
        <v/>
      </c>
      <c r="D693" s="557" t="str">
        <f t="shared" si="59"/>
        <v/>
      </c>
      <c r="E693" s="560"/>
      <c r="F693" s="559"/>
      <c r="G693" s="559" t="str">
        <f t="shared" si="60"/>
        <v/>
      </c>
      <c r="H693" s="559" t="str">
        <f t="shared" si="61"/>
        <v/>
      </c>
      <c r="I693" s="559" t="str">
        <f t="shared" si="62"/>
        <v/>
      </c>
    </row>
    <row r="694" spans="2:9">
      <c r="B694" s="555" t="str">
        <f t="shared" si="57"/>
        <v/>
      </c>
      <c r="C694" s="556" t="str">
        <f t="shared" si="58"/>
        <v/>
      </c>
      <c r="D694" s="557" t="str">
        <f t="shared" si="59"/>
        <v/>
      </c>
      <c r="E694" s="560"/>
      <c r="F694" s="559"/>
      <c r="G694" s="559" t="str">
        <f t="shared" si="60"/>
        <v/>
      </c>
      <c r="H694" s="559" t="str">
        <f t="shared" si="61"/>
        <v/>
      </c>
      <c r="I694" s="559" t="str">
        <f t="shared" si="62"/>
        <v/>
      </c>
    </row>
    <row r="695" spans="2:9">
      <c r="B695" s="555" t="str">
        <f t="shared" si="57"/>
        <v/>
      </c>
      <c r="C695" s="556" t="str">
        <f t="shared" si="58"/>
        <v/>
      </c>
      <c r="D695" s="557" t="str">
        <f t="shared" si="59"/>
        <v/>
      </c>
      <c r="E695" s="560"/>
      <c r="F695" s="559"/>
      <c r="G695" s="559" t="str">
        <f t="shared" si="60"/>
        <v/>
      </c>
      <c r="H695" s="559" t="str">
        <f t="shared" si="61"/>
        <v/>
      </c>
      <c r="I695" s="559" t="str">
        <f t="shared" si="62"/>
        <v/>
      </c>
    </row>
    <row r="696" spans="2:9">
      <c r="B696" s="555" t="str">
        <f t="shared" si="57"/>
        <v/>
      </c>
      <c r="C696" s="556" t="str">
        <f t="shared" si="58"/>
        <v/>
      </c>
      <c r="D696" s="557" t="str">
        <f t="shared" si="59"/>
        <v/>
      </c>
      <c r="E696" s="560"/>
      <c r="F696" s="559"/>
      <c r="G696" s="559" t="str">
        <f t="shared" si="60"/>
        <v/>
      </c>
      <c r="H696" s="559" t="str">
        <f t="shared" si="61"/>
        <v/>
      </c>
      <c r="I696" s="559" t="str">
        <f t="shared" si="62"/>
        <v/>
      </c>
    </row>
    <row r="697" spans="2:9">
      <c r="B697" s="555" t="str">
        <f t="shared" si="57"/>
        <v/>
      </c>
      <c r="C697" s="556" t="str">
        <f t="shared" si="58"/>
        <v/>
      </c>
      <c r="D697" s="557" t="str">
        <f t="shared" si="59"/>
        <v/>
      </c>
      <c r="E697" s="560"/>
      <c r="F697" s="559"/>
      <c r="G697" s="559" t="str">
        <f t="shared" si="60"/>
        <v/>
      </c>
      <c r="H697" s="559" t="str">
        <f t="shared" si="61"/>
        <v/>
      </c>
      <c r="I697" s="559" t="str">
        <f t="shared" si="62"/>
        <v/>
      </c>
    </row>
    <row r="698" spans="2:9">
      <c r="B698" s="555" t="str">
        <f t="shared" si="57"/>
        <v/>
      </c>
      <c r="C698" s="556" t="str">
        <f t="shared" si="58"/>
        <v/>
      </c>
      <c r="D698" s="557" t="str">
        <f t="shared" si="59"/>
        <v/>
      </c>
      <c r="E698" s="560"/>
      <c r="F698" s="559"/>
      <c r="G698" s="559" t="str">
        <f t="shared" si="60"/>
        <v/>
      </c>
      <c r="H698" s="559" t="str">
        <f t="shared" si="61"/>
        <v/>
      </c>
      <c r="I698" s="559" t="str">
        <f t="shared" si="62"/>
        <v/>
      </c>
    </row>
    <row r="699" spans="2:9">
      <c r="B699" s="555" t="str">
        <f t="shared" si="57"/>
        <v/>
      </c>
      <c r="C699" s="556" t="str">
        <f t="shared" si="58"/>
        <v/>
      </c>
      <c r="D699" s="557" t="str">
        <f t="shared" si="59"/>
        <v/>
      </c>
      <c r="E699" s="560"/>
      <c r="F699" s="559"/>
      <c r="G699" s="559" t="str">
        <f t="shared" si="60"/>
        <v/>
      </c>
      <c r="H699" s="559" t="str">
        <f t="shared" si="61"/>
        <v/>
      </c>
      <c r="I699" s="559" t="str">
        <f t="shared" si="62"/>
        <v/>
      </c>
    </row>
    <row r="700" spans="2:9">
      <c r="B700" s="555" t="str">
        <f t="shared" si="57"/>
        <v/>
      </c>
      <c r="C700" s="556" t="str">
        <f t="shared" si="58"/>
        <v/>
      </c>
      <c r="D700" s="557" t="str">
        <f t="shared" si="59"/>
        <v/>
      </c>
      <c r="E700" s="560"/>
      <c r="F700" s="559"/>
      <c r="G700" s="559" t="str">
        <f t="shared" si="60"/>
        <v/>
      </c>
      <c r="H700" s="559" t="str">
        <f t="shared" si="61"/>
        <v/>
      </c>
      <c r="I700" s="559" t="str">
        <f t="shared" si="62"/>
        <v/>
      </c>
    </row>
    <row r="701" spans="2:9">
      <c r="B701" s="555" t="str">
        <f t="shared" ref="B701:B764" si="63">IF(I700="","",IF(roundOpt,IF(OR(B700&gt;=nper,ROUND(I700,2)&lt;=0),"",B700+1),IF(OR(B700&gt;=nper,I700&lt;=0),"",B700+1)))</f>
        <v/>
      </c>
      <c r="C701" s="556" t="str">
        <f t="shared" ref="C701:C764" si="64">IF(B701="","",IF(OR(periods_per_year=26,periods_per_year=52),IF(periods_per_year=26,IF(B701=1,fpdate,C700+14),IF(periods_per_year=52,IF(B701=1,fpdate,C700+7),"n/a")),IF(periods_per_year=24,DATE(YEAR(fpdate),MONTH(fpdate)+(B701-1)/2+IF(AND(DAY(fpdate)&gt;=15,MOD(B701,2)=0),1,0),IF(MOD(B701,2)=0,IF(DAY(fpdate)&gt;=15,DAY(fpdate)-14,DAY(fpdate)+14),DAY(fpdate))),IF(DAY(DATE(YEAR(fpdate),MONTH(fpdate)+(B701-1)*months_per_period,DAY(fpdate)))&lt;&gt;DAY(fpdate),DATE(YEAR(fpdate),MONTH(fpdate)+(B701-1)*months_per_period+1,0),DATE(YEAR(fpdate),MONTH(fpdate)+(B701-1)*months_per_period,DAY(fpdate))))))</f>
        <v/>
      </c>
      <c r="D701" s="557" t="str">
        <f t="shared" ref="D701:D764" si="65">IF(B701="","",IF(roundOpt,IF(OR(B701=nper,payment&gt;ROUND((1+rate)*I700,2)),ROUND((1+rate)*I700,2),payment),IF(OR(B701=nper,payment&gt;(1+rate)*I700),(1+rate)*I700,payment)))</f>
        <v/>
      </c>
      <c r="E701" s="560"/>
      <c r="F701" s="559"/>
      <c r="G701" s="559" t="str">
        <f t="shared" ref="G701:G764" si="66">IF(B701="","",IF(AND(B701=1,pmtType=1),0,IF(roundOpt,ROUND(rate*I700,2),rate*I700)))</f>
        <v/>
      </c>
      <c r="H701" s="559" t="str">
        <f t="shared" ref="H701:H764" si="67">IF(B701="","",D701-G701+E701)</f>
        <v/>
      </c>
      <c r="I701" s="559" t="str">
        <f t="shared" ref="I701:I764" si="68">IF(B701="","",I700-H701)</f>
        <v/>
      </c>
    </row>
    <row r="702" spans="2:9">
      <c r="B702" s="555" t="str">
        <f t="shared" si="63"/>
        <v/>
      </c>
      <c r="C702" s="556" t="str">
        <f t="shared" si="64"/>
        <v/>
      </c>
      <c r="D702" s="557" t="str">
        <f t="shared" si="65"/>
        <v/>
      </c>
      <c r="E702" s="560"/>
      <c r="F702" s="559"/>
      <c r="G702" s="559" t="str">
        <f t="shared" si="66"/>
        <v/>
      </c>
      <c r="H702" s="559" t="str">
        <f t="shared" si="67"/>
        <v/>
      </c>
      <c r="I702" s="559" t="str">
        <f t="shared" si="68"/>
        <v/>
      </c>
    </row>
    <row r="703" spans="2:9">
      <c r="B703" s="555" t="str">
        <f t="shared" si="63"/>
        <v/>
      </c>
      <c r="C703" s="556" t="str">
        <f t="shared" si="64"/>
        <v/>
      </c>
      <c r="D703" s="557" t="str">
        <f t="shared" si="65"/>
        <v/>
      </c>
      <c r="E703" s="560"/>
      <c r="F703" s="559"/>
      <c r="G703" s="559" t="str">
        <f t="shared" si="66"/>
        <v/>
      </c>
      <c r="H703" s="559" t="str">
        <f t="shared" si="67"/>
        <v/>
      </c>
      <c r="I703" s="559" t="str">
        <f t="shared" si="68"/>
        <v/>
      </c>
    </row>
    <row r="704" spans="2:9">
      <c r="B704" s="555" t="str">
        <f t="shared" si="63"/>
        <v/>
      </c>
      <c r="C704" s="556" t="str">
        <f t="shared" si="64"/>
        <v/>
      </c>
      <c r="D704" s="557" t="str">
        <f t="shared" si="65"/>
        <v/>
      </c>
      <c r="E704" s="560"/>
      <c r="F704" s="559"/>
      <c r="G704" s="559" t="str">
        <f t="shared" si="66"/>
        <v/>
      </c>
      <c r="H704" s="559" t="str">
        <f t="shared" si="67"/>
        <v/>
      </c>
      <c r="I704" s="559" t="str">
        <f t="shared" si="68"/>
        <v/>
      </c>
    </row>
    <row r="705" spans="2:9">
      <c r="B705" s="555" t="str">
        <f t="shared" si="63"/>
        <v/>
      </c>
      <c r="C705" s="556" t="str">
        <f t="shared" si="64"/>
        <v/>
      </c>
      <c r="D705" s="557" t="str">
        <f t="shared" si="65"/>
        <v/>
      </c>
      <c r="E705" s="560"/>
      <c r="F705" s="559"/>
      <c r="G705" s="559" t="str">
        <f t="shared" si="66"/>
        <v/>
      </c>
      <c r="H705" s="559" t="str">
        <f t="shared" si="67"/>
        <v/>
      </c>
      <c r="I705" s="559" t="str">
        <f t="shared" si="68"/>
        <v/>
      </c>
    </row>
    <row r="706" spans="2:9">
      <c r="B706" s="555" t="str">
        <f t="shared" si="63"/>
        <v/>
      </c>
      <c r="C706" s="556" t="str">
        <f t="shared" si="64"/>
        <v/>
      </c>
      <c r="D706" s="557" t="str">
        <f t="shared" si="65"/>
        <v/>
      </c>
      <c r="E706" s="560"/>
      <c r="F706" s="559"/>
      <c r="G706" s="559" t="str">
        <f t="shared" si="66"/>
        <v/>
      </c>
      <c r="H706" s="559" t="str">
        <f t="shared" si="67"/>
        <v/>
      </c>
      <c r="I706" s="559" t="str">
        <f t="shared" si="68"/>
        <v/>
      </c>
    </row>
    <row r="707" spans="2:9">
      <c r="B707" s="555" t="str">
        <f t="shared" si="63"/>
        <v/>
      </c>
      <c r="C707" s="556" t="str">
        <f t="shared" si="64"/>
        <v/>
      </c>
      <c r="D707" s="557" t="str">
        <f t="shared" si="65"/>
        <v/>
      </c>
      <c r="E707" s="560"/>
      <c r="F707" s="559"/>
      <c r="G707" s="559" t="str">
        <f t="shared" si="66"/>
        <v/>
      </c>
      <c r="H707" s="559" t="str">
        <f t="shared" si="67"/>
        <v/>
      </c>
      <c r="I707" s="559" t="str">
        <f t="shared" si="68"/>
        <v/>
      </c>
    </row>
    <row r="708" spans="2:9">
      <c r="B708" s="555" t="str">
        <f t="shared" si="63"/>
        <v/>
      </c>
      <c r="C708" s="556" t="str">
        <f t="shared" si="64"/>
        <v/>
      </c>
      <c r="D708" s="557" t="str">
        <f t="shared" si="65"/>
        <v/>
      </c>
      <c r="E708" s="560"/>
      <c r="F708" s="559"/>
      <c r="G708" s="559" t="str">
        <f t="shared" si="66"/>
        <v/>
      </c>
      <c r="H708" s="559" t="str">
        <f t="shared" si="67"/>
        <v/>
      </c>
      <c r="I708" s="559" t="str">
        <f t="shared" si="68"/>
        <v/>
      </c>
    </row>
    <row r="709" spans="2:9">
      <c r="B709" s="555" t="str">
        <f t="shared" si="63"/>
        <v/>
      </c>
      <c r="C709" s="556" t="str">
        <f t="shared" si="64"/>
        <v/>
      </c>
      <c r="D709" s="557" t="str">
        <f t="shared" si="65"/>
        <v/>
      </c>
      <c r="E709" s="560"/>
      <c r="F709" s="559"/>
      <c r="G709" s="559" t="str">
        <f t="shared" si="66"/>
        <v/>
      </c>
      <c r="H709" s="559" t="str">
        <f t="shared" si="67"/>
        <v/>
      </c>
      <c r="I709" s="559" t="str">
        <f t="shared" si="68"/>
        <v/>
      </c>
    </row>
    <row r="710" spans="2:9">
      <c r="B710" s="555" t="str">
        <f t="shared" si="63"/>
        <v/>
      </c>
      <c r="C710" s="556" t="str">
        <f t="shared" si="64"/>
        <v/>
      </c>
      <c r="D710" s="557" t="str">
        <f t="shared" si="65"/>
        <v/>
      </c>
      <c r="E710" s="560"/>
      <c r="F710" s="559"/>
      <c r="G710" s="559" t="str">
        <f t="shared" si="66"/>
        <v/>
      </c>
      <c r="H710" s="559" t="str">
        <f t="shared" si="67"/>
        <v/>
      </c>
      <c r="I710" s="559" t="str">
        <f t="shared" si="68"/>
        <v/>
      </c>
    </row>
    <row r="711" spans="2:9">
      <c r="B711" s="555" t="str">
        <f t="shared" si="63"/>
        <v/>
      </c>
      <c r="C711" s="556" t="str">
        <f t="shared" si="64"/>
        <v/>
      </c>
      <c r="D711" s="557" t="str">
        <f t="shared" si="65"/>
        <v/>
      </c>
      <c r="E711" s="560"/>
      <c r="F711" s="559"/>
      <c r="G711" s="559" t="str">
        <f t="shared" si="66"/>
        <v/>
      </c>
      <c r="H711" s="559" t="str">
        <f t="shared" si="67"/>
        <v/>
      </c>
      <c r="I711" s="559" t="str">
        <f t="shared" si="68"/>
        <v/>
      </c>
    </row>
    <row r="712" spans="2:9">
      <c r="B712" s="555" t="str">
        <f t="shared" si="63"/>
        <v/>
      </c>
      <c r="C712" s="556" t="str">
        <f t="shared" si="64"/>
        <v/>
      </c>
      <c r="D712" s="557" t="str">
        <f t="shared" si="65"/>
        <v/>
      </c>
      <c r="E712" s="560"/>
      <c r="F712" s="559"/>
      <c r="G712" s="559" t="str">
        <f t="shared" si="66"/>
        <v/>
      </c>
      <c r="H712" s="559" t="str">
        <f t="shared" si="67"/>
        <v/>
      </c>
      <c r="I712" s="559" t="str">
        <f t="shared" si="68"/>
        <v/>
      </c>
    </row>
    <row r="713" spans="2:9">
      <c r="B713" s="555" t="str">
        <f t="shared" si="63"/>
        <v/>
      </c>
      <c r="C713" s="556" t="str">
        <f t="shared" si="64"/>
        <v/>
      </c>
      <c r="D713" s="557" t="str">
        <f t="shared" si="65"/>
        <v/>
      </c>
      <c r="E713" s="560"/>
      <c r="F713" s="559"/>
      <c r="G713" s="559" t="str">
        <f t="shared" si="66"/>
        <v/>
      </c>
      <c r="H713" s="559" t="str">
        <f t="shared" si="67"/>
        <v/>
      </c>
      <c r="I713" s="559" t="str">
        <f t="shared" si="68"/>
        <v/>
      </c>
    </row>
    <row r="714" spans="2:9">
      <c r="B714" s="555" t="str">
        <f t="shared" si="63"/>
        <v/>
      </c>
      <c r="C714" s="556" t="str">
        <f t="shared" si="64"/>
        <v/>
      </c>
      <c r="D714" s="557" t="str">
        <f t="shared" si="65"/>
        <v/>
      </c>
      <c r="E714" s="560"/>
      <c r="F714" s="559"/>
      <c r="G714" s="559" t="str">
        <f t="shared" si="66"/>
        <v/>
      </c>
      <c r="H714" s="559" t="str">
        <f t="shared" si="67"/>
        <v/>
      </c>
      <c r="I714" s="559" t="str">
        <f t="shared" si="68"/>
        <v/>
      </c>
    </row>
    <row r="715" spans="2:9">
      <c r="B715" s="555" t="str">
        <f t="shared" si="63"/>
        <v/>
      </c>
      <c r="C715" s="556" t="str">
        <f t="shared" si="64"/>
        <v/>
      </c>
      <c r="D715" s="557" t="str">
        <f t="shared" si="65"/>
        <v/>
      </c>
      <c r="E715" s="560"/>
      <c r="F715" s="559"/>
      <c r="G715" s="559" t="str">
        <f t="shared" si="66"/>
        <v/>
      </c>
      <c r="H715" s="559" t="str">
        <f t="shared" si="67"/>
        <v/>
      </c>
      <c r="I715" s="559" t="str">
        <f t="shared" si="68"/>
        <v/>
      </c>
    </row>
    <row r="716" spans="2:9">
      <c r="B716" s="555" t="str">
        <f t="shared" si="63"/>
        <v/>
      </c>
      <c r="C716" s="556" t="str">
        <f t="shared" si="64"/>
        <v/>
      </c>
      <c r="D716" s="557" t="str">
        <f t="shared" si="65"/>
        <v/>
      </c>
      <c r="E716" s="560"/>
      <c r="F716" s="559"/>
      <c r="G716" s="559" t="str">
        <f t="shared" si="66"/>
        <v/>
      </c>
      <c r="H716" s="559" t="str">
        <f t="shared" si="67"/>
        <v/>
      </c>
      <c r="I716" s="559" t="str">
        <f t="shared" si="68"/>
        <v/>
      </c>
    </row>
    <row r="717" spans="2:9">
      <c r="B717" s="555" t="str">
        <f t="shared" si="63"/>
        <v/>
      </c>
      <c r="C717" s="556" t="str">
        <f t="shared" si="64"/>
        <v/>
      </c>
      <c r="D717" s="557" t="str">
        <f t="shared" si="65"/>
        <v/>
      </c>
      <c r="E717" s="560"/>
      <c r="F717" s="559"/>
      <c r="G717" s="559" t="str">
        <f t="shared" si="66"/>
        <v/>
      </c>
      <c r="H717" s="559" t="str">
        <f t="shared" si="67"/>
        <v/>
      </c>
      <c r="I717" s="559" t="str">
        <f t="shared" si="68"/>
        <v/>
      </c>
    </row>
    <row r="718" spans="2:9">
      <c r="B718" s="555" t="str">
        <f t="shared" si="63"/>
        <v/>
      </c>
      <c r="C718" s="556" t="str">
        <f t="shared" si="64"/>
        <v/>
      </c>
      <c r="D718" s="557" t="str">
        <f t="shared" si="65"/>
        <v/>
      </c>
      <c r="E718" s="560"/>
      <c r="F718" s="559"/>
      <c r="G718" s="559" t="str">
        <f t="shared" si="66"/>
        <v/>
      </c>
      <c r="H718" s="559" t="str">
        <f t="shared" si="67"/>
        <v/>
      </c>
      <c r="I718" s="559" t="str">
        <f t="shared" si="68"/>
        <v/>
      </c>
    </row>
    <row r="719" spans="2:9">
      <c r="B719" s="555" t="str">
        <f t="shared" si="63"/>
        <v/>
      </c>
      <c r="C719" s="556" t="str">
        <f t="shared" si="64"/>
        <v/>
      </c>
      <c r="D719" s="557" t="str">
        <f t="shared" si="65"/>
        <v/>
      </c>
      <c r="E719" s="560"/>
      <c r="F719" s="559"/>
      <c r="G719" s="559" t="str">
        <f t="shared" si="66"/>
        <v/>
      </c>
      <c r="H719" s="559" t="str">
        <f t="shared" si="67"/>
        <v/>
      </c>
      <c r="I719" s="559" t="str">
        <f t="shared" si="68"/>
        <v/>
      </c>
    </row>
    <row r="720" spans="2:9">
      <c r="B720" s="555" t="str">
        <f t="shared" si="63"/>
        <v/>
      </c>
      <c r="C720" s="556" t="str">
        <f t="shared" si="64"/>
        <v/>
      </c>
      <c r="D720" s="557" t="str">
        <f t="shared" si="65"/>
        <v/>
      </c>
      <c r="E720" s="560"/>
      <c r="F720" s="559"/>
      <c r="G720" s="559" t="str">
        <f t="shared" si="66"/>
        <v/>
      </c>
      <c r="H720" s="559" t="str">
        <f t="shared" si="67"/>
        <v/>
      </c>
      <c r="I720" s="559" t="str">
        <f t="shared" si="68"/>
        <v/>
      </c>
    </row>
    <row r="721" spans="2:9">
      <c r="B721" s="555" t="str">
        <f t="shared" si="63"/>
        <v/>
      </c>
      <c r="C721" s="556" t="str">
        <f t="shared" si="64"/>
        <v/>
      </c>
      <c r="D721" s="557" t="str">
        <f t="shared" si="65"/>
        <v/>
      </c>
      <c r="E721" s="560"/>
      <c r="F721" s="559"/>
      <c r="G721" s="559" t="str">
        <f t="shared" si="66"/>
        <v/>
      </c>
      <c r="H721" s="559" t="str">
        <f t="shared" si="67"/>
        <v/>
      </c>
      <c r="I721" s="559" t="str">
        <f t="shared" si="68"/>
        <v/>
      </c>
    </row>
    <row r="722" spans="2:9">
      <c r="B722" s="555" t="str">
        <f t="shared" si="63"/>
        <v/>
      </c>
      <c r="C722" s="556" t="str">
        <f t="shared" si="64"/>
        <v/>
      </c>
      <c r="D722" s="557" t="str">
        <f t="shared" si="65"/>
        <v/>
      </c>
      <c r="E722" s="560"/>
      <c r="F722" s="559"/>
      <c r="G722" s="559" t="str">
        <f t="shared" si="66"/>
        <v/>
      </c>
      <c r="H722" s="559" t="str">
        <f t="shared" si="67"/>
        <v/>
      </c>
      <c r="I722" s="559" t="str">
        <f t="shared" si="68"/>
        <v/>
      </c>
    </row>
    <row r="723" spans="2:9">
      <c r="B723" s="555" t="str">
        <f t="shared" si="63"/>
        <v/>
      </c>
      <c r="C723" s="556" t="str">
        <f t="shared" si="64"/>
        <v/>
      </c>
      <c r="D723" s="557" t="str">
        <f t="shared" si="65"/>
        <v/>
      </c>
      <c r="E723" s="560"/>
      <c r="F723" s="559"/>
      <c r="G723" s="559" t="str">
        <f t="shared" si="66"/>
        <v/>
      </c>
      <c r="H723" s="559" t="str">
        <f t="shared" si="67"/>
        <v/>
      </c>
      <c r="I723" s="559" t="str">
        <f t="shared" si="68"/>
        <v/>
      </c>
    </row>
    <row r="724" spans="2:9">
      <c r="B724" s="555" t="str">
        <f t="shared" si="63"/>
        <v/>
      </c>
      <c r="C724" s="556" t="str">
        <f t="shared" si="64"/>
        <v/>
      </c>
      <c r="D724" s="557" t="str">
        <f t="shared" si="65"/>
        <v/>
      </c>
      <c r="E724" s="560"/>
      <c r="F724" s="559"/>
      <c r="G724" s="559" t="str">
        <f t="shared" si="66"/>
        <v/>
      </c>
      <c r="H724" s="559" t="str">
        <f t="shared" si="67"/>
        <v/>
      </c>
      <c r="I724" s="559" t="str">
        <f t="shared" si="68"/>
        <v/>
      </c>
    </row>
    <row r="725" spans="2:9">
      <c r="B725" s="555" t="str">
        <f t="shared" si="63"/>
        <v/>
      </c>
      <c r="C725" s="556" t="str">
        <f t="shared" si="64"/>
        <v/>
      </c>
      <c r="D725" s="557" t="str">
        <f t="shared" si="65"/>
        <v/>
      </c>
      <c r="E725" s="560"/>
      <c r="F725" s="559"/>
      <c r="G725" s="559" t="str">
        <f t="shared" si="66"/>
        <v/>
      </c>
      <c r="H725" s="559" t="str">
        <f t="shared" si="67"/>
        <v/>
      </c>
      <c r="I725" s="559" t="str">
        <f t="shared" si="68"/>
        <v/>
      </c>
    </row>
    <row r="726" spans="2:9">
      <c r="B726" s="555" t="str">
        <f t="shared" si="63"/>
        <v/>
      </c>
      <c r="C726" s="556" t="str">
        <f t="shared" si="64"/>
        <v/>
      </c>
      <c r="D726" s="557" t="str">
        <f t="shared" si="65"/>
        <v/>
      </c>
      <c r="E726" s="560"/>
      <c r="F726" s="559"/>
      <c r="G726" s="559" t="str">
        <f t="shared" si="66"/>
        <v/>
      </c>
      <c r="H726" s="559" t="str">
        <f t="shared" si="67"/>
        <v/>
      </c>
      <c r="I726" s="559" t="str">
        <f t="shared" si="68"/>
        <v/>
      </c>
    </row>
    <row r="727" spans="2:9">
      <c r="B727" s="555" t="str">
        <f t="shared" si="63"/>
        <v/>
      </c>
      <c r="C727" s="556" t="str">
        <f t="shared" si="64"/>
        <v/>
      </c>
      <c r="D727" s="557" t="str">
        <f t="shared" si="65"/>
        <v/>
      </c>
      <c r="E727" s="560"/>
      <c r="F727" s="559"/>
      <c r="G727" s="559" t="str">
        <f t="shared" si="66"/>
        <v/>
      </c>
      <c r="H727" s="559" t="str">
        <f t="shared" si="67"/>
        <v/>
      </c>
      <c r="I727" s="559" t="str">
        <f t="shared" si="68"/>
        <v/>
      </c>
    </row>
    <row r="728" spans="2:9">
      <c r="B728" s="555" t="str">
        <f t="shared" si="63"/>
        <v/>
      </c>
      <c r="C728" s="556" t="str">
        <f t="shared" si="64"/>
        <v/>
      </c>
      <c r="D728" s="557" t="str">
        <f t="shared" si="65"/>
        <v/>
      </c>
      <c r="E728" s="560"/>
      <c r="F728" s="559"/>
      <c r="G728" s="559" t="str">
        <f t="shared" si="66"/>
        <v/>
      </c>
      <c r="H728" s="559" t="str">
        <f t="shared" si="67"/>
        <v/>
      </c>
      <c r="I728" s="559" t="str">
        <f t="shared" si="68"/>
        <v/>
      </c>
    </row>
    <row r="729" spans="2:9">
      <c r="B729" s="555" t="str">
        <f t="shared" si="63"/>
        <v/>
      </c>
      <c r="C729" s="556" t="str">
        <f t="shared" si="64"/>
        <v/>
      </c>
      <c r="D729" s="557" t="str">
        <f t="shared" si="65"/>
        <v/>
      </c>
      <c r="E729" s="560"/>
      <c r="F729" s="559"/>
      <c r="G729" s="559" t="str">
        <f t="shared" si="66"/>
        <v/>
      </c>
      <c r="H729" s="559" t="str">
        <f t="shared" si="67"/>
        <v/>
      </c>
      <c r="I729" s="559" t="str">
        <f t="shared" si="68"/>
        <v/>
      </c>
    </row>
    <row r="730" spans="2:9">
      <c r="B730" s="555" t="str">
        <f t="shared" si="63"/>
        <v/>
      </c>
      <c r="C730" s="556" t="str">
        <f t="shared" si="64"/>
        <v/>
      </c>
      <c r="D730" s="557" t="str">
        <f t="shared" si="65"/>
        <v/>
      </c>
      <c r="E730" s="560"/>
      <c r="F730" s="559"/>
      <c r="G730" s="559" t="str">
        <f t="shared" si="66"/>
        <v/>
      </c>
      <c r="H730" s="559" t="str">
        <f t="shared" si="67"/>
        <v/>
      </c>
      <c r="I730" s="559" t="str">
        <f t="shared" si="68"/>
        <v/>
      </c>
    </row>
    <row r="731" spans="2:9">
      <c r="B731" s="555" t="str">
        <f t="shared" si="63"/>
        <v/>
      </c>
      <c r="C731" s="556" t="str">
        <f t="shared" si="64"/>
        <v/>
      </c>
      <c r="D731" s="557" t="str">
        <f t="shared" si="65"/>
        <v/>
      </c>
      <c r="E731" s="560"/>
      <c r="F731" s="559"/>
      <c r="G731" s="559" t="str">
        <f t="shared" si="66"/>
        <v/>
      </c>
      <c r="H731" s="559" t="str">
        <f t="shared" si="67"/>
        <v/>
      </c>
      <c r="I731" s="559" t="str">
        <f t="shared" si="68"/>
        <v/>
      </c>
    </row>
    <row r="732" spans="2:9">
      <c r="B732" s="555" t="str">
        <f t="shared" si="63"/>
        <v/>
      </c>
      <c r="C732" s="556" t="str">
        <f t="shared" si="64"/>
        <v/>
      </c>
      <c r="D732" s="557" t="str">
        <f t="shared" si="65"/>
        <v/>
      </c>
      <c r="E732" s="560"/>
      <c r="F732" s="559"/>
      <c r="G732" s="559" t="str">
        <f t="shared" si="66"/>
        <v/>
      </c>
      <c r="H732" s="559" t="str">
        <f t="shared" si="67"/>
        <v/>
      </c>
      <c r="I732" s="559" t="str">
        <f t="shared" si="68"/>
        <v/>
      </c>
    </row>
    <row r="733" spans="2:9">
      <c r="B733" s="555" t="str">
        <f t="shared" si="63"/>
        <v/>
      </c>
      <c r="C733" s="556" t="str">
        <f t="shared" si="64"/>
        <v/>
      </c>
      <c r="D733" s="557" t="str">
        <f t="shared" si="65"/>
        <v/>
      </c>
      <c r="E733" s="560"/>
      <c r="F733" s="559"/>
      <c r="G733" s="559" t="str">
        <f t="shared" si="66"/>
        <v/>
      </c>
      <c r="H733" s="559" t="str">
        <f t="shared" si="67"/>
        <v/>
      </c>
      <c r="I733" s="559" t="str">
        <f t="shared" si="68"/>
        <v/>
      </c>
    </row>
    <row r="734" spans="2:9">
      <c r="B734" s="555" t="str">
        <f t="shared" si="63"/>
        <v/>
      </c>
      <c r="C734" s="556" t="str">
        <f t="shared" si="64"/>
        <v/>
      </c>
      <c r="D734" s="557" t="str">
        <f t="shared" si="65"/>
        <v/>
      </c>
      <c r="E734" s="560"/>
      <c r="F734" s="559"/>
      <c r="G734" s="559" t="str">
        <f t="shared" si="66"/>
        <v/>
      </c>
      <c r="H734" s="559" t="str">
        <f t="shared" si="67"/>
        <v/>
      </c>
      <c r="I734" s="559" t="str">
        <f t="shared" si="68"/>
        <v/>
      </c>
    </row>
    <row r="735" spans="2:9">
      <c r="B735" s="555" t="str">
        <f t="shared" si="63"/>
        <v/>
      </c>
      <c r="C735" s="556" t="str">
        <f t="shared" si="64"/>
        <v/>
      </c>
      <c r="D735" s="557" t="str">
        <f t="shared" si="65"/>
        <v/>
      </c>
      <c r="E735" s="560"/>
      <c r="F735" s="559"/>
      <c r="G735" s="559" t="str">
        <f t="shared" si="66"/>
        <v/>
      </c>
      <c r="H735" s="559" t="str">
        <f t="shared" si="67"/>
        <v/>
      </c>
      <c r="I735" s="559" t="str">
        <f t="shared" si="68"/>
        <v/>
      </c>
    </row>
    <row r="736" spans="2:9">
      <c r="B736" s="555" t="str">
        <f t="shared" si="63"/>
        <v/>
      </c>
      <c r="C736" s="556" t="str">
        <f t="shared" si="64"/>
        <v/>
      </c>
      <c r="D736" s="557" t="str">
        <f t="shared" si="65"/>
        <v/>
      </c>
      <c r="E736" s="560"/>
      <c r="F736" s="559"/>
      <c r="G736" s="559" t="str">
        <f t="shared" si="66"/>
        <v/>
      </c>
      <c r="H736" s="559" t="str">
        <f t="shared" si="67"/>
        <v/>
      </c>
      <c r="I736" s="559" t="str">
        <f t="shared" si="68"/>
        <v/>
      </c>
    </row>
    <row r="737" spans="2:9">
      <c r="B737" s="555" t="str">
        <f t="shared" si="63"/>
        <v/>
      </c>
      <c r="C737" s="556" t="str">
        <f t="shared" si="64"/>
        <v/>
      </c>
      <c r="D737" s="557" t="str">
        <f t="shared" si="65"/>
        <v/>
      </c>
      <c r="E737" s="560"/>
      <c r="F737" s="559"/>
      <c r="G737" s="559" t="str">
        <f t="shared" si="66"/>
        <v/>
      </c>
      <c r="H737" s="559" t="str">
        <f t="shared" si="67"/>
        <v/>
      </c>
      <c r="I737" s="559" t="str">
        <f t="shared" si="68"/>
        <v/>
      </c>
    </row>
    <row r="738" spans="2:9">
      <c r="B738" s="555" t="str">
        <f t="shared" si="63"/>
        <v/>
      </c>
      <c r="C738" s="556" t="str">
        <f t="shared" si="64"/>
        <v/>
      </c>
      <c r="D738" s="557" t="str">
        <f t="shared" si="65"/>
        <v/>
      </c>
      <c r="E738" s="560"/>
      <c r="F738" s="559"/>
      <c r="G738" s="559" t="str">
        <f t="shared" si="66"/>
        <v/>
      </c>
      <c r="H738" s="559" t="str">
        <f t="shared" si="67"/>
        <v/>
      </c>
      <c r="I738" s="559" t="str">
        <f t="shared" si="68"/>
        <v/>
      </c>
    </row>
    <row r="739" spans="2:9">
      <c r="B739" s="555" t="str">
        <f t="shared" si="63"/>
        <v/>
      </c>
      <c r="C739" s="556" t="str">
        <f t="shared" si="64"/>
        <v/>
      </c>
      <c r="D739" s="557" t="str">
        <f t="shared" si="65"/>
        <v/>
      </c>
      <c r="E739" s="560"/>
      <c r="F739" s="559"/>
      <c r="G739" s="559" t="str">
        <f t="shared" si="66"/>
        <v/>
      </c>
      <c r="H739" s="559" t="str">
        <f t="shared" si="67"/>
        <v/>
      </c>
      <c r="I739" s="559" t="str">
        <f t="shared" si="68"/>
        <v/>
      </c>
    </row>
    <row r="740" spans="2:9">
      <c r="B740" s="555" t="str">
        <f t="shared" si="63"/>
        <v/>
      </c>
      <c r="C740" s="556" t="str">
        <f t="shared" si="64"/>
        <v/>
      </c>
      <c r="D740" s="557" t="str">
        <f t="shared" si="65"/>
        <v/>
      </c>
      <c r="E740" s="560"/>
      <c r="F740" s="559"/>
      <c r="G740" s="559" t="str">
        <f t="shared" si="66"/>
        <v/>
      </c>
      <c r="H740" s="559" t="str">
        <f t="shared" si="67"/>
        <v/>
      </c>
      <c r="I740" s="559" t="str">
        <f t="shared" si="68"/>
        <v/>
      </c>
    </row>
    <row r="741" spans="2:9">
      <c r="B741" s="555" t="str">
        <f t="shared" si="63"/>
        <v/>
      </c>
      <c r="C741" s="556" t="str">
        <f t="shared" si="64"/>
        <v/>
      </c>
      <c r="D741" s="557" t="str">
        <f t="shared" si="65"/>
        <v/>
      </c>
      <c r="E741" s="560"/>
      <c r="F741" s="559"/>
      <c r="G741" s="559" t="str">
        <f t="shared" si="66"/>
        <v/>
      </c>
      <c r="H741" s="559" t="str">
        <f t="shared" si="67"/>
        <v/>
      </c>
      <c r="I741" s="559" t="str">
        <f t="shared" si="68"/>
        <v/>
      </c>
    </row>
    <row r="742" spans="2:9">
      <c r="B742" s="555" t="str">
        <f t="shared" si="63"/>
        <v/>
      </c>
      <c r="C742" s="556" t="str">
        <f t="shared" si="64"/>
        <v/>
      </c>
      <c r="D742" s="557" t="str">
        <f t="shared" si="65"/>
        <v/>
      </c>
      <c r="E742" s="560"/>
      <c r="F742" s="559"/>
      <c r="G742" s="559" t="str">
        <f t="shared" si="66"/>
        <v/>
      </c>
      <c r="H742" s="559" t="str">
        <f t="shared" si="67"/>
        <v/>
      </c>
      <c r="I742" s="559" t="str">
        <f t="shared" si="68"/>
        <v/>
      </c>
    </row>
    <row r="743" spans="2:9">
      <c r="B743" s="555" t="str">
        <f t="shared" si="63"/>
        <v/>
      </c>
      <c r="C743" s="556" t="str">
        <f t="shared" si="64"/>
        <v/>
      </c>
      <c r="D743" s="557" t="str">
        <f t="shared" si="65"/>
        <v/>
      </c>
      <c r="E743" s="560"/>
      <c r="F743" s="559"/>
      <c r="G743" s="559" t="str">
        <f t="shared" si="66"/>
        <v/>
      </c>
      <c r="H743" s="559" t="str">
        <f t="shared" si="67"/>
        <v/>
      </c>
      <c r="I743" s="559" t="str">
        <f t="shared" si="68"/>
        <v/>
      </c>
    </row>
    <row r="744" spans="2:9">
      <c r="B744" s="555" t="str">
        <f t="shared" si="63"/>
        <v/>
      </c>
      <c r="C744" s="556" t="str">
        <f t="shared" si="64"/>
        <v/>
      </c>
      <c r="D744" s="557" t="str">
        <f t="shared" si="65"/>
        <v/>
      </c>
      <c r="E744" s="560"/>
      <c r="F744" s="559"/>
      <c r="G744" s="559" t="str">
        <f t="shared" si="66"/>
        <v/>
      </c>
      <c r="H744" s="559" t="str">
        <f t="shared" si="67"/>
        <v/>
      </c>
      <c r="I744" s="559" t="str">
        <f t="shared" si="68"/>
        <v/>
      </c>
    </row>
    <row r="745" spans="2:9">
      <c r="B745" s="555" t="str">
        <f t="shared" si="63"/>
        <v/>
      </c>
      <c r="C745" s="556" t="str">
        <f t="shared" si="64"/>
        <v/>
      </c>
      <c r="D745" s="557" t="str">
        <f t="shared" si="65"/>
        <v/>
      </c>
      <c r="E745" s="560"/>
      <c r="F745" s="559"/>
      <c r="G745" s="559" t="str">
        <f t="shared" si="66"/>
        <v/>
      </c>
      <c r="H745" s="559" t="str">
        <f t="shared" si="67"/>
        <v/>
      </c>
      <c r="I745" s="559" t="str">
        <f t="shared" si="68"/>
        <v/>
      </c>
    </row>
    <row r="746" spans="2:9">
      <c r="B746" s="555" t="str">
        <f t="shared" si="63"/>
        <v/>
      </c>
      <c r="C746" s="556" t="str">
        <f t="shared" si="64"/>
        <v/>
      </c>
      <c r="D746" s="557" t="str">
        <f t="shared" si="65"/>
        <v/>
      </c>
      <c r="E746" s="560"/>
      <c r="F746" s="559"/>
      <c r="G746" s="559" t="str">
        <f t="shared" si="66"/>
        <v/>
      </c>
      <c r="H746" s="559" t="str">
        <f t="shared" si="67"/>
        <v/>
      </c>
      <c r="I746" s="559" t="str">
        <f t="shared" si="68"/>
        <v/>
      </c>
    </row>
    <row r="747" spans="2:9">
      <c r="B747" s="555" t="str">
        <f t="shared" si="63"/>
        <v/>
      </c>
      <c r="C747" s="556" t="str">
        <f t="shared" si="64"/>
        <v/>
      </c>
      <c r="D747" s="557" t="str">
        <f t="shared" si="65"/>
        <v/>
      </c>
      <c r="E747" s="560"/>
      <c r="F747" s="559"/>
      <c r="G747" s="559" t="str">
        <f t="shared" si="66"/>
        <v/>
      </c>
      <c r="H747" s="559" t="str">
        <f t="shared" si="67"/>
        <v/>
      </c>
      <c r="I747" s="559" t="str">
        <f t="shared" si="68"/>
        <v/>
      </c>
    </row>
    <row r="748" spans="2:9">
      <c r="B748" s="555" t="str">
        <f t="shared" si="63"/>
        <v/>
      </c>
      <c r="C748" s="556" t="str">
        <f t="shared" si="64"/>
        <v/>
      </c>
      <c r="D748" s="557" t="str">
        <f t="shared" si="65"/>
        <v/>
      </c>
      <c r="E748" s="560"/>
      <c r="F748" s="559"/>
      <c r="G748" s="559" t="str">
        <f t="shared" si="66"/>
        <v/>
      </c>
      <c r="H748" s="559" t="str">
        <f t="shared" si="67"/>
        <v/>
      </c>
      <c r="I748" s="559" t="str">
        <f t="shared" si="68"/>
        <v/>
      </c>
    </row>
    <row r="749" spans="2:9">
      <c r="B749" s="555" t="str">
        <f t="shared" si="63"/>
        <v/>
      </c>
      <c r="C749" s="556" t="str">
        <f t="shared" si="64"/>
        <v/>
      </c>
      <c r="D749" s="557" t="str">
        <f t="shared" si="65"/>
        <v/>
      </c>
      <c r="E749" s="560"/>
      <c r="F749" s="559"/>
      <c r="G749" s="559" t="str">
        <f t="shared" si="66"/>
        <v/>
      </c>
      <c r="H749" s="559" t="str">
        <f t="shared" si="67"/>
        <v/>
      </c>
      <c r="I749" s="559" t="str">
        <f t="shared" si="68"/>
        <v/>
      </c>
    </row>
    <row r="750" spans="2:9">
      <c r="B750" s="555" t="str">
        <f t="shared" si="63"/>
        <v/>
      </c>
      <c r="C750" s="556" t="str">
        <f t="shared" si="64"/>
        <v/>
      </c>
      <c r="D750" s="557" t="str">
        <f t="shared" si="65"/>
        <v/>
      </c>
      <c r="E750" s="560"/>
      <c r="F750" s="559"/>
      <c r="G750" s="559" t="str">
        <f t="shared" si="66"/>
        <v/>
      </c>
      <c r="H750" s="559" t="str">
        <f t="shared" si="67"/>
        <v/>
      </c>
      <c r="I750" s="559" t="str">
        <f t="shared" si="68"/>
        <v/>
      </c>
    </row>
    <row r="751" spans="2:9">
      <c r="B751" s="555" t="str">
        <f t="shared" si="63"/>
        <v/>
      </c>
      <c r="C751" s="556" t="str">
        <f t="shared" si="64"/>
        <v/>
      </c>
      <c r="D751" s="557" t="str">
        <f t="shared" si="65"/>
        <v/>
      </c>
      <c r="E751" s="560"/>
      <c r="F751" s="559"/>
      <c r="G751" s="559" t="str">
        <f t="shared" si="66"/>
        <v/>
      </c>
      <c r="H751" s="559" t="str">
        <f t="shared" si="67"/>
        <v/>
      </c>
      <c r="I751" s="559" t="str">
        <f t="shared" si="68"/>
        <v/>
      </c>
    </row>
    <row r="752" spans="2:9">
      <c r="B752" s="555" t="str">
        <f t="shared" si="63"/>
        <v/>
      </c>
      <c r="C752" s="556" t="str">
        <f t="shared" si="64"/>
        <v/>
      </c>
      <c r="D752" s="557" t="str">
        <f t="shared" si="65"/>
        <v/>
      </c>
      <c r="E752" s="560"/>
      <c r="F752" s="559"/>
      <c r="G752" s="559" t="str">
        <f t="shared" si="66"/>
        <v/>
      </c>
      <c r="H752" s="559" t="str">
        <f t="shared" si="67"/>
        <v/>
      </c>
      <c r="I752" s="559" t="str">
        <f t="shared" si="68"/>
        <v/>
      </c>
    </row>
    <row r="753" spans="2:9">
      <c r="B753" s="555" t="str">
        <f t="shared" si="63"/>
        <v/>
      </c>
      <c r="C753" s="556" t="str">
        <f t="shared" si="64"/>
        <v/>
      </c>
      <c r="D753" s="557" t="str">
        <f t="shared" si="65"/>
        <v/>
      </c>
      <c r="E753" s="560"/>
      <c r="F753" s="559"/>
      <c r="G753" s="559" t="str">
        <f t="shared" si="66"/>
        <v/>
      </c>
      <c r="H753" s="559" t="str">
        <f t="shared" si="67"/>
        <v/>
      </c>
      <c r="I753" s="559" t="str">
        <f t="shared" si="68"/>
        <v/>
      </c>
    </row>
    <row r="754" spans="2:9">
      <c r="B754" s="555" t="str">
        <f t="shared" si="63"/>
        <v/>
      </c>
      <c r="C754" s="556" t="str">
        <f t="shared" si="64"/>
        <v/>
      </c>
      <c r="D754" s="557" t="str">
        <f t="shared" si="65"/>
        <v/>
      </c>
      <c r="E754" s="560"/>
      <c r="F754" s="559"/>
      <c r="G754" s="559" t="str">
        <f t="shared" si="66"/>
        <v/>
      </c>
      <c r="H754" s="559" t="str">
        <f t="shared" si="67"/>
        <v/>
      </c>
      <c r="I754" s="559" t="str">
        <f t="shared" si="68"/>
        <v/>
      </c>
    </row>
    <row r="755" spans="2:9">
      <c r="B755" s="555" t="str">
        <f t="shared" si="63"/>
        <v/>
      </c>
      <c r="C755" s="556" t="str">
        <f t="shared" si="64"/>
        <v/>
      </c>
      <c r="D755" s="557" t="str">
        <f t="shared" si="65"/>
        <v/>
      </c>
      <c r="E755" s="560"/>
      <c r="F755" s="559"/>
      <c r="G755" s="559" t="str">
        <f t="shared" si="66"/>
        <v/>
      </c>
      <c r="H755" s="559" t="str">
        <f t="shared" si="67"/>
        <v/>
      </c>
      <c r="I755" s="559" t="str">
        <f t="shared" si="68"/>
        <v/>
      </c>
    </row>
    <row r="756" spans="2:9">
      <c r="B756" s="555" t="str">
        <f t="shared" si="63"/>
        <v/>
      </c>
      <c r="C756" s="556" t="str">
        <f t="shared" si="64"/>
        <v/>
      </c>
      <c r="D756" s="557" t="str">
        <f t="shared" si="65"/>
        <v/>
      </c>
      <c r="E756" s="560"/>
      <c r="F756" s="559"/>
      <c r="G756" s="559" t="str">
        <f t="shared" si="66"/>
        <v/>
      </c>
      <c r="H756" s="559" t="str">
        <f t="shared" si="67"/>
        <v/>
      </c>
      <c r="I756" s="559" t="str">
        <f t="shared" si="68"/>
        <v/>
      </c>
    </row>
    <row r="757" spans="2:9">
      <c r="B757" s="555" t="str">
        <f t="shared" si="63"/>
        <v/>
      </c>
      <c r="C757" s="556" t="str">
        <f t="shared" si="64"/>
        <v/>
      </c>
      <c r="D757" s="557" t="str">
        <f t="shared" si="65"/>
        <v/>
      </c>
      <c r="E757" s="560"/>
      <c r="F757" s="559"/>
      <c r="G757" s="559" t="str">
        <f t="shared" si="66"/>
        <v/>
      </c>
      <c r="H757" s="559" t="str">
        <f t="shared" si="67"/>
        <v/>
      </c>
      <c r="I757" s="559" t="str">
        <f t="shared" si="68"/>
        <v/>
      </c>
    </row>
    <row r="758" spans="2:9">
      <c r="B758" s="555" t="str">
        <f t="shared" si="63"/>
        <v/>
      </c>
      <c r="C758" s="556" t="str">
        <f t="shared" si="64"/>
        <v/>
      </c>
      <c r="D758" s="557" t="str">
        <f t="shared" si="65"/>
        <v/>
      </c>
      <c r="E758" s="560"/>
      <c r="F758" s="559"/>
      <c r="G758" s="559" t="str">
        <f t="shared" si="66"/>
        <v/>
      </c>
      <c r="H758" s="559" t="str">
        <f t="shared" si="67"/>
        <v/>
      </c>
      <c r="I758" s="559" t="str">
        <f t="shared" si="68"/>
        <v/>
      </c>
    </row>
    <row r="759" spans="2:9">
      <c r="B759" s="555" t="str">
        <f t="shared" si="63"/>
        <v/>
      </c>
      <c r="C759" s="556" t="str">
        <f t="shared" si="64"/>
        <v/>
      </c>
      <c r="D759" s="557" t="str">
        <f t="shared" si="65"/>
        <v/>
      </c>
      <c r="E759" s="560"/>
      <c r="F759" s="559"/>
      <c r="G759" s="559" t="str">
        <f t="shared" si="66"/>
        <v/>
      </c>
      <c r="H759" s="559" t="str">
        <f t="shared" si="67"/>
        <v/>
      </c>
      <c r="I759" s="559" t="str">
        <f t="shared" si="68"/>
        <v/>
      </c>
    </row>
    <row r="760" spans="2:9">
      <c r="B760" s="555" t="str">
        <f t="shared" si="63"/>
        <v/>
      </c>
      <c r="C760" s="556" t="str">
        <f t="shared" si="64"/>
        <v/>
      </c>
      <c r="D760" s="557" t="str">
        <f t="shared" si="65"/>
        <v/>
      </c>
      <c r="E760" s="560"/>
      <c r="F760" s="559"/>
      <c r="G760" s="559" t="str">
        <f t="shared" si="66"/>
        <v/>
      </c>
      <c r="H760" s="559" t="str">
        <f t="shared" si="67"/>
        <v/>
      </c>
      <c r="I760" s="559" t="str">
        <f t="shared" si="68"/>
        <v/>
      </c>
    </row>
    <row r="761" spans="2:9">
      <c r="B761" s="555" t="str">
        <f t="shared" si="63"/>
        <v/>
      </c>
      <c r="C761" s="556" t="str">
        <f t="shared" si="64"/>
        <v/>
      </c>
      <c r="D761" s="557" t="str">
        <f t="shared" si="65"/>
        <v/>
      </c>
      <c r="E761" s="560"/>
      <c r="F761" s="559"/>
      <c r="G761" s="559" t="str">
        <f t="shared" si="66"/>
        <v/>
      </c>
      <c r="H761" s="559" t="str">
        <f t="shared" si="67"/>
        <v/>
      </c>
      <c r="I761" s="559" t="str">
        <f t="shared" si="68"/>
        <v/>
      </c>
    </row>
    <row r="762" spans="2:9">
      <c r="B762" s="555" t="str">
        <f t="shared" si="63"/>
        <v/>
      </c>
      <c r="C762" s="556" t="str">
        <f t="shared" si="64"/>
        <v/>
      </c>
      <c r="D762" s="557" t="str">
        <f t="shared" si="65"/>
        <v/>
      </c>
      <c r="E762" s="560"/>
      <c r="F762" s="559"/>
      <c r="G762" s="559" t="str">
        <f t="shared" si="66"/>
        <v/>
      </c>
      <c r="H762" s="559" t="str">
        <f t="shared" si="67"/>
        <v/>
      </c>
      <c r="I762" s="559" t="str">
        <f t="shared" si="68"/>
        <v/>
      </c>
    </row>
    <row r="763" spans="2:9">
      <c r="B763" s="555" t="str">
        <f t="shared" si="63"/>
        <v/>
      </c>
      <c r="C763" s="556" t="str">
        <f t="shared" si="64"/>
        <v/>
      </c>
      <c r="D763" s="557" t="str">
        <f t="shared" si="65"/>
        <v/>
      </c>
      <c r="E763" s="560"/>
      <c r="F763" s="559"/>
      <c r="G763" s="559" t="str">
        <f t="shared" si="66"/>
        <v/>
      </c>
      <c r="H763" s="559" t="str">
        <f t="shared" si="67"/>
        <v/>
      </c>
      <c r="I763" s="559" t="str">
        <f t="shared" si="68"/>
        <v/>
      </c>
    </row>
    <row r="764" spans="2:9">
      <c r="B764" s="555" t="str">
        <f t="shared" si="63"/>
        <v/>
      </c>
      <c r="C764" s="556" t="str">
        <f t="shared" si="64"/>
        <v/>
      </c>
      <c r="D764" s="557" t="str">
        <f t="shared" si="65"/>
        <v/>
      </c>
      <c r="E764" s="560"/>
      <c r="F764" s="559"/>
      <c r="G764" s="559" t="str">
        <f t="shared" si="66"/>
        <v/>
      </c>
      <c r="H764" s="559" t="str">
        <f t="shared" si="67"/>
        <v/>
      </c>
      <c r="I764" s="559" t="str">
        <f t="shared" si="68"/>
        <v/>
      </c>
    </row>
    <row r="765" spans="2:9">
      <c r="B765" s="555" t="str">
        <f t="shared" ref="B765:B828" si="69">IF(I764="","",IF(roundOpt,IF(OR(B764&gt;=nper,ROUND(I764,2)&lt;=0),"",B764+1),IF(OR(B764&gt;=nper,I764&lt;=0),"",B764+1)))</f>
        <v/>
      </c>
      <c r="C765" s="556" t="str">
        <f t="shared" ref="C765:C828" si="70">IF(B765="","",IF(OR(periods_per_year=26,periods_per_year=52),IF(periods_per_year=26,IF(B765=1,fpdate,C764+14),IF(periods_per_year=52,IF(B765=1,fpdate,C764+7),"n/a")),IF(periods_per_year=24,DATE(YEAR(fpdate),MONTH(fpdate)+(B765-1)/2+IF(AND(DAY(fpdate)&gt;=15,MOD(B765,2)=0),1,0),IF(MOD(B765,2)=0,IF(DAY(fpdate)&gt;=15,DAY(fpdate)-14,DAY(fpdate)+14),DAY(fpdate))),IF(DAY(DATE(YEAR(fpdate),MONTH(fpdate)+(B765-1)*months_per_period,DAY(fpdate)))&lt;&gt;DAY(fpdate),DATE(YEAR(fpdate),MONTH(fpdate)+(B765-1)*months_per_period+1,0),DATE(YEAR(fpdate),MONTH(fpdate)+(B765-1)*months_per_period,DAY(fpdate))))))</f>
        <v/>
      </c>
      <c r="D765" s="557" t="str">
        <f t="shared" ref="D765:D828" si="71">IF(B765="","",IF(roundOpt,IF(OR(B765=nper,payment&gt;ROUND((1+rate)*I764,2)),ROUND((1+rate)*I764,2),payment),IF(OR(B765=nper,payment&gt;(1+rate)*I764),(1+rate)*I764,payment)))</f>
        <v/>
      </c>
      <c r="E765" s="560"/>
      <c r="F765" s="559"/>
      <c r="G765" s="559" t="str">
        <f t="shared" ref="G765:G828" si="72">IF(B765="","",IF(AND(B765=1,pmtType=1),0,IF(roundOpt,ROUND(rate*I764,2),rate*I764)))</f>
        <v/>
      </c>
      <c r="H765" s="559" t="str">
        <f t="shared" ref="H765:H828" si="73">IF(B765="","",D765-G765+E765)</f>
        <v/>
      </c>
      <c r="I765" s="559" t="str">
        <f t="shared" ref="I765:I828" si="74">IF(B765="","",I764-H765)</f>
        <v/>
      </c>
    </row>
    <row r="766" spans="2:9">
      <c r="B766" s="555" t="str">
        <f t="shared" si="69"/>
        <v/>
      </c>
      <c r="C766" s="556" t="str">
        <f t="shared" si="70"/>
        <v/>
      </c>
      <c r="D766" s="557" t="str">
        <f t="shared" si="71"/>
        <v/>
      </c>
      <c r="E766" s="560"/>
      <c r="F766" s="559"/>
      <c r="G766" s="559" t="str">
        <f t="shared" si="72"/>
        <v/>
      </c>
      <c r="H766" s="559" t="str">
        <f t="shared" si="73"/>
        <v/>
      </c>
      <c r="I766" s="559" t="str">
        <f t="shared" si="74"/>
        <v/>
      </c>
    </row>
    <row r="767" spans="2:9">
      <c r="B767" s="555" t="str">
        <f t="shared" si="69"/>
        <v/>
      </c>
      <c r="C767" s="556" t="str">
        <f t="shared" si="70"/>
        <v/>
      </c>
      <c r="D767" s="557" t="str">
        <f t="shared" si="71"/>
        <v/>
      </c>
      <c r="E767" s="560"/>
      <c r="F767" s="559"/>
      <c r="G767" s="559" t="str">
        <f t="shared" si="72"/>
        <v/>
      </c>
      <c r="H767" s="559" t="str">
        <f t="shared" si="73"/>
        <v/>
      </c>
      <c r="I767" s="559" t="str">
        <f t="shared" si="74"/>
        <v/>
      </c>
    </row>
    <row r="768" spans="2:9">
      <c r="B768" s="555" t="str">
        <f t="shared" si="69"/>
        <v/>
      </c>
      <c r="C768" s="556" t="str">
        <f t="shared" si="70"/>
        <v/>
      </c>
      <c r="D768" s="557" t="str">
        <f t="shared" si="71"/>
        <v/>
      </c>
      <c r="E768" s="560"/>
      <c r="F768" s="559"/>
      <c r="G768" s="559" t="str">
        <f t="shared" si="72"/>
        <v/>
      </c>
      <c r="H768" s="559" t="str">
        <f t="shared" si="73"/>
        <v/>
      </c>
      <c r="I768" s="559" t="str">
        <f t="shared" si="74"/>
        <v/>
      </c>
    </row>
    <row r="769" spans="2:9">
      <c r="B769" s="555" t="str">
        <f t="shared" si="69"/>
        <v/>
      </c>
      <c r="C769" s="556" t="str">
        <f t="shared" si="70"/>
        <v/>
      </c>
      <c r="D769" s="557" t="str">
        <f t="shared" si="71"/>
        <v/>
      </c>
      <c r="E769" s="560"/>
      <c r="F769" s="559"/>
      <c r="G769" s="559" t="str">
        <f t="shared" si="72"/>
        <v/>
      </c>
      <c r="H769" s="559" t="str">
        <f t="shared" si="73"/>
        <v/>
      </c>
      <c r="I769" s="559" t="str">
        <f t="shared" si="74"/>
        <v/>
      </c>
    </row>
    <row r="770" spans="2:9">
      <c r="B770" s="555" t="str">
        <f t="shared" si="69"/>
        <v/>
      </c>
      <c r="C770" s="556" t="str">
        <f t="shared" si="70"/>
        <v/>
      </c>
      <c r="D770" s="557" t="str">
        <f t="shared" si="71"/>
        <v/>
      </c>
      <c r="E770" s="560"/>
      <c r="F770" s="559"/>
      <c r="G770" s="559" t="str">
        <f t="shared" si="72"/>
        <v/>
      </c>
      <c r="H770" s="559" t="str">
        <f t="shared" si="73"/>
        <v/>
      </c>
      <c r="I770" s="559" t="str">
        <f t="shared" si="74"/>
        <v/>
      </c>
    </row>
    <row r="771" spans="2:9">
      <c r="B771" s="555" t="str">
        <f t="shared" si="69"/>
        <v/>
      </c>
      <c r="C771" s="556" t="str">
        <f t="shared" si="70"/>
        <v/>
      </c>
      <c r="D771" s="557" t="str">
        <f t="shared" si="71"/>
        <v/>
      </c>
      <c r="E771" s="560"/>
      <c r="F771" s="559"/>
      <c r="G771" s="559" t="str">
        <f t="shared" si="72"/>
        <v/>
      </c>
      <c r="H771" s="559" t="str">
        <f t="shared" si="73"/>
        <v/>
      </c>
      <c r="I771" s="559" t="str">
        <f t="shared" si="74"/>
        <v/>
      </c>
    </row>
    <row r="772" spans="2:9">
      <c r="B772" s="555" t="str">
        <f t="shared" si="69"/>
        <v/>
      </c>
      <c r="C772" s="556" t="str">
        <f t="shared" si="70"/>
        <v/>
      </c>
      <c r="D772" s="557" t="str">
        <f t="shared" si="71"/>
        <v/>
      </c>
      <c r="E772" s="560"/>
      <c r="F772" s="559"/>
      <c r="G772" s="559" t="str">
        <f t="shared" si="72"/>
        <v/>
      </c>
      <c r="H772" s="559" t="str">
        <f t="shared" si="73"/>
        <v/>
      </c>
      <c r="I772" s="559" t="str">
        <f t="shared" si="74"/>
        <v/>
      </c>
    </row>
    <row r="773" spans="2:9">
      <c r="B773" s="555" t="str">
        <f t="shared" si="69"/>
        <v/>
      </c>
      <c r="C773" s="556" t="str">
        <f t="shared" si="70"/>
        <v/>
      </c>
      <c r="D773" s="557" t="str">
        <f t="shared" si="71"/>
        <v/>
      </c>
      <c r="E773" s="560"/>
      <c r="F773" s="559"/>
      <c r="G773" s="559" t="str">
        <f t="shared" si="72"/>
        <v/>
      </c>
      <c r="H773" s="559" t="str">
        <f t="shared" si="73"/>
        <v/>
      </c>
      <c r="I773" s="559" t="str">
        <f t="shared" si="74"/>
        <v/>
      </c>
    </row>
    <row r="774" spans="2:9">
      <c r="B774" s="555" t="str">
        <f t="shared" si="69"/>
        <v/>
      </c>
      <c r="C774" s="556" t="str">
        <f t="shared" si="70"/>
        <v/>
      </c>
      <c r="D774" s="557" t="str">
        <f t="shared" si="71"/>
        <v/>
      </c>
      <c r="E774" s="560"/>
      <c r="F774" s="559"/>
      <c r="G774" s="559" t="str">
        <f t="shared" si="72"/>
        <v/>
      </c>
      <c r="H774" s="559" t="str">
        <f t="shared" si="73"/>
        <v/>
      </c>
      <c r="I774" s="559" t="str">
        <f t="shared" si="74"/>
        <v/>
      </c>
    </row>
    <row r="775" spans="2:9">
      <c r="B775" s="555" t="str">
        <f t="shared" si="69"/>
        <v/>
      </c>
      <c r="C775" s="556" t="str">
        <f t="shared" si="70"/>
        <v/>
      </c>
      <c r="D775" s="557" t="str">
        <f t="shared" si="71"/>
        <v/>
      </c>
      <c r="E775" s="560"/>
      <c r="F775" s="559"/>
      <c r="G775" s="559" t="str">
        <f t="shared" si="72"/>
        <v/>
      </c>
      <c r="H775" s="559" t="str">
        <f t="shared" si="73"/>
        <v/>
      </c>
      <c r="I775" s="559" t="str">
        <f t="shared" si="74"/>
        <v/>
      </c>
    </row>
    <row r="776" spans="2:9">
      <c r="B776" s="555" t="str">
        <f t="shared" si="69"/>
        <v/>
      </c>
      <c r="C776" s="556" t="str">
        <f t="shared" si="70"/>
        <v/>
      </c>
      <c r="D776" s="557" t="str">
        <f t="shared" si="71"/>
        <v/>
      </c>
      <c r="E776" s="560"/>
      <c r="F776" s="559"/>
      <c r="G776" s="559" t="str">
        <f t="shared" si="72"/>
        <v/>
      </c>
      <c r="H776" s="559" t="str">
        <f t="shared" si="73"/>
        <v/>
      </c>
      <c r="I776" s="559" t="str">
        <f t="shared" si="74"/>
        <v/>
      </c>
    </row>
    <row r="777" spans="2:9">
      <c r="B777" s="555" t="str">
        <f t="shared" si="69"/>
        <v/>
      </c>
      <c r="C777" s="556" t="str">
        <f t="shared" si="70"/>
        <v/>
      </c>
      <c r="D777" s="557" t="str">
        <f t="shared" si="71"/>
        <v/>
      </c>
      <c r="E777" s="560"/>
      <c r="F777" s="559"/>
      <c r="G777" s="559" t="str">
        <f t="shared" si="72"/>
        <v/>
      </c>
      <c r="H777" s="559" t="str">
        <f t="shared" si="73"/>
        <v/>
      </c>
      <c r="I777" s="559" t="str">
        <f t="shared" si="74"/>
        <v/>
      </c>
    </row>
    <row r="778" spans="2:9">
      <c r="B778" s="555" t="str">
        <f t="shared" si="69"/>
        <v/>
      </c>
      <c r="C778" s="556" t="str">
        <f t="shared" si="70"/>
        <v/>
      </c>
      <c r="D778" s="557" t="str">
        <f t="shared" si="71"/>
        <v/>
      </c>
      <c r="E778" s="560"/>
      <c r="F778" s="559"/>
      <c r="G778" s="559" t="str">
        <f t="shared" si="72"/>
        <v/>
      </c>
      <c r="H778" s="559" t="str">
        <f t="shared" si="73"/>
        <v/>
      </c>
      <c r="I778" s="559" t="str">
        <f t="shared" si="74"/>
        <v/>
      </c>
    </row>
    <row r="779" spans="2:9">
      <c r="B779" s="555" t="str">
        <f t="shared" si="69"/>
        <v/>
      </c>
      <c r="C779" s="556" t="str">
        <f t="shared" si="70"/>
        <v/>
      </c>
      <c r="D779" s="557" t="str">
        <f t="shared" si="71"/>
        <v/>
      </c>
      <c r="E779" s="560"/>
      <c r="F779" s="559"/>
      <c r="G779" s="559" t="str">
        <f t="shared" si="72"/>
        <v/>
      </c>
      <c r="H779" s="559" t="str">
        <f t="shared" si="73"/>
        <v/>
      </c>
      <c r="I779" s="559" t="str">
        <f t="shared" si="74"/>
        <v/>
      </c>
    </row>
    <row r="780" spans="2:9">
      <c r="B780" s="555" t="str">
        <f t="shared" si="69"/>
        <v/>
      </c>
      <c r="C780" s="556" t="str">
        <f t="shared" si="70"/>
        <v/>
      </c>
      <c r="D780" s="557" t="str">
        <f t="shared" si="71"/>
        <v/>
      </c>
      <c r="E780" s="560"/>
      <c r="F780" s="559"/>
      <c r="G780" s="559" t="str">
        <f t="shared" si="72"/>
        <v/>
      </c>
      <c r="H780" s="559" t="str">
        <f t="shared" si="73"/>
        <v/>
      </c>
      <c r="I780" s="559" t="str">
        <f t="shared" si="74"/>
        <v/>
      </c>
    </row>
    <row r="781" spans="2:9">
      <c r="B781" s="555" t="str">
        <f t="shared" si="69"/>
        <v/>
      </c>
      <c r="C781" s="556" t="str">
        <f t="shared" si="70"/>
        <v/>
      </c>
      <c r="D781" s="557" t="str">
        <f t="shared" si="71"/>
        <v/>
      </c>
      <c r="E781" s="560"/>
      <c r="F781" s="559"/>
      <c r="G781" s="559" t="str">
        <f t="shared" si="72"/>
        <v/>
      </c>
      <c r="H781" s="559" t="str">
        <f t="shared" si="73"/>
        <v/>
      </c>
      <c r="I781" s="559" t="str">
        <f t="shared" si="74"/>
        <v/>
      </c>
    </row>
    <row r="782" spans="2:9">
      <c r="B782" s="555" t="str">
        <f t="shared" si="69"/>
        <v/>
      </c>
      <c r="C782" s="556" t="str">
        <f t="shared" si="70"/>
        <v/>
      </c>
      <c r="D782" s="557" t="str">
        <f t="shared" si="71"/>
        <v/>
      </c>
      <c r="E782" s="560"/>
      <c r="F782" s="559"/>
      <c r="G782" s="559" t="str">
        <f t="shared" si="72"/>
        <v/>
      </c>
      <c r="H782" s="559" t="str">
        <f t="shared" si="73"/>
        <v/>
      </c>
      <c r="I782" s="559" t="str">
        <f t="shared" si="74"/>
        <v/>
      </c>
    </row>
    <row r="783" spans="2:9">
      <c r="B783" s="555" t="str">
        <f t="shared" si="69"/>
        <v/>
      </c>
      <c r="C783" s="556" t="str">
        <f t="shared" si="70"/>
        <v/>
      </c>
      <c r="D783" s="557" t="str">
        <f t="shared" si="71"/>
        <v/>
      </c>
      <c r="E783" s="560"/>
      <c r="F783" s="559"/>
      <c r="G783" s="559" t="str">
        <f t="shared" si="72"/>
        <v/>
      </c>
      <c r="H783" s="559" t="str">
        <f t="shared" si="73"/>
        <v/>
      </c>
      <c r="I783" s="559" t="str">
        <f t="shared" si="74"/>
        <v/>
      </c>
    </row>
    <row r="784" spans="2:9">
      <c r="B784" s="555" t="str">
        <f t="shared" si="69"/>
        <v/>
      </c>
      <c r="C784" s="556" t="str">
        <f t="shared" si="70"/>
        <v/>
      </c>
      <c r="D784" s="557" t="str">
        <f t="shared" si="71"/>
        <v/>
      </c>
      <c r="E784" s="560"/>
      <c r="F784" s="559"/>
      <c r="G784" s="559" t="str">
        <f t="shared" si="72"/>
        <v/>
      </c>
      <c r="H784" s="559" t="str">
        <f t="shared" si="73"/>
        <v/>
      </c>
      <c r="I784" s="559" t="str">
        <f t="shared" si="74"/>
        <v/>
      </c>
    </row>
    <row r="785" spans="2:9">
      <c r="B785" s="555" t="str">
        <f t="shared" si="69"/>
        <v/>
      </c>
      <c r="C785" s="556" t="str">
        <f t="shared" si="70"/>
        <v/>
      </c>
      <c r="D785" s="557" t="str">
        <f t="shared" si="71"/>
        <v/>
      </c>
      <c r="E785" s="560"/>
      <c r="F785" s="559"/>
      <c r="G785" s="559" t="str">
        <f t="shared" si="72"/>
        <v/>
      </c>
      <c r="H785" s="559" t="str">
        <f t="shared" si="73"/>
        <v/>
      </c>
      <c r="I785" s="559" t="str">
        <f t="shared" si="74"/>
        <v/>
      </c>
    </row>
    <row r="786" spans="2:9">
      <c r="B786" s="555" t="str">
        <f t="shared" si="69"/>
        <v/>
      </c>
      <c r="C786" s="556" t="str">
        <f t="shared" si="70"/>
        <v/>
      </c>
      <c r="D786" s="557" t="str">
        <f t="shared" si="71"/>
        <v/>
      </c>
      <c r="E786" s="560"/>
      <c r="F786" s="559"/>
      <c r="G786" s="559" t="str">
        <f t="shared" si="72"/>
        <v/>
      </c>
      <c r="H786" s="559" t="str">
        <f t="shared" si="73"/>
        <v/>
      </c>
      <c r="I786" s="559" t="str">
        <f t="shared" si="74"/>
        <v/>
      </c>
    </row>
    <row r="787" spans="2:9">
      <c r="B787" s="555" t="str">
        <f t="shared" si="69"/>
        <v/>
      </c>
      <c r="C787" s="556" t="str">
        <f t="shared" si="70"/>
        <v/>
      </c>
      <c r="D787" s="557" t="str">
        <f t="shared" si="71"/>
        <v/>
      </c>
      <c r="E787" s="560"/>
      <c r="F787" s="559"/>
      <c r="G787" s="559" t="str">
        <f t="shared" si="72"/>
        <v/>
      </c>
      <c r="H787" s="559" t="str">
        <f t="shared" si="73"/>
        <v/>
      </c>
      <c r="I787" s="559" t="str">
        <f t="shared" si="74"/>
        <v/>
      </c>
    </row>
    <row r="788" spans="2:9">
      <c r="B788" s="555" t="str">
        <f t="shared" si="69"/>
        <v/>
      </c>
      <c r="C788" s="556" t="str">
        <f t="shared" si="70"/>
        <v/>
      </c>
      <c r="D788" s="557" t="str">
        <f t="shared" si="71"/>
        <v/>
      </c>
      <c r="E788" s="560"/>
      <c r="F788" s="559"/>
      <c r="G788" s="559" t="str">
        <f t="shared" si="72"/>
        <v/>
      </c>
      <c r="H788" s="559" t="str">
        <f t="shared" si="73"/>
        <v/>
      </c>
      <c r="I788" s="559" t="str">
        <f t="shared" si="74"/>
        <v/>
      </c>
    </row>
    <row r="789" spans="2:9">
      <c r="B789" s="555" t="str">
        <f t="shared" si="69"/>
        <v/>
      </c>
      <c r="C789" s="556" t="str">
        <f t="shared" si="70"/>
        <v/>
      </c>
      <c r="D789" s="557" t="str">
        <f t="shared" si="71"/>
        <v/>
      </c>
      <c r="E789" s="560"/>
      <c r="F789" s="559"/>
      <c r="G789" s="559" t="str">
        <f t="shared" si="72"/>
        <v/>
      </c>
      <c r="H789" s="559" t="str">
        <f t="shared" si="73"/>
        <v/>
      </c>
      <c r="I789" s="559" t="str">
        <f t="shared" si="74"/>
        <v/>
      </c>
    </row>
    <row r="790" spans="2:9">
      <c r="B790" s="555" t="str">
        <f t="shared" si="69"/>
        <v/>
      </c>
      <c r="C790" s="556" t="str">
        <f t="shared" si="70"/>
        <v/>
      </c>
      <c r="D790" s="557" t="str">
        <f t="shared" si="71"/>
        <v/>
      </c>
      <c r="E790" s="560"/>
      <c r="F790" s="559"/>
      <c r="G790" s="559" t="str">
        <f t="shared" si="72"/>
        <v/>
      </c>
      <c r="H790" s="559" t="str">
        <f t="shared" si="73"/>
        <v/>
      </c>
      <c r="I790" s="559" t="str">
        <f t="shared" si="74"/>
        <v/>
      </c>
    </row>
    <row r="791" spans="2:9">
      <c r="B791" s="555" t="str">
        <f t="shared" si="69"/>
        <v/>
      </c>
      <c r="C791" s="556" t="str">
        <f t="shared" si="70"/>
        <v/>
      </c>
      <c r="D791" s="557" t="str">
        <f t="shared" si="71"/>
        <v/>
      </c>
      <c r="E791" s="560"/>
      <c r="F791" s="559"/>
      <c r="G791" s="559" t="str">
        <f t="shared" si="72"/>
        <v/>
      </c>
      <c r="H791" s="559" t="str">
        <f t="shared" si="73"/>
        <v/>
      </c>
      <c r="I791" s="559" t="str">
        <f t="shared" si="74"/>
        <v/>
      </c>
    </row>
    <row r="792" spans="2:9">
      <c r="B792" s="555" t="str">
        <f t="shared" si="69"/>
        <v/>
      </c>
      <c r="C792" s="556" t="str">
        <f t="shared" si="70"/>
        <v/>
      </c>
      <c r="D792" s="557" t="str">
        <f t="shared" si="71"/>
        <v/>
      </c>
      <c r="E792" s="560"/>
      <c r="F792" s="559"/>
      <c r="G792" s="559" t="str">
        <f t="shared" si="72"/>
        <v/>
      </c>
      <c r="H792" s="559" t="str">
        <f t="shared" si="73"/>
        <v/>
      </c>
      <c r="I792" s="559" t="str">
        <f t="shared" si="74"/>
        <v/>
      </c>
    </row>
    <row r="793" spans="2:9">
      <c r="B793" s="555" t="str">
        <f t="shared" si="69"/>
        <v/>
      </c>
      <c r="C793" s="556" t="str">
        <f t="shared" si="70"/>
        <v/>
      </c>
      <c r="D793" s="557" t="str">
        <f t="shared" si="71"/>
        <v/>
      </c>
      <c r="E793" s="560"/>
      <c r="F793" s="559"/>
      <c r="G793" s="559" t="str">
        <f t="shared" si="72"/>
        <v/>
      </c>
      <c r="H793" s="559" t="str">
        <f t="shared" si="73"/>
        <v/>
      </c>
      <c r="I793" s="559" t="str">
        <f t="shared" si="74"/>
        <v/>
      </c>
    </row>
    <row r="794" spans="2:9">
      <c r="B794" s="555" t="str">
        <f t="shared" si="69"/>
        <v/>
      </c>
      <c r="C794" s="556" t="str">
        <f t="shared" si="70"/>
        <v/>
      </c>
      <c r="D794" s="557" t="str">
        <f t="shared" si="71"/>
        <v/>
      </c>
      <c r="E794" s="560"/>
      <c r="F794" s="559"/>
      <c r="G794" s="559" t="str">
        <f t="shared" si="72"/>
        <v/>
      </c>
      <c r="H794" s="559" t="str">
        <f t="shared" si="73"/>
        <v/>
      </c>
      <c r="I794" s="559" t="str">
        <f t="shared" si="74"/>
        <v/>
      </c>
    </row>
    <row r="795" spans="2:9">
      <c r="B795" s="555" t="str">
        <f t="shared" si="69"/>
        <v/>
      </c>
      <c r="C795" s="556" t="str">
        <f t="shared" si="70"/>
        <v/>
      </c>
      <c r="D795" s="557" t="str">
        <f t="shared" si="71"/>
        <v/>
      </c>
      <c r="E795" s="560"/>
      <c r="F795" s="559"/>
      <c r="G795" s="559" t="str">
        <f t="shared" si="72"/>
        <v/>
      </c>
      <c r="H795" s="559" t="str">
        <f t="shared" si="73"/>
        <v/>
      </c>
      <c r="I795" s="559" t="str">
        <f t="shared" si="74"/>
        <v/>
      </c>
    </row>
    <row r="796" spans="2:9">
      <c r="B796" s="555" t="str">
        <f t="shared" si="69"/>
        <v/>
      </c>
      <c r="C796" s="556" t="str">
        <f t="shared" si="70"/>
        <v/>
      </c>
      <c r="D796" s="557" t="str">
        <f t="shared" si="71"/>
        <v/>
      </c>
      <c r="E796" s="560"/>
      <c r="F796" s="559"/>
      <c r="G796" s="559" t="str">
        <f t="shared" si="72"/>
        <v/>
      </c>
      <c r="H796" s="559" t="str">
        <f t="shared" si="73"/>
        <v/>
      </c>
      <c r="I796" s="559" t="str">
        <f t="shared" si="74"/>
        <v/>
      </c>
    </row>
    <row r="797" spans="2:9">
      <c r="B797" s="555" t="str">
        <f t="shared" si="69"/>
        <v/>
      </c>
      <c r="C797" s="556" t="str">
        <f t="shared" si="70"/>
        <v/>
      </c>
      <c r="D797" s="557" t="str">
        <f t="shared" si="71"/>
        <v/>
      </c>
      <c r="E797" s="560"/>
      <c r="F797" s="559"/>
      <c r="G797" s="559" t="str">
        <f t="shared" si="72"/>
        <v/>
      </c>
      <c r="H797" s="559" t="str">
        <f t="shared" si="73"/>
        <v/>
      </c>
      <c r="I797" s="559" t="str">
        <f t="shared" si="74"/>
        <v/>
      </c>
    </row>
    <row r="798" spans="2:9">
      <c r="B798" s="555" t="str">
        <f t="shared" si="69"/>
        <v/>
      </c>
      <c r="C798" s="556" t="str">
        <f t="shared" si="70"/>
        <v/>
      </c>
      <c r="D798" s="557" t="str">
        <f t="shared" si="71"/>
        <v/>
      </c>
      <c r="E798" s="560"/>
      <c r="F798" s="559"/>
      <c r="G798" s="559" t="str">
        <f t="shared" si="72"/>
        <v/>
      </c>
      <c r="H798" s="559" t="str">
        <f t="shared" si="73"/>
        <v/>
      </c>
      <c r="I798" s="559" t="str">
        <f t="shared" si="74"/>
        <v/>
      </c>
    </row>
    <row r="799" spans="2:9">
      <c r="B799" s="555" t="str">
        <f t="shared" si="69"/>
        <v/>
      </c>
      <c r="C799" s="556" t="str">
        <f t="shared" si="70"/>
        <v/>
      </c>
      <c r="D799" s="557" t="str">
        <f t="shared" si="71"/>
        <v/>
      </c>
      <c r="E799" s="560"/>
      <c r="F799" s="559"/>
      <c r="G799" s="559" t="str">
        <f t="shared" si="72"/>
        <v/>
      </c>
      <c r="H799" s="559" t="str">
        <f t="shared" si="73"/>
        <v/>
      </c>
      <c r="I799" s="559" t="str">
        <f t="shared" si="74"/>
        <v/>
      </c>
    </row>
    <row r="800" spans="2:9">
      <c r="B800" s="555" t="str">
        <f t="shared" si="69"/>
        <v/>
      </c>
      <c r="C800" s="556" t="str">
        <f t="shared" si="70"/>
        <v/>
      </c>
      <c r="D800" s="557" t="str">
        <f t="shared" si="71"/>
        <v/>
      </c>
      <c r="E800" s="560"/>
      <c r="F800" s="559"/>
      <c r="G800" s="559" t="str">
        <f t="shared" si="72"/>
        <v/>
      </c>
      <c r="H800" s="559" t="str">
        <f t="shared" si="73"/>
        <v/>
      </c>
      <c r="I800" s="559" t="str">
        <f t="shared" si="74"/>
        <v/>
      </c>
    </row>
    <row r="801" spans="2:9">
      <c r="B801" s="555" t="str">
        <f t="shared" si="69"/>
        <v/>
      </c>
      <c r="C801" s="556" t="str">
        <f t="shared" si="70"/>
        <v/>
      </c>
      <c r="D801" s="557" t="str">
        <f t="shared" si="71"/>
        <v/>
      </c>
      <c r="E801" s="560"/>
      <c r="F801" s="559"/>
      <c r="G801" s="559" t="str">
        <f t="shared" si="72"/>
        <v/>
      </c>
      <c r="H801" s="559" t="str">
        <f t="shared" si="73"/>
        <v/>
      </c>
      <c r="I801" s="559" t="str">
        <f t="shared" si="74"/>
        <v/>
      </c>
    </row>
    <row r="802" spans="2:9">
      <c r="B802" s="555" t="str">
        <f t="shared" si="69"/>
        <v/>
      </c>
      <c r="C802" s="556" t="str">
        <f t="shared" si="70"/>
        <v/>
      </c>
      <c r="D802" s="557" t="str">
        <f t="shared" si="71"/>
        <v/>
      </c>
      <c r="E802" s="560"/>
      <c r="F802" s="559"/>
      <c r="G802" s="559" t="str">
        <f t="shared" si="72"/>
        <v/>
      </c>
      <c r="H802" s="559" t="str">
        <f t="shared" si="73"/>
        <v/>
      </c>
      <c r="I802" s="559" t="str">
        <f t="shared" si="74"/>
        <v/>
      </c>
    </row>
    <row r="803" spans="2:9">
      <c r="B803" s="555" t="str">
        <f t="shared" si="69"/>
        <v/>
      </c>
      <c r="C803" s="556" t="str">
        <f t="shared" si="70"/>
        <v/>
      </c>
      <c r="D803" s="557" t="str">
        <f t="shared" si="71"/>
        <v/>
      </c>
      <c r="E803" s="560"/>
      <c r="F803" s="559"/>
      <c r="G803" s="559" t="str">
        <f t="shared" si="72"/>
        <v/>
      </c>
      <c r="H803" s="559" t="str">
        <f t="shared" si="73"/>
        <v/>
      </c>
      <c r="I803" s="559" t="str">
        <f t="shared" si="74"/>
        <v/>
      </c>
    </row>
    <row r="804" spans="2:9">
      <c r="B804" s="555" t="str">
        <f t="shared" si="69"/>
        <v/>
      </c>
      <c r="C804" s="556" t="str">
        <f t="shared" si="70"/>
        <v/>
      </c>
      <c r="D804" s="557" t="str">
        <f t="shared" si="71"/>
        <v/>
      </c>
      <c r="E804" s="560"/>
      <c r="F804" s="559"/>
      <c r="G804" s="559" t="str">
        <f t="shared" si="72"/>
        <v/>
      </c>
      <c r="H804" s="559" t="str">
        <f t="shared" si="73"/>
        <v/>
      </c>
      <c r="I804" s="559" t="str">
        <f t="shared" si="74"/>
        <v/>
      </c>
    </row>
    <row r="805" spans="2:9">
      <c r="B805" s="555" t="str">
        <f t="shared" si="69"/>
        <v/>
      </c>
      <c r="C805" s="556" t="str">
        <f t="shared" si="70"/>
        <v/>
      </c>
      <c r="D805" s="557" t="str">
        <f t="shared" si="71"/>
        <v/>
      </c>
      <c r="E805" s="560"/>
      <c r="F805" s="559"/>
      <c r="G805" s="559" t="str">
        <f t="shared" si="72"/>
        <v/>
      </c>
      <c r="H805" s="559" t="str">
        <f t="shared" si="73"/>
        <v/>
      </c>
      <c r="I805" s="559" t="str">
        <f t="shared" si="74"/>
        <v/>
      </c>
    </row>
    <row r="806" spans="2:9">
      <c r="B806" s="555" t="str">
        <f t="shared" si="69"/>
        <v/>
      </c>
      <c r="C806" s="556" t="str">
        <f t="shared" si="70"/>
        <v/>
      </c>
      <c r="D806" s="557" t="str">
        <f t="shared" si="71"/>
        <v/>
      </c>
      <c r="E806" s="560"/>
      <c r="F806" s="559"/>
      <c r="G806" s="559" t="str">
        <f t="shared" si="72"/>
        <v/>
      </c>
      <c r="H806" s="559" t="str">
        <f t="shared" si="73"/>
        <v/>
      </c>
      <c r="I806" s="559" t="str">
        <f t="shared" si="74"/>
        <v/>
      </c>
    </row>
    <row r="807" spans="2:9">
      <c r="B807" s="555" t="str">
        <f t="shared" si="69"/>
        <v/>
      </c>
      <c r="C807" s="556" t="str">
        <f t="shared" si="70"/>
        <v/>
      </c>
      <c r="D807" s="557" t="str">
        <f t="shared" si="71"/>
        <v/>
      </c>
      <c r="E807" s="560"/>
      <c r="F807" s="559"/>
      <c r="G807" s="559" t="str">
        <f t="shared" si="72"/>
        <v/>
      </c>
      <c r="H807" s="559" t="str">
        <f t="shared" si="73"/>
        <v/>
      </c>
      <c r="I807" s="559" t="str">
        <f t="shared" si="74"/>
        <v/>
      </c>
    </row>
    <row r="808" spans="2:9">
      <c r="B808" s="555" t="str">
        <f t="shared" si="69"/>
        <v/>
      </c>
      <c r="C808" s="556" t="str">
        <f t="shared" si="70"/>
        <v/>
      </c>
      <c r="D808" s="557" t="str">
        <f t="shared" si="71"/>
        <v/>
      </c>
      <c r="E808" s="560"/>
      <c r="F808" s="559"/>
      <c r="G808" s="559" t="str">
        <f t="shared" si="72"/>
        <v/>
      </c>
      <c r="H808" s="559" t="str">
        <f t="shared" si="73"/>
        <v/>
      </c>
      <c r="I808" s="559" t="str">
        <f t="shared" si="74"/>
        <v/>
      </c>
    </row>
    <row r="809" spans="2:9">
      <c r="B809" s="555" t="str">
        <f t="shared" si="69"/>
        <v/>
      </c>
      <c r="C809" s="556" t="str">
        <f t="shared" si="70"/>
        <v/>
      </c>
      <c r="D809" s="557" t="str">
        <f t="shared" si="71"/>
        <v/>
      </c>
      <c r="E809" s="560"/>
      <c r="F809" s="559"/>
      <c r="G809" s="559" t="str">
        <f t="shared" si="72"/>
        <v/>
      </c>
      <c r="H809" s="559" t="str">
        <f t="shared" si="73"/>
        <v/>
      </c>
      <c r="I809" s="559" t="str">
        <f t="shared" si="74"/>
        <v/>
      </c>
    </row>
    <row r="810" spans="2:9">
      <c r="B810" s="555" t="str">
        <f t="shared" si="69"/>
        <v/>
      </c>
      <c r="C810" s="556" t="str">
        <f t="shared" si="70"/>
        <v/>
      </c>
      <c r="D810" s="557" t="str">
        <f t="shared" si="71"/>
        <v/>
      </c>
      <c r="E810" s="560"/>
      <c r="F810" s="559"/>
      <c r="G810" s="559" t="str">
        <f t="shared" si="72"/>
        <v/>
      </c>
      <c r="H810" s="559" t="str">
        <f t="shared" si="73"/>
        <v/>
      </c>
      <c r="I810" s="559" t="str">
        <f t="shared" si="74"/>
        <v/>
      </c>
    </row>
    <row r="811" spans="2:9">
      <c r="B811" s="555" t="str">
        <f t="shared" si="69"/>
        <v/>
      </c>
      <c r="C811" s="556" t="str">
        <f t="shared" si="70"/>
        <v/>
      </c>
      <c r="D811" s="557" t="str">
        <f t="shared" si="71"/>
        <v/>
      </c>
      <c r="E811" s="560"/>
      <c r="F811" s="559"/>
      <c r="G811" s="559" t="str">
        <f t="shared" si="72"/>
        <v/>
      </c>
      <c r="H811" s="559" t="str">
        <f t="shared" si="73"/>
        <v/>
      </c>
      <c r="I811" s="559" t="str">
        <f t="shared" si="74"/>
        <v/>
      </c>
    </row>
    <row r="812" spans="2:9">
      <c r="B812" s="555" t="str">
        <f t="shared" si="69"/>
        <v/>
      </c>
      <c r="C812" s="556" t="str">
        <f t="shared" si="70"/>
        <v/>
      </c>
      <c r="D812" s="557" t="str">
        <f t="shared" si="71"/>
        <v/>
      </c>
      <c r="E812" s="560"/>
      <c r="F812" s="559"/>
      <c r="G812" s="559" t="str">
        <f t="shared" si="72"/>
        <v/>
      </c>
      <c r="H812" s="559" t="str">
        <f t="shared" si="73"/>
        <v/>
      </c>
      <c r="I812" s="559" t="str">
        <f t="shared" si="74"/>
        <v/>
      </c>
    </row>
    <row r="813" spans="2:9">
      <c r="B813" s="555" t="str">
        <f t="shared" si="69"/>
        <v/>
      </c>
      <c r="C813" s="556" t="str">
        <f t="shared" si="70"/>
        <v/>
      </c>
      <c r="D813" s="557" t="str">
        <f t="shared" si="71"/>
        <v/>
      </c>
      <c r="E813" s="560"/>
      <c r="F813" s="559"/>
      <c r="G813" s="559" t="str">
        <f t="shared" si="72"/>
        <v/>
      </c>
      <c r="H813" s="559" t="str">
        <f t="shared" si="73"/>
        <v/>
      </c>
      <c r="I813" s="559" t="str">
        <f t="shared" si="74"/>
        <v/>
      </c>
    </row>
    <row r="814" spans="2:9">
      <c r="B814" s="555" t="str">
        <f t="shared" si="69"/>
        <v/>
      </c>
      <c r="C814" s="556" t="str">
        <f t="shared" si="70"/>
        <v/>
      </c>
      <c r="D814" s="557" t="str">
        <f t="shared" si="71"/>
        <v/>
      </c>
      <c r="E814" s="560"/>
      <c r="F814" s="559"/>
      <c r="G814" s="559" t="str">
        <f t="shared" si="72"/>
        <v/>
      </c>
      <c r="H814" s="559" t="str">
        <f t="shared" si="73"/>
        <v/>
      </c>
      <c r="I814" s="559" t="str">
        <f t="shared" si="74"/>
        <v/>
      </c>
    </row>
    <row r="815" spans="2:9">
      <c r="B815" s="555" t="str">
        <f t="shared" si="69"/>
        <v/>
      </c>
      <c r="C815" s="556" t="str">
        <f t="shared" si="70"/>
        <v/>
      </c>
      <c r="D815" s="557" t="str">
        <f t="shared" si="71"/>
        <v/>
      </c>
      <c r="E815" s="560"/>
      <c r="F815" s="559"/>
      <c r="G815" s="559" t="str">
        <f t="shared" si="72"/>
        <v/>
      </c>
      <c r="H815" s="559" t="str">
        <f t="shared" si="73"/>
        <v/>
      </c>
      <c r="I815" s="559" t="str">
        <f t="shared" si="74"/>
        <v/>
      </c>
    </row>
    <row r="816" spans="2:9">
      <c r="B816" s="555" t="str">
        <f t="shared" si="69"/>
        <v/>
      </c>
      <c r="C816" s="556" t="str">
        <f t="shared" si="70"/>
        <v/>
      </c>
      <c r="D816" s="557" t="str">
        <f t="shared" si="71"/>
        <v/>
      </c>
      <c r="E816" s="560"/>
      <c r="F816" s="559"/>
      <c r="G816" s="559" t="str">
        <f t="shared" si="72"/>
        <v/>
      </c>
      <c r="H816" s="559" t="str">
        <f t="shared" si="73"/>
        <v/>
      </c>
      <c r="I816" s="559" t="str">
        <f t="shared" si="74"/>
        <v/>
      </c>
    </row>
    <row r="817" spans="2:9">
      <c r="B817" s="555" t="str">
        <f t="shared" si="69"/>
        <v/>
      </c>
      <c r="C817" s="556" t="str">
        <f t="shared" si="70"/>
        <v/>
      </c>
      <c r="D817" s="557" t="str">
        <f t="shared" si="71"/>
        <v/>
      </c>
      <c r="E817" s="560"/>
      <c r="F817" s="559"/>
      <c r="G817" s="559" t="str">
        <f t="shared" si="72"/>
        <v/>
      </c>
      <c r="H817" s="559" t="str">
        <f t="shared" si="73"/>
        <v/>
      </c>
      <c r="I817" s="559" t="str">
        <f t="shared" si="74"/>
        <v/>
      </c>
    </row>
    <row r="818" spans="2:9">
      <c r="B818" s="555" t="str">
        <f t="shared" si="69"/>
        <v/>
      </c>
      <c r="C818" s="556" t="str">
        <f t="shared" si="70"/>
        <v/>
      </c>
      <c r="D818" s="557" t="str">
        <f t="shared" si="71"/>
        <v/>
      </c>
      <c r="E818" s="560"/>
      <c r="F818" s="559"/>
      <c r="G818" s="559" t="str">
        <f t="shared" si="72"/>
        <v/>
      </c>
      <c r="H818" s="559" t="str">
        <f t="shared" si="73"/>
        <v/>
      </c>
      <c r="I818" s="559" t="str">
        <f t="shared" si="74"/>
        <v/>
      </c>
    </row>
    <row r="819" spans="2:9">
      <c r="B819" s="555" t="str">
        <f t="shared" si="69"/>
        <v/>
      </c>
      <c r="C819" s="556" t="str">
        <f t="shared" si="70"/>
        <v/>
      </c>
      <c r="D819" s="557" t="str">
        <f t="shared" si="71"/>
        <v/>
      </c>
      <c r="E819" s="560"/>
      <c r="F819" s="559"/>
      <c r="G819" s="559" t="str">
        <f t="shared" si="72"/>
        <v/>
      </c>
      <c r="H819" s="559" t="str">
        <f t="shared" si="73"/>
        <v/>
      </c>
      <c r="I819" s="559" t="str">
        <f t="shared" si="74"/>
        <v/>
      </c>
    </row>
    <row r="820" spans="2:9">
      <c r="B820" s="555" t="str">
        <f t="shared" si="69"/>
        <v/>
      </c>
      <c r="C820" s="556" t="str">
        <f t="shared" si="70"/>
        <v/>
      </c>
      <c r="D820" s="557" t="str">
        <f t="shared" si="71"/>
        <v/>
      </c>
      <c r="E820" s="560"/>
      <c r="F820" s="559"/>
      <c r="G820" s="559" t="str">
        <f t="shared" si="72"/>
        <v/>
      </c>
      <c r="H820" s="559" t="str">
        <f t="shared" si="73"/>
        <v/>
      </c>
      <c r="I820" s="559" t="str">
        <f t="shared" si="74"/>
        <v/>
      </c>
    </row>
    <row r="821" spans="2:9">
      <c r="B821" s="555" t="str">
        <f t="shared" si="69"/>
        <v/>
      </c>
      <c r="C821" s="556" t="str">
        <f t="shared" si="70"/>
        <v/>
      </c>
      <c r="D821" s="557" t="str">
        <f t="shared" si="71"/>
        <v/>
      </c>
      <c r="E821" s="560"/>
      <c r="F821" s="559"/>
      <c r="G821" s="559" t="str">
        <f t="shared" si="72"/>
        <v/>
      </c>
      <c r="H821" s="559" t="str">
        <f t="shared" si="73"/>
        <v/>
      </c>
      <c r="I821" s="559" t="str">
        <f t="shared" si="74"/>
        <v/>
      </c>
    </row>
    <row r="822" spans="2:9">
      <c r="B822" s="555" t="str">
        <f t="shared" si="69"/>
        <v/>
      </c>
      <c r="C822" s="556" t="str">
        <f t="shared" si="70"/>
        <v/>
      </c>
      <c r="D822" s="557" t="str">
        <f t="shared" si="71"/>
        <v/>
      </c>
      <c r="E822" s="560"/>
      <c r="F822" s="559"/>
      <c r="G822" s="559" t="str">
        <f t="shared" si="72"/>
        <v/>
      </c>
      <c r="H822" s="559" t="str">
        <f t="shared" si="73"/>
        <v/>
      </c>
      <c r="I822" s="559" t="str">
        <f t="shared" si="74"/>
        <v/>
      </c>
    </row>
    <row r="823" spans="2:9">
      <c r="B823" s="555" t="str">
        <f t="shared" si="69"/>
        <v/>
      </c>
      <c r="C823" s="556" t="str">
        <f t="shared" si="70"/>
        <v/>
      </c>
      <c r="D823" s="557" t="str">
        <f t="shared" si="71"/>
        <v/>
      </c>
      <c r="E823" s="560"/>
      <c r="F823" s="559"/>
      <c r="G823" s="559" t="str">
        <f t="shared" si="72"/>
        <v/>
      </c>
      <c r="H823" s="559" t="str">
        <f t="shared" si="73"/>
        <v/>
      </c>
      <c r="I823" s="559" t="str">
        <f t="shared" si="74"/>
        <v/>
      </c>
    </row>
    <row r="824" spans="2:9">
      <c r="B824" s="555" t="str">
        <f t="shared" si="69"/>
        <v/>
      </c>
      <c r="C824" s="556" t="str">
        <f t="shared" si="70"/>
        <v/>
      </c>
      <c r="D824" s="557" t="str">
        <f t="shared" si="71"/>
        <v/>
      </c>
      <c r="E824" s="560"/>
      <c r="F824" s="559"/>
      <c r="G824" s="559" t="str">
        <f t="shared" si="72"/>
        <v/>
      </c>
      <c r="H824" s="559" t="str">
        <f t="shared" si="73"/>
        <v/>
      </c>
      <c r="I824" s="559" t="str">
        <f t="shared" si="74"/>
        <v/>
      </c>
    </row>
    <row r="825" spans="2:9">
      <c r="B825" s="555" t="str">
        <f t="shared" si="69"/>
        <v/>
      </c>
      <c r="C825" s="556" t="str">
        <f t="shared" si="70"/>
        <v/>
      </c>
      <c r="D825" s="557" t="str">
        <f t="shared" si="71"/>
        <v/>
      </c>
      <c r="E825" s="560"/>
      <c r="F825" s="559"/>
      <c r="G825" s="559" t="str">
        <f t="shared" si="72"/>
        <v/>
      </c>
      <c r="H825" s="559" t="str">
        <f t="shared" si="73"/>
        <v/>
      </c>
      <c r="I825" s="559" t="str">
        <f t="shared" si="74"/>
        <v/>
      </c>
    </row>
    <row r="826" spans="2:9">
      <c r="B826" s="555" t="str">
        <f t="shared" si="69"/>
        <v/>
      </c>
      <c r="C826" s="556" t="str">
        <f t="shared" si="70"/>
        <v/>
      </c>
      <c r="D826" s="557" t="str">
        <f t="shared" si="71"/>
        <v/>
      </c>
      <c r="E826" s="560"/>
      <c r="F826" s="559"/>
      <c r="G826" s="559" t="str">
        <f t="shared" si="72"/>
        <v/>
      </c>
      <c r="H826" s="559" t="str">
        <f t="shared" si="73"/>
        <v/>
      </c>
      <c r="I826" s="559" t="str">
        <f t="shared" si="74"/>
        <v/>
      </c>
    </row>
    <row r="827" spans="2:9">
      <c r="B827" s="555" t="str">
        <f t="shared" si="69"/>
        <v/>
      </c>
      <c r="C827" s="556" t="str">
        <f t="shared" si="70"/>
        <v/>
      </c>
      <c r="D827" s="557" t="str">
        <f t="shared" si="71"/>
        <v/>
      </c>
      <c r="E827" s="560"/>
      <c r="F827" s="559"/>
      <c r="G827" s="559" t="str">
        <f t="shared" si="72"/>
        <v/>
      </c>
      <c r="H827" s="559" t="str">
        <f t="shared" si="73"/>
        <v/>
      </c>
      <c r="I827" s="559" t="str">
        <f t="shared" si="74"/>
        <v/>
      </c>
    </row>
    <row r="828" spans="2:9">
      <c r="B828" s="555" t="str">
        <f t="shared" si="69"/>
        <v/>
      </c>
      <c r="C828" s="556" t="str">
        <f t="shared" si="70"/>
        <v/>
      </c>
      <c r="D828" s="557" t="str">
        <f t="shared" si="71"/>
        <v/>
      </c>
      <c r="E828" s="560"/>
      <c r="F828" s="559"/>
      <c r="G828" s="559" t="str">
        <f t="shared" si="72"/>
        <v/>
      </c>
      <c r="H828" s="559" t="str">
        <f t="shared" si="73"/>
        <v/>
      </c>
      <c r="I828" s="559" t="str">
        <f t="shared" si="74"/>
        <v/>
      </c>
    </row>
    <row r="829" spans="2:9">
      <c r="B829" s="555" t="str">
        <f t="shared" ref="B829:B840" si="75">IF(I828="","",IF(roundOpt,IF(OR(B828&gt;=nper,ROUND(I828,2)&lt;=0),"",B828+1),IF(OR(B828&gt;=nper,I828&lt;=0),"",B828+1)))</f>
        <v/>
      </c>
      <c r="C829" s="556" t="str">
        <f t="shared" ref="C829:C840" si="76">IF(B829="","",IF(OR(periods_per_year=26,periods_per_year=52),IF(periods_per_year=26,IF(B829=1,fpdate,C828+14),IF(periods_per_year=52,IF(B829=1,fpdate,C828+7),"n/a")),IF(periods_per_year=24,DATE(YEAR(fpdate),MONTH(fpdate)+(B829-1)/2+IF(AND(DAY(fpdate)&gt;=15,MOD(B829,2)=0),1,0),IF(MOD(B829,2)=0,IF(DAY(fpdate)&gt;=15,DAY(fpdate)-14,DAY(fpdate)+14),DAY(fpdate))),IF(DAY(DATE(YEAR(fpdate),MONTH(fpdate)+(B829-1)*months_per_period,DAY(fpdate)))&lt;&gt;DAY(fpdate),DATE(YEAR(fpdate),MONTH(fpdate)+(B829-1)*months_per_period+1,0),DATE(YEAR(fpdate),MONTH(fpdate)+(B829-1)*months_per_period,DAY(fpdate))))))</f>
        <v/>
      </c>
      <c r="D829" s="557" t="str">
        <f t="shared" ref="D829:D840" si="77">IF(B829="","",IF(roundOpt,IF(OR(B829=nper,payment&gt;ROUND((1+rate)*I828,2)),ROUND((1+rate)*I828,2),payment),IF(OR(B829=nper,payment&gt;(1+rate)*I828),(1+rate)*I828,payment)))</f>
        <v/>
      </c>
      <c r="E829" s="560"/>
      <c r="F829" s="559"/>
      <c r="G829" s="559" t="str">
        <f t="shared" ref="G829:G840" si="78">IF(B829="","",IF(AND(B829=1,pmtType=1),0,IF(roundOpt,ROUND(rate*I828,2),rate*I828)))</f>
        <v/>
      </c>
      <c r="H829" s="559" t="str">
        <f t="shared" ref="H829:H840" si="79">IF(B829="","",D829-G829+E829)</f>
        <v/>
      </c>
      <c r="I829" s="559" t="str">
        <f t="shared" ref="I829:I840" si="80">IF(B829="","",I828-H829)</f>
        <v/>
      </c>
    </row>
    <row r="830" spans="2:9">
      <c r="B830" s="555" t="str">
        <f t="shared" si="75"/>
        <v/>
      </c>
      <c r="C830" s="556" t="str">
        <f t="shared" si="76"/>
        <v/>
      </c>
      <c r="D830" s="557" t="str">
        <f t="shared" si="77"/>
        <v/>
      </c>
      <c r="E830" s="560"/>
      <c r="F830" s="559"/>
      <c r="G830" s="559" t="str">
        <f t="shared" si="78"/>
        <v/>
      </c>
      <c r="H830" s="559" t="str">
        <f t="shared" si="79"/>
        <v/>
      </c>
      <c r="I830" s="559" t="str">
        <f t="shared" si="80"/>
        <v/>
      </c>
    </row>
    <row r="831" spans="2:9">
      <c r="B831" s="555" t="str">
        <f t="shared" si="75"/>
        <v/>
      </c>
      <c r="C831" s="556" t="str">
        <f t="shared" si="76"/>
        <v/>
      </c>
      <c r="D831" s="557" t="str">
        <f t="shared" si="77"/>
        <v/>
      </c>
      <c r="E831" s="560"/>
      <c r="F831" s="559"/>
      <c r="G831" s="559" t="str">
        <f t="shared" si="78"/>
        <v/>
      </c>
      <c r="H831" s="559" t="str">
        <f t="shared" si="79"/>
        <v/>
      </c>
      <c r="I831" s="559" t="str">
        <f t="shared" si="80"/>
        <v/>
      </c>
    </row>
    <row r="832" spans="2:9">
      <c r="B832" s="555" t="str">
        <f t="shared" si="75"/>
        <v/>
      </c>
      <c r="C832" s="556" t="str">
        <f t="shared" si="76"/>
        <v/>
      </c>
      <c r="D832" s="557" t="str">
        <f t="shared" si="77"/>
        <v/>
      </c>
      <c r="E832" s="560"/>
      <c r="F832" s="559"/>
      <c r="G832" s="559" t="str">
        <f t="shared" si="78"/>
        <v/>
      </c>
      <c r="H832" s="559" t="str">
        <f t="shared" si="79"/>
        <v/>
      </c>
      <c r="I832" s="559" t="str">
        <f t="shared" si="80"/>
        <v/>
      </c>
    </row>
    <row r="833" spans="2:9">
      <c r="B833" s="555" t="str">
        <f t="shared" si="75"/>
        <v/>
      </c>
      <c r="C833" s="556" t="str">
        <f t="shared" si="76"/>
        <v/>
      </c>
      <c r="D833" s="557" t="str">
        <f t="shared" si="77"/>
        <v/>
      </c>
      <c r="E833" s="560"/>
      <c r="F833" s="559"/>
      <c r="G833" s="559" t="str">
        <f t="shared" si="78"/>
        <v/>
      </c>
      <c r="H833" s="559" t="str">
        <f t="shared" si="79"/>
        <v/>
      </c>
      <c r="I833" s="559" t="str">
        <f t="shared" si="80"/>
        <v/>
      </c>
    </row>
    <row r="834" spans="2:9">
      <c r="B834" s="555" t="str">
        <f t="shared" si="75"/>
        <v/>
      </c>
      <c r="C834" s="556" t="str">
        <f t="shared" si="76"/>
        <v/>
      </c>
      <c r="D834" s="557" t="str">
        <f t="shared" si="77"/>
        <v/>
      </c>
      <c r="E834" s="560"/>
      <c r="F834" s="559"/>
      <c r="G834" s="559" t="str">
        <f t="shared" si="78"/>
        <v/>
      </c>
      <c r="H834" s="559" t="str">
        <f t="shared" si="79"/>
        <v/>
      </c>
      <c r="I834" s="559" t="str">
        <f t="shared" si="80"/>
        <v/>
      </c>
    </row>
    <row r="835" spans="2:9">
      <c r="B835" s="555" t="str">
        <f t="shared" si="75"/>
        <v/>
      </c>
      <c r="C835" s="556" t="str">
        <f t="shared" si="76"/>
        <v/>
      </c>
      <c r="D835" s="557" t="str">
        <f t="shared" si="77"/>
        <v/>
      </c>
      <c r="E835" s="560"/>
      <c r="F835" s="559"/>
      <c r="G835" s="559" t="str">
        <f t="shared" si="78"/>
        <v/>
      </c>
      <c r="H835" s="559" t="str">
        <f t="shared" si="79"/>
        <v/>
      </c>
      <c r="I835" s="559" t="str">
        <f t="shared" si="80"/>
        <v/>
      </c>
    </row>
    <row r="836" spans="2:9">
      <c r="B836" s="555" t="str">
        <f t="shared" si="75"/>
        <v/>
      </c>
      <c r="C836" s="556" t="str">
        <f t="shared" si="76"/>
        <v/>
      </c>
      <c r="D836" s="557" t="str">
        <f t="shared" si="77"/>
        <v/>
      </c>
      <c r="E836" s="560"/>
      <c r="F836" s="559"/>
      <c r="G836" s="559" t="str">
        <f t="shared" si="78"/>
        <v/>
      </c>
      <c r="H836" s="559" t="str">
        <f t="shared" si="79"/>
        <v/>
      </c>
      <c r="I836" s="559" t="str">
        <f t="shared" si="80"/>
        <v/>
      </c>
    </row>
    <row r="837" spans="2:9">
      <c r="B837" s="555" t="str">
        <f t="shared" si="75"/>
        <v/>
      </c>
      <c r="C837" s="556" t="str">
        <f t="shared" si="76"/>
        <v/>
      </c>
      <c r="D837" s="557" t="str">
        <f t="shared" si="77"/>
        <v/>
      </c>
      <c r="E837" s="560"/>
      <c r="F837" s="559"/>
      <c r="G837" s="559" t="str">
        <f t="shared" si="78"/>
        <v/>
      </c>
      <c r="H837" s="559" t="str">
        <f t="shared" si="79"/>
        <v/>
      </c>
      <c r="I837" s="559" t="str">
        <f t="shared" si="80"/>
        <v/>
      </c>
    </row>
    <row r="838" spans="2:9">
      <c r="B838" s="555" t="str">
        <f t="shared" si="75"/>
        <v/>
      </c>
      <c r="C838" s="556" t="str">
        <f t="shared" si="76"/>
        <v/>
      </c>
      <c r="D838" s="557" t="str">
        <f t="shared" si="77"/>
        <v/>
      </c>
      <c r="E838" s="560"/>
      <c r="F838" s="559"/>
      <c r="G838" s="559" t="str">
        <f t="shared" si="78"/>
        <v/>
      </c>
      <c r="H838" s="559" t="str">
        <f t="shared" si="79"/>
        <v/>
      </c>
      <c r="I838" s="559" t="str">
        <f t="shared" si="80"/>
        <v/>
      </c>
    </row>
    <row r="839" spans="2:9">
      <c r="B839" s="555" t="str">
        <f t="shared" si="75"/>
        <v/>
      </c>
      <c r="C839" s="556" t="str">
        <f t="shared" si="76"/>
        <v/>
      </c>
      <c r="D839" s="557" t="str">
        <f t="shared" si="77"/>
        <v/>
      </c>
      <c r="E839" s="560"/>
      <c r="F839" s="559"/>
      <c r="G839" s="559" t="str">
        <f t="shared" si="78"/>
        <v/>
      </c>
      <c r="H839" s="559" t="str">
        <f t="shared" si="79"/>
        <v/>
      </c>
      <c r="I839" s="559" t="str">
        <f t="shared" si="80"/>
        <v/>
      </c>
    </row>
    <row r="840" spans="2:9">
      <c r="B840" s="555" t="str">
        <f t="shared" si="75"/>
        <v/>
      </c>
      <c r="C840" s="556" t="str">
        <f t="shared" si="76"/>
        <v/>
      </c>
      <c r="D840" s="557" t="str">
        <f t="shared" si="77"/>
        <v/>
      </c>
      <c r="E840" s="563"/>
      <c r="F840" s="559"/>
      <c r="G840" s="559" t="str">
        <f t="shared" si="78"/>
        <v/>
      </c>
      <c r="H840" s="559" t="str">
        <f t="shared" si="79"/>
        <v/>
      </c>
      <c r="I840" s="559" t="str">
        <f t="shared" si="80"/>
        <v/>
      </c>
    </row>
    <row r="841" spans="2:9">
      <c r="B841" s="564"/>
      <c r="C841" s="565"/>
      <c r="D841" s="565"/>
      <c r="E841" s="565" t="s">
        <v>712</v>
      </c>
      <c r="F841" s="565"/>
      <c r="G841" s="564"/>
      <c r="H841" s="564"/>
      <c r="I841" s="564"/>
    </row>
  </sheetData>
  <sheetProtection algorithmName="SHA-512" hashValue="mQTp0W7KMDkjJcPoNgFlQ6A9qGHrO+Rk1G/x2jVCSHfwB6f6KqwVp05UODISSdw/A27Vbc3/3lcLtQjr+2u8Ig==" saltValue="OZPCNBOVQ6A/d1L6JmjZJQ==" spinCount="100000" sheet="1" formatCells="0" formatColumns="0" formatRows="0"/>
  <conditionalFormatting sqref="B61:I840">
    <cfRule type="expression" dxfId="5" priority="1" stopIfTrue="1">
      <formula>MOD($B61,periods_per_year)=0</formula>
    </cfRule>
  </conditionalFormatting>
  <conditionalFormatting sqref="E11">
    <cfRule type="expression" dxfId="4" priority="2" stopIfTrue="1">
      <formula>compound_period&gt;periods_per_year</formula>
    </cfRule>
  </conditionalFormatting>
  <dataValidations count="3">
    <dataValidation type="list" showInputMessage="1" showErrorMessage="1" sqref="E12">
      <formula1>"End of Period, Beginning of Period"</formula1>
    </dataValidation>
    <dataValidation type="list" showInputMessage="1" showErrorMessage="1" sqref="E13">
      <formula1>"On,Off"</formula1>
    </dataValidation>
    <dataValidation type="list" showInputMessage="1" showErrorMessage="1" sqref="E10:E11">
      <formula1>$J$6:$J$13</formula1>
    </dataValidation>
  </dataValidations>
  <printOptions horizontalCentered="1" headings="1" gridLines="1"/>
  <pageMargins left="0.5" right="0.5" top="0.85" bottom="0.5" header="0.5" footer="0.5"/>
  <pageSetup scale="52" fitToHeight="0" orientation="portrait" cellComments="asDisplayed" r:id="rId1"/>
  <headerFooter>
    <oddHeader>&amp;L&amp;F&amp;RPage &amp;P of &amp;N</oddHeader>
    <oddFooter>&amp;L&amp;A&amp;R&amp;D &amp;T</oddFooter>
    <firstFooter>&amp;R&amp;8Page &amp;P of &amp;N</firstFooter>
  </headerFooter>
  <drawing r:id="rId2"/>
  <legacy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1"/>
  <sheetViews>
    <sheetView view="pageBreakPreview" zoomScaleSheetLayoutView="100" workbookViewId="0"/>
  </sheetViews>
  <sheetFormatPr defaultColWidth="8.85546875" defaultRowHeight="15"/>
  <cols>
    <col min="1" max="1" width="17.140625" style="573" customWidth="1"/>
    <col min="2" max="3" width="16.5703125" style="573" customWidth="1"/>
    <col min="4" max="4" width="14.5703125" style="573" customWidth="1"/>
    <col min="5" max="5" width="16.5703125" style="573" customWidth="1"/>
    <col min="6" max="6" width="12.7109375" style="573" customWidth="1"/>
    <col min="7" max="7" width="16.5703125" style="573" customWidth="1"/>
    <col min="8" max="16384" width="8.85546875" style="573"/>
  </cols>
  <sheetData>
    <row r="1" spans="1:7" ht="15.75">
      <c r="A1" s="570" t="s">
        <v>734</v>
      </c>
      <c r="B1" s="570"/>
      <c r="C1" s="570"/>
      <c r="D1" s="570"/>
      <c r="E1" s="571"/>
      <c r="F1" s="572"/>
    </row>
    <row r="2" spans="1:7" ht="15.75">
      <c r="A2" s="574" t="s">
        <v>39</v>
      </c>
      <c r="B2" s="575">
        <f>Dashboard!L28</f>
        <v>0</v>
      </c>
      <c r="C2" s="576"/>
      <c r="D2" s="576"/>
      <c r="E2" s="576"/>
      <c r="F2" s="572"/>
    </row>
    <row r="3" spans="1:7" ht="15.75">
      <c r="A3" s="574" t="s">
        <v>40</v>
      </c>
      <c r="B3" s="577">
        <f>Dashboard!F14</f>
        <v>3.7499999999999999E-2</v>
      </c>
      <c r="C3" s="571"/>
      <c r="D3" s="571"/>
      <c r="E3" s="571"/>
      <c r="F3" s="572"/>
    </row>
    <row r="4" spans="1:7" ht="15.75">
      <c r="A4" s="574" t="s">
        <v>41</v>
      </c>
      <c r="B4" s="575">
        <f>Dashboard!L31</f>
        <v>0</v>
      </c>
      <c r="C4" s="578"/>
      <c r="D4" s="571"/>
      <c r="E4" s="571"/>
      <c r="F4" s="572"/>
    </row>
    <row r="5" spans="1:7" ht="15.75">
      <c r="A5" s="579" t="s">
        <v>42</v>
      </c>
      <c r="B5" s="579" t="s">
        <v>43</v>
      </c>
      <c r="C5" s="579" t="s">
        <v>44</v>
      </c>
      <c r="D5" s="580" t="s">
        <v>45</v>
      </c>
      <c r="E5" s="580" t="s">
        <v>46</v>
      </c>
      <c r="F5" s="581" t="s">
        <v>47</v>
      </c>
    </row>
    <row r="6" spans="1:7" ht="15.75">
      <c r="A6" s="581">
        <v>1</v>
      </c>
      <c r="B6" s="582">
        <f>B2</f>
        <v>0</v>
      </c>
      <c r="C6" s="582"/>
      <c r="D6" s="582">
        <f>+B6*$B$3*0.5</f>
        <v>0</v>
      </c>
      <c r="E6" s="583"/>
      <c r="F6" s="584">
        <f>Dashboard!E14</f>
        <v>2031</v>
      </c>
    </row>
    <row r="7" spans="1:7" ht="15.75">
      <c r="A7" s="581"/>
      <c r="B7" s="571">
        <f t="shared" ref="B7:B67" si="0">B6-C6</f>
        <v>0</v>
      </c>
      <c r="C7" s="571" t="e">
        <f>+B6/$B$4</f>
        <v>#DIV/0!</v>
      </c>
      <c r="D7" s="571">
        <f>+D6</f>
        <v>0</v>
      </c>
      <c r="E7" s="571" t="e">
        <f>SUM(C6:D7)</f>
        <v>#DIV/0!</v>
      </c>
      <c r="F7" s="585">
        <f>+F6</f>
        <v>2031</v>
      </c>
    </row>
    <row r="8" spans="1:7" ht="15.75">
      <c r="A8" s="581">
        <v>2</v>
      </c>
      <c r="B8" s="582" t="e">
        <f>B7-C7</f>
        <v>#DIV/0!</v>
      </c>
      <c r="C8" s="582"/>
      <c r="D8" s="582" t="e">
        <f>+B8*$B$3*0.5</f>
        <v>#DIV/0!</v>
      </c>
      <c r="E8" s="583"/>
      <c r="F8" s="586">
        <f>+F6+1</f>
        <v>2032</v>
      </c>
      <c r="G8" s="603" t="s">
        <v>719</v>
      </c>
    </row>
    <row r="9" spans="1:7" ht="15.75">
      <c r="A9" s="581"/>
      <c r="B9" s="571" t="e">
        <f>B8-C8</f>
        <v>#DIV/0!</v>
      </c>
      <c r="C9" s="571" t="e">
        <f>+C7</f>
        <v>#DIV/0!</v>
      </c>
      <c r="D9" s="571" t="e">
        <f>+D8</f>
        <v>#DIV/0!</v>
      </c>
      <c r="E9" s="571">
        <f>IF($B$4&gt;1,SUM(C8:D9),0)</f>
        <v>0</v>
      </c>
      <c r="F9" s="585">
        <f>+F8</f>
        <v>2032</v>
      </c>
      <c r="G9" s="602" t="e">
        <f>SUM(E7:E9)</f>
        <v>#DIV/0!</v>
      </c>
    </row>
    <row r="10" spans="1:7" ht="15.75">
      <c r="A10" s="581">
        <v>3</v>
      </c>
      <c r="B10" s="582" t="e">
        <f t="shared" si="0"/>
        <v>#DIV/0!</v>
      </c>
      <c r="C10" s="582"/>
      <c r="D10" s="582" t="e">
        <f>+B10*$B$3*0.5</f>
        <v>#DIV/0!</v>
      </c>
      <c r="E10" s="583"/>
      <c r="F10" s="586">
        <f>+F8+1</f>
        <v>2033</v>
      </c>
    </row>
    <row r="11" spans="1:7" ht="15.75">
      <c r="A11" s="581"/>
      <c r="B11" s="571" t="e">
        <f t="shared" si="0"/>
        <v>#DIV/0!</v>
      </c>
      <c r="C11" s="571" t="e">
        <f>+C9</f>
        <v>#DIV/0!</v>
      </c>
      <c r="D11" s="571" t="e">
        <f>+D10</f>
        <v>#DIV/0!</v>
      </c>
      <c r="E11" s="571">
        <f>IF($B$4&gt;2,SUM(C10:D11),0)</f>
        <v>0</v>
      </c>
      <c r="F11" s="585">
        <f>+F10</f>
        <v>2033</v>
      </c>
    </row>
    <row r="12" spans="1:7" ht="15.75">
      <c r="A12" s="581">
        <v>4</v>
      </c>
      <c r="B12" s="582" t="e">
        <f t="shared" si="0"/>
        <v>#DIV/0!</v>
      </c>
      <c r="C12" s="582"/>
      <c r="D12" s="582" t="e">
        <f>+B12*$B$3*0.5</f>
        <v>#DIV/0!</v>
      </c>
      <c r="E12" s="583"/>
      <c r="F12" s="586">
        <f>+F10+1</f>
        <v>2034</v>
      </c>
    </row>
    <row r="13" spans="1:7" ht="15.75">
      <c r="A13" s="581"/>
      <c r="B13" s="571" t="e">
        <f t="shared" si="0"/>
        <v>#DIV/0!</v>
      </c>
      <c r="C13" s="571" t="e">
        <f t="shared" ref="C13:C43" si="1">C11</f>
        <v>#DIV/0!</v>
      </c>
      <c r="D13" s="571" t="e">
        <f>+D12</f>
        <v>#DIV/0!</v>
      </c>
      <c r="E13" s="571">
        <f>IF($B$4&gt;3,SUM(C12:D13),0)</f>
        <v>0</v>
      </c>
      <c r="F13" s="585">
        <f>+F12</f>
        <v>2034</v>
      </c>
    </row>
    <row r="14" spans="1:7" ht="15.75">
      <c r="A14" s="581">
        <v>5</v>
      </c>
      <c r="B14" s="582" t="e">
        <f t="shared" si="0"/>
        <v>#DIV/0!</v>
      </c>
      <c r="C14" s="582"/>
      <c r="D14" s="582" t="e">
        <f>+B14*$B$3*0.5</f>
        <v>#DIV/0!</v>
      </c>
      <c r="E14" s="583"/>
      <c r="F14" s="586">
        <f>+F12+1</f>
        <v>2035</v>
      </c>
    </row>
    <row r="15" spans="1:7" ht="15.75">
      <c r="A15" s="581"/>
      <c r="B15" s="571" t="e">
        <f t="shared" si="0"/>
        <v>#DIV/0!</v>
      </c>
      <c r="C15" s="571" t="e">
        <f t="shared" si="1"/>
        <v>#DIV/0!</v>
      </c>
      <c r="D15" s="571" t="e">
        <f>+D14</f>
        <v>#DIV/0!</v>
      </c>
      <c r="E15" s="571">
        <f>IF($B$4&gt;4,SUM(C14:D15),0)</f>
        <v>0</v>
      </c>
      <c r="F15" s="585">
        <f>+F14</f>
        <v>2035</v>
      </c>
    </row>
    <row r="16" spans="1:7" ht="15.75">
      <c r="A16" s="581">
        <v>6</v>
      </c>
      <c r="B16" s="582" t="e">
        <f t="shared" si="0"/>
        <v>#DIV/0!</v>
      </c>
      <c r="C16" s="582"/>
      <c r="D16" s="582" t="e">
        <f>+B16*$B$3*0.5</f>
        <v>#DIV/0!</v>
      </c>
      <c r="E16" s="583"/>
      <c r="F16" s="586">
        <f>+F14+1</f>
        <v>2036</v>
      </c>
    </row>
    <row r="17" spans="1:6" ht="15.75">
      <c r="A17" s="581"/>
      <c r="B17" s="571" t="e">
        <f t="shared" si="0"/>
        <v>#DIV/0!</v>
      </c>
      <c r="C17" s="571" t="e">
        <f t="shared" si="1"/>
        <v>#DIV/0!</v>
      </c>
      <c r="D17" s="571" t="e">
        <f>+D16</f>
        <v>#DIV/0!</v>
      </c>
      <c r="E17" s="571">
        <f>IF($B$4&gt;5,SUM(C16:D17),0)</f>
        <v>0</v>
      </c>
      <c r="F17" s="585">
        <f>+F16</f>
        <v>2036</v>
      </c>
    </row>
    <row r="18" spans="1:6" ht="15.75">
      <c r="A18" s="581">
        <v>7</v>
      </c>
      <c r="B18" s="582" t="e">
        <f t="shared" si="0"/>
        <v>#DIV/0!</v>
      </c>
      <c r="C18" s="582"/>
      <c r="D18" s="582" t="e">
        <f>+B18*$B$3*0.5</f>
        <v>#DIV/0!</v>
      </c>
      <c r="E18" s="583"/>
      <c r="F18" s="586">
        <f>+F16+1</f>
        <v>2037</v>
      </c>
    </row>
    <row r="19" spans="1:6" ht="15.75">
      <c r="A19" s="581"/>
      <c r="B19" s="571" t="e">
        <f t="shared" si="0"/>
        <v>#DIV/0!</v>
      </c>
      <c r="C19" s="571" t="e">
        <f t="shared" si="1"/>
        <v>#DIV/0!</v>
      </c>
      <c r="D19" s="571" t="e">
        <f>+D18</f>
        <v>#DIV/0!</v>
      </c>
      <c r="E19" s="571">
        <f>IF($B$4&gt;6,SUM(C18:D19),0)</f>
        <v>0</v>
      </c>
      <c r="F19" s="585">
        <f>+F18</f>
        <v>2037</v>
      </c>
    </row>
    <row r="20" spans="1:6" ht="15.75">
      <c r="A20" s="581">
        <v>8</v>
      </c>
      <c r="B20" s="582" t="e">
        <f t="shared" si="0"/>
        <v>#DIV/0!</v>
      </c>
      <c r="C20" s="582"/>
      <c r="D20" s="582" t="e">
        <f>+B20*$B$3*0.5</f>
        <v>#DIV/0!</v>
      </c>
      <c r="E20" s="583"/>
      <c r="F20" s="586">
        <f>+F18+1</f>
        <v>2038</v>
      </c>
    </row>
    <row r="21" spans="1:6" ht="15.75">
      <c r="A21" s="581"/>
      <c r="B21" s="571" t="e">
        <f t="shared" si="0"/>
        <v>#DIV/0!</v>
      </c>
      <c r="C21" s="571" t="e">
        <f t="shared" si="1"/>
        <v>#DIV/0!</v>
      </c>
      <c r="D21" s="571" t="e">
        <f>+D20</f>
        <v>#DIV/0!</v>
      </c>
      <c r="E21" s="571">
        <f>IF($B$4&gt;7,SUM(C20:D21),0)</f>
        <v>0</v>
      </c>
      <c r="F21" s="585">
        <f>+F20</f>
        <v>2038</v>
      </c>
    </row>
    <row r="22" spans="1:6" ht="15.75">
      <c r="A22" s="581">
        <v>9</v>
      </c>
      <c r="B22" s="582" t="e">
        <f t="shared" si="0"/>
        <v>#DIV/0!</v>
      </c>
      <c r="C22" s="582"/>
      <c r="D22" s="582" t="e">
        <f>+B22*$B$3*0.5</f>
        <v>#DIV/0!</v>
      </c>
      <c r="E22" s="583"/>
      <c r="F22" s="586">
        <f>+F20+1</f>
        <v>2039</v>
      </c>
    </row>
    <row r="23" spans="1:6" ht="15.75">
      <c r="A23" s="581"/>
      <c r="B23" s="571" t="e">
        <f t="shared" si="0"/>
        <v>#DIV/0!</v>
      </c>
      <c r="C23" s="571" t="e">
        <f t="shared" si="1"/>
        <v>#DIV/0!</v>
      </c>
      <c r="D23" s="571" t="e">
        <f>+D22</f>
        <v>#DIV/0!</v>
      </c>
      <c r="E23" s="571">
        <f>IF($B$4&gt;8,SUM(C22:D23),0)</f>
        <v>0</v>
      </c>
      <c r="F23" s="585">
        <f>+F22</f>
        <v>2039</v>
      </c>
    </row>
    <row r="24" spans="1:6" ht="15.75">
      <c r="A24" s="581">
        <v>10</v>
      </c>
      <c r="B24" s="582" t="e">
        <f t="shared" si="0"/>
        <v>#DIV/0!</v>
      </c>
      <c r="C24" s="582"/>
      <c r="D24" s="582" t="e">
        <f>+B24*$B$3*0.5</f>
        <v>#DIV/0!</v>
      </c>
      <c r="E24" s="583"/>
      <c r="F24" s="586">
        <f>+F22+1</f>
        <v>2040</v>
      </c>
    </row>
    <row r="25" spans="1:6" ht="15.75">
      <c r="A25" s="581"/>
      <c r="B25" s="571" t="e">
        <f t="shared" si="0"/>
        <v>#DIV/0!</v>
      </c>
      <c r="C25" s="571" t="e">
        <f t="shared" si="1"/>
        <v>#DIV/0!</v>
      </c>
      <c r="D25" s="571" t="e">
        <f>+D24</f>
        <v>#DIV/0!</v>
      </c>
      <c r="E25" s="571">
        <f>IF($B$4&gt;9,SUM(C24:D25),0)</f>
        <v>0</v>
      </c>
      <c r="F25" s="585">
        <f>+F24</f>
        <v>2040</v>
      </c>
    </row>
    <row r="26" spans="1:6" ht="15.75">
      <c r="A26" s="581">
        <v>11</v>
      </c>
      <c r="B26" s="582" t="e">
        <f t="shared" si="0"/>
        <v>#DIV/0!</v>
      </c>
      <c r="C26" s="582"/>
      <c r="D26" s="582" t="e">
        <f>+B26*$B$3*0.5</f>
        <v>#DIV/0!</v>
      </c>
      <c r="E26" s="583"/>
      <c r="F26" s="586">
        <f>+F24+1</f>
        <v>2041</v>
      </c>
    </row>
    <row r="27" spans="1:6" ht="15.75">
      <c r="A27" s="581"/>
      <c r="B27" s="571" t="e">
        <f t="shared" si="0"/>
        <v>#DIV/0!</v>
      </c>
      <c r="C27" s="571" t="e">
        <f t="shared" si="1"/>
        <v>#DIV/0!</v>
      </c>
      <c r="D27" s="571" t="e">
        <f>+D26</f>
        <v>#DIV/0!</v>
      </c>
      <c r="E27" s="571">
        <f>IF($B$4&gt;10,SUM(C26:D27),0)</f>
        <v>0</v>
      </c>
      <c r="F27" s="585">
        <f>+F26</f>
        <v>2041</v>
      </c>
    </row>
    <row r="28" spans="1:6" ht="15.75">
      <c r="A28" s="581">
        <v>12</v>
      </c>
      <c r="B28" s="582" t="e">
        <f t="shared" si="0"/>
        <v>#DIV/0!</v>
      </c>
      <c r="C28" s="582"/>
      <c r="D28" s="582" t="e">
        <f>+B28*$B$3*0.5</f>
        <v>#DIV/0!</v>
      </c>
      <c r="E28" s="583"/>
      <c r="F28" s="586">
        <f>+F26+1</f>
        <v>2042</v>
      </c>
    </row>
    <row r="29" spans="1:6" ht="15.75">
      <c r="A29" s="581"/>
      <c r="B29" s="571" t="e">
        <f t="shared" si="0"/>
        <v>#DIV/0!</v>
      </c>
      <c r="C29" s="571" t="e">
        <f>+C27</f>
        <v>#DIV/0!</v>
      </c>
      <c r="D29" s="571" t="e">
        <f>+D28</f>
        <v>#DIV/0!</v>
      </c>
      <c r="E29" s="571">
        <f>IF($B$4&gt;11,SUM(C28:D29),0)</f>
        <v>0</v>
      </c>
      <c r="F29" s="585">
        <f>+F28</f>
        <v>2042</v>
      </c>
    </row>
    <row r="30" spans="1:6" ht="15.75">
      <c r="A30" s="581">
        <v>13</v>
      </c>
      <c r="B30" s="582" t="e">
        <f t="shared" si="0"/>
        <v>#DIV/0!</v>
      </c>
      <c r="C30" s="582"/>
      <c r="D30" s="582" t="e">
        <f>+B30*$B$3*0.5</f>
        <v>#DIV/0!</v>
      </c>
      <c r="E30" s="583"/>
      <c r="F30" s="586">
        <f>+F28+1</f>
        <v>2043</v>
      </c>
    </row>
    <row r="31" spans="1:6" ht="15.75">
      <c r="A31" s="581"/>
      <c r="B31" s="571" t="e">
        <f t="shared" si="0"/>
        <v>#DIV/0!</v>
      </c>
      <c r="C31" s="571" t="e">
        <f t="shared" si="1"/>
        <v>#DIV/0!</v>
      </c>
      <c r="D31" s="571" t="e">
        <f>+D30</f>
        <v>#DIV/0!</v>
      </c>
      <c r="E31" s="571">
        <f>IF($B$4&gt;12,SUM(C30:D31),0)</f>
        <v>0</v>
      </c>
      <c r="F31" s="585">
        <f>+F30</f>
        <v>2043</v>
      </c>
    </row>
    <row r="32" spans="1:6" ht="15.75">
      <c r="A32" s="581">
        <v>14</v>
      </c>
      <c r="B32" s="582" t="e">
        <f t="shared" si="0"/>
        <v>#DIV/0!</v>
      </c>
      <c r="C32" s="582"/>
      <c r="D32" s="582" t="e">
        <f>+B32*$B$3*0.5</f>
        <v>#DIV/0!</v>
      </c>
      <c r="E32" s="583"/>
      <c r="F32" s="586">
        <f>+F30+1</f>
        <v>2044</v>
      </c>
    </row>
    <row r="33" spans="1:7" ht="15.75">
      <c r="A33" s="581"/>
      <c r="B33" s="571" t="e">
        <f t="shared" si="0"/>
        <v>#DIV/0!</v>
      </c>
      <c r="C33" s="571" t="e">
        <f>+C31</f>
        <v>#DIV/0!</v>
      </c>
      <c r="D33" s="571" t="e">
        <f>+D32</f>
        <v>#DIV/0!</v>
      </c>
      <c r="E33" s="571">
        <f>IF($B$4&gt;13,SUM(C32:D33),0)</f>
        <v>0</v>
      </c>
      <c r="F33" s="585">
        <f>+F32</f>
        <v>2044</v>
      </c>
    </row>
    <row r="34" spans="1:7" ht="15.75">
      <c r="A34" s="581">
        <v>15</v>
      </c>
      <c r="B34" s="582" t="e">
        <f t="shared" si="0"/>
        <v>#DIV/0!</v>
      </c>
      <c r="C34" s="582"/>
      <c r="D34" s="582" t="e">
        <f>+B34*$B$3*0.5</f>
        <v>#DIV/0!</v>
      </c>
      <c r="E34" s="583"/>
      <c r="F34" s="586">
        <f>+F32+1</f>
        <v>2045</v>
      </c>
    </row>
    <row r="35" spans="1:7" ht="15.75">
      <c r="A35" s="581"/>
      <c r="B35" s="571" t="e">
        <f t="shared" si="0"/>
        <v>#DIV/0!</v>
      </c>
      <c r="C35" s="571" t="e">
        <f t="shared" si="1"/>
        <v>#DIV/0!</v>
      </c>
      <c r="D35" s="571" t="e">
        <f>+D34</f>
        <v>#DIV/0!</v>
      </c>
      <c r="E35" s="571">
        <f>IF($B$4&gt;14,SUM(C34:D35),0)</f>
        <v>0</v>
      </c>
      <c r="F35" s="585">
        <f>+F34</f>
        <v>2045</v>
      </c>
    </row>
    <row r="36" spans="1:7" ht="15.75">
      <c r="A36" s="581">
        <v>16</v>
      </c>
      <c r="B36" s="582" t="e">
        <f t="shared" si="0"/>
        <v>#DIV/0!</v>
      </c>
      <c r="C36" s="582"/>
      <c r="D36" s="582" t="e">
        <f>+B36*$B$3*0.5</f>
        <v>#DIV/0!</v>
      </c>
      <c r="E36" s="583"/>
      <c r="F36" s="586">
        <f>+F34+1</f>
        <v>2046</v>
      </c>
    </row>
    <row r="37" spans="1:7" ht="15.75">
      <c r="A37" s="581"/>
      <c r="B37" s="571" t="e">
        <f t="shared" si="0"/>
        <v>#DIV/0!</v>
      </c>
      <c r="C37" s="571" t="e">
        <f>+C35</f>
        <v>#DIV/0!</v>
      </c>
      <c r="D37" s="571" t="e">
        <f>+D36</f>
        <v>#DIV/0!</v>
      </c>
      <c r="E37" s="571">
        <f>IF($B$4&gt;15,SUM(C36:D37),0)</f>
        <v>0</v>
      </c>
      <c r="F37" s="585">
        <f>+F36</f>
        <v>2046</v>
      </c>
    </row>
    <row r="38" spans="1:7" ht="15.75">
      <c r="A38" s="581">
        <v>17</v>
      </c>
      <c r="B38" s="582" t="e">
        <f t="shared" si="0"/>
        <v>#DIV/0!</v>
      </c>
      <c r="C38" s="582"/>
      <c r="D38" s="582" t="e">
        <f>+B38*$B$3*0.5</f>
        <v>#DIV/0!</v>
      </c>
      <c r="E38" s="583"/>
      <c r="F38" s="586">
        <f>+F36+1</f>
        <v>2047</v>
      </c>
    </row>
    <row r="39" spans="1:7" ht="15.75">
      <c r="A39" s="581"/>
      <c r="B39" s="571" t="e">
        <f t="shared" si="0"/>
        <v>#DIV/0!</v>
      </c>
      <c r="C39" s="571" t="e">
        <f t="shared" si="1"/>
        <v>#DIV/0!</v>
      </c>
      <c r="D39" s="571" t="e">
        <f>+D38</f>
        <v>#DIV/0!</v>
      </c>
      <c r="E39" s="571">
        <f>IF($B$4&gt;16,SUM(C38:D39),0)</f>
        <v>0</v>
      </c>
      <c r="F39" s="585">
        <f>+F38</f>
        <v>2047</v>
      </c>
    </row>
    <row r="40" spans="1:7" ht="15.75">
      <c r="A40" s="581">
        <v>18</v>
      </c>
      <c r="B40" s="582" t="e">
        <f t="shared" si="0"/>
        <v>#DIV/0!</v>
      </c>
      <c r="C40" s="582"/>
      <c r="D40" s="582" t="e">
        <f>+B40*$B$3*0.5</f>
        <v>#DIV/0!</v>
      </c>
      <c r="E40" s="583"/>
      <c r="F40" s="586">
        <f>+F38+1</f>
        <v>2048</v>
      </c>
    </row>
    <row r="41" spans="1:7" ht="15.75">
      <c r="A41" s="581"/>
      <c r="B41" s="571" t="e">
        <f t="shared" si="0"/>
        <v>#DIV/0!</v>
      </c>
      <c r="C41" s="571" t="e">
        <f t="shared" si="1"/>
        <v>#DIV/0!</v>
      </c>
      <c r="D41" s="571" t="e">
        <f>+D40</f>
        <v>#DIV/0!</v>
      </c>
      <c r="E41" s="571">
        <f>IF($B$4&gt;17,SUM(C40:D41),0)</f>
        <v>0</v>
      </c>
      <c r="F41" s="585">
        <f>+F40</f>
        <v>2048</v>
      </c>
    </row>
    <row r="42" spans="1:7" ht="15.75">
      <c r="A42" s="581">
        <v>19</v>
      </c>
      <c r="B42" s="582" t="e">
        <f t="shared" si="0"/>
        <v>#DIV/0!</v>
      </c>
      <c r="C42" s="582"/>
      <c r="D42" s="582" t="e">
        <f>+B42*$B$3*0.5</f>
        <v>#DIV/0!</v>
      </c>
      <c r="E42" s="583"/>
      <c r="F42" s="586">
        <f>+F40+1</f>
        <v>2049</v>
      </c>
    </row>
    <row r="43" spans="1:7" ht="15.75">
      <c r="A43" s="581"/>
      <c r="B43" s="571" t="e">
        <f t="shared" si="0"/>
        <v>#DIV/0!</v>
      </c>
      <c r="C43" s="571" t="e">
        <f t="shared" si="1"/>
        <v>#DIV/0!</v>
      </c>
      <c r="D43" s="571" t="e">
        <f>+D42</f>
        <v>#DIV/0!</v>
      </c>
      <c r="E43" s="571">
        <f>IF($B$4&gt;18,SUM(C42:D43),0)</f>
        <v>0</v>
      </c>
      <c r="F43" s="585">
        <f>+F42</f>
        <v>2049</v>
      </c>
    </row>
    <row r="44" spans="1:7" ht="15.75">
      <c r="A44" s="581">
        <v>20</v>
      </c>
      <c r="B44" s="582" t="e">
        <f t="shared" si="0"/>
        <v>#DIV/0!</v>
      </c>
      <c r="C44" s="582"/>
      <c r="D44" s="582" t="e">
        <f>+B44*$B$3*0.5</f>
        <v>#DIV/0!</v>
      </c>
      <c r="E44" s="583"/>
      <c r="F44" s="586">
        <f>+F42+1</f>
        <v>2050</v>
      </c>
    </row>
    <row r="45" spans="1:7" ht="15.75">
      <c r="A45" s="581"/>
      <c r="B45" s="571" t="e">
        <f>ROUND(B44-C44,0)</f>
        <v>#DIV/0!</v>
      </c>
      <c r="C45" s="571" t="e">
        <f>ROUND(C43,0)</f>
        <v>#DIV/0!</v>
      </c>
      <c r="D45" s="571" t="e">
        <f>+D44</f>
        <v>#DIV/0!</v>
      </c>
      <c r="E45" s="571">
        <f>IF($B$4&gt;19,SUM(C44:D45),0)</f>
        <v>0</v>
      </c>
      <c r="F45" s="585">
        <f>+F44</f>
        <v>2050</v>
      </c>
      <c r="G45" s="587"/>
    </row>
    <row r="46" spans="1:7" ht="15.75">
      <c r="A46" s="581">
        <v>21</v>
      </c>
      <c r="B46" s="582" t="e">
        <f t="shared" si="0"/>
        <v>#DIV/0!</v>
      </c>
      <c r="C46" s="582"/>
      <c r="D46" s="582" t="e">
        <f>+B46*$B$3*0.5</f>
        <v>#DIV/0!</v>
      </c>
      <c r="E46" s="583"/>
      <c r="F46" s="586">
        <f>+F44+1</f>
        <v>2051</v>
      </c>
    </row>
    <row r="47" spans="1:7" ht="15.75">
      <c r="A47" s="571"/>
      <c r="B47" s="571" t="e">
        <f t="shared" si="0"/>
        <v>#DIV/0!</v>
      </c>
      <c r="C47" s="571" t="e">
        <f>IF($B$4=20,0,+C45)</f>
        <v>#DIV/0!</v>
      </c>
      <c r="D47" s="571" t="e">
        <f>+D46</f>
        <v>#DIV/0!</v>
      </c>
      <c r="E47" s="571">
        <f>IF($B$4&gt;20,SUM(C46:D47),0)</f>
        <v>0</v>
      </c>
      <c r="F47" s="585">
        <f>+F46</f>
        <v>2051</v>
      </c>
    </row>
    <row r="48" spans="1:7" ht="15.75">
      <c r="A48" s="581">
        <v>22</v>
      </c>
      <c r="B48" s="582" t="e">
        <f t="shared" si="0"/>
        <v>#DIV/0!</v>
      </c>
      <c r="C48" s="582"/>
      <c r="D48" s="582" t="e">
        <f>+B48*$B$3*0.5</f>
        <v>#DIV/0!</v>
      </c>
      <c r="E48" s="583"/>
      <c r="F48" s="586">
        <f>+F46+1</f>
        <v>2052</v>
      </c>
    </row>
    <row r="49" spans="1:6" ht="15.75">
      <c r="A49" s="571"/>
      <c r="B49" s="571" t="e">
        <f t="shared" si="0"/>
        <v>#DIV/0!</v>
      </c>
      <c r="C49" s="571" t="e">
        <f>+C47</f>
        <v>#DIV/0!</v>
      </c>
      <c r="D49" s="571" t="e">
        <f>+D48</f>
        <v>#DIV/0!</v>
      </c>
      <c r="E49" s="571">
        <f>IF($B$4&gt;21,SUM(C48:D49),0)</f>
        <v>0</v>
      </c>
      <c r="F49" s="585">
        <f>+F48</f>
        <v>2052</v>
      </c>
    </row>
    <row r="50" spans="1:6" ht="15.75">
      <c r="A50" s="581">
        <v>23</v>
      </c>
      <c r="B50" s="582" t="e">
        <f t="shared" si="0"/>
        <v>#DIV/0!</v>
      </c>
      <c r="C50" s="582"/>
      <c r="D50" s="582" t="e">
        <f>+B50*$B$3*0.5</f>
        <v>#DIV/0!</v>
      </c>
      <c r="E50" s="583"/>
      <c r="F50" s="586">
        <f>+F48+1</f>
        <v>2053</v>
      </c>
    </row>
    <row r="51" spans="1:6" ht="15.75">
      <c r="A51" s="571"/>
      <c r="B51" s="571" t="e">
        <f t="shared" si="0"/>
        <v>#DIV/0!</v>
      </c>
      <c r="C51" s="571" t="e">
        <f>+C49</f>
        <v>#DIV/0!</v>
      </c>
      <c r="D51" s="571" t="e">
        <f>+D50</f>
        <v>#DIV/0!</v>
      </c>
      <c r="E51" s="571">
        <f>IF($B$4&gt;22,SUM(C50:D51),0)</f>
        <v>0</v>
      </c>
      <c r="F51" s="585">
        <f>+F50</f>
        <v>2053</v>
      </c>
    </row>
    <row r="52" spans="1:6" ht="15.75">
      <c r="A52" s="581">
        <v>24</v>
      </c>
      <c r="B52" s="582" t="e">
        <f t="shared" si="0"/>
        <v>#DIV/0!</v>
      </c>
      <c r="C52" s="582"/>
      <c r="D52" s="582" t="e">
        <f>+B52*$B$3*0.5</f>
        <v>#DIV/0!</v>
      </c>
      <c r="E52" s="583"/>
      <c r="F52" s="586">
        <f>+F50+1</f>
        <v>2054</v>
      </c>
    </row>
    <row r="53" spans="1:6" ht="15.75">
      <c r="A53" s="571"/>
      <c r="B53" s="571" t="e">
        <f t="shared" si="0"/>
        <v>#DIV/0!</v>
      </c>
      <c r="C53" s="571" t="e">
        <f>+C51</f>
        <v>#DIV/0!</v>
      </c>
      <c r="D53" s="571" t="e">
        <f>+D52</f>
        <v>#DIV/0!</v>
      </c>
      <c r="E53" s="571">
        <f>IF($B$4&gt;23,SUM(C52:D53),0)</f>
        <v>0</v>
      </c>
      <c r="F53" s="585">
        <f>+F52</f>
        <v>2054</v>
      </c>
    </row>
    <row r="54" spans="1:6" ht="15.75">
      <c r="A54" s="581">
        <v>25</v>
      </c>
      <c r="B54" s="582" t="e">
        <f t="shared" si="0"/>
        <v>#DIV/0!</v>
      </c>
      <c r="C54" s="582"/>
      <c r="D54" s="582" t="e">
        <f>+B54*$B$3*0.5</f>
        <v>#DIV/0!</v>
      </c>
      <c r="E54" s="583"/>
      <c r="F54" s="586">
        <f>+F52+1</f>
        <v>2055</v>
      </c>
    </row>
    <row r="55" spans="1:6" ht="15.75">
      <c r="A55" s="571"/>
      <c r="B55" s="571" t="e">
        <f t="shared" si="0"/>
        <v>#DIV/0!</v>
      </c>
      <c r="C55" s="571" t="e">
        <f>+C53</f>
        <v>#DIV/0!</v>
      </c>
      <c r="D55" s="571" t="e">
        <f>+D54</f>
        <v>#DIV/0!</v>
      </c>
      <c r="E55" s="571">
        <f>IF($B$4&gt;24,SUM(C54:D55),0)</f>
        <v>0</v>
      </c>
      <c r="F55" s="585">
        <f>+F54</f>
        <v>2055</v>
      </c>
    </row>
    <row r="56" spans="1:6" ht="15.75">
      <c r="A56" s="581">
        <v>26</v>
      </c>
      <c r="B56" s="582" t="e">
        <f t="shared" si="0"/>
        <v>#DIV/0!</v>
      </c>
      <c r="C56" s="582"/>
      <c r="D56" s="582" t="e">
        <f>+B56*$B$3*0.5</f>
        <v>#DIV/0!</v>
      </c>
      <c r="E56" s="583"/>
      <c r="F56" s="586">
        <f>+F54+1</f>
        <v>2056</v>
      </c>
    </row>
    <row r="57" spans="1:6" ht="15.75">
      <c r="A57" s="571"/>
      <c r="B57" s="571" t="e">
        <f t="shared" si="0"/>
        <v>#DIV/0!</v>
      </c>
      <c r="C57" s="571" t="e">
        <f>+C55</f>
        <v>#DIV/0!</v>
      </c>
      <c r="D57" s="571" t="e">
        <f>+D56</f>
        <v>#DIV/0!</v>
      </c>
      <c r="E57" s="571">
        <f>IF($B$4&gt;25,SUM(C56:D57),0)</f>
        <v>0</v>
      </c>
      <c r="F57" s="585">
        <f>+F56</f>
        <v>2056</v>
      </c>
    </row>
    <row r="58" spans="1:6" ht="15.75">
      <c r="A58" s="581">
        <v>27</v>
      </c>
      <c r="B58" s="582" t="e">
        <f>B57-C57</f>
        <v>#DIV/0!</v>
      </c>
      <c r="C58" s="582"/>
      <c r="D58" s="582" t="e">
        <f>+B58*$B$3*0.5</f>
        <v>#DIV/0!</v>
      </c>
      <c r="E58" s="583"/>
      <c r="F58" s="586">
        <f>+F56+1</f>
        <v>2057</v>
      </c>
    </row>
    <row r="59" spans="1:6" ht="15.75">
      <c r="A59" s="571"/>
      <c r="B59" s="571" t="e">
        <f t="shared" si="0"/>
        <v>#DIV/0!</v>
      </c>
      <c r="C59" s="571" t="e">
        <f>+C57</f>
        <v>#DIV/0!</v>
      </c>
      <c r="D59" s="571" t="e">
        <f>+D58</f>
        <v>#DIV/0!</v>
      </c>
      <c r="E59" s="571">
        <f>IF($B$4&gt;26,SUM(C58:D59),0)</f>
        <v>0</v>
      </c>
      <c r="F59" s="585">
        <f>+F58</f>
        <v>2057</v>
      </c>
    </row>
    <row r="60" spans="1:6" ht="15.75">
      <c r="A60" s="581">
        <v>28</v>
      </c>
      <c r="B60" s="582" t="e">
        <f t="shared" si="0"/>
        <v>#DIV/0!</v>
      </c>
      <c r="C60" s="582"/>
      <c r="D60" s="582" t="e">
        <f>+B60*$B$3*0.5</f>
        <v>#DIV/0!</v>
      </c>
      <c r="E60" s="583"/>
      <c r="F60" s="586">
        <f>+F58+1</f>
        <v>2058</v>
      </c>
    </row>
    <row r="61" spans="1:6" ht="15.75">
      <c r="A61" s="571"/>
      <c r="B61" s="571" t="e">
        <f t="shared" si="0"/>
        <v>#DIV/0!</v>
      </c>
      <c r="C61" s="571" t="e">
        <f>+C59</f>
        <v>#DIV/0!</v>
      </c>
      <c r="D61" s="571" t="e">
        <f>+D60</f>
        <v>#DIV/0!</v>
      </c>
      <c r="E61" s="571">
        <f>IF($B$4&gt;27,SUM(C60:D61),0)</f>
        <v>0</v>
      </c>
      <c r="F61" s="585">
        <f>+F60</f>
        <v>2058</v>
      </c>
    </row>
    <row r="62" spans="1:6" ht="15.75">
      <c r="A62" s="581">
        <v>29</v>
      </c>
      <c r="B62" s="582" t="e">
        <f t="shared" si="0"/>
        <v>#DIV/0!</v>
      </c>
      <c r="C62" s="582"/>
      <c r="D62" s="582" t="e">
        <f>+B62*$B$3*0.5</f>
        <v>#DIV/0!</v>
      </c>
      <c r="E62" s="583"/>
      <c r="F62" s="586">
        <f>+F60+1</f>
        <v>2059</v>
      </c>
    </row>
    <row r="63" spans="1:6" ht="15.75">
      <c r="A63" s="571"/>
      <c r="B63" s="571" t="e">
        <f t="shared" si="0"/>
        <v>#DIV/0!</v>
      </c>
      <c r="C63" s="571" t="e">
        <f>+C61</f>
        <v>#DIV/0!</v>
      </c>
      <c r="D63" s="571" t="e">
        <f>+D62</f>
        <v>#DIV/0!</v>
      </c>
      <c r="E63" s="571">
        <f>IF($B$4&gt;28,SUM(C62:D63),0)</f>
        <v>0</v>
      </c>
      <c r="F63" s="585">
        <f>+F62</f>
        <v>2059</v>
      </c>
    </row>
    <row r="64" spans="1:6" ht="15.75">
      <c r="A64" s="581">
        <v>30</v>
      </c>
      <c r="B64" s="582" t="e">
        <f>IF($B$4=29,0,B63-C63)</f>
        <v>#DIV/0!</v>
      </c>
      <c r="C64" s="582"/>
      <c r="D64" s="582" t="e">
        <f>+B64*$B$3*0.5</f>
        <v>#DIV/0!</v>
      </c>
      <c r="E64" s="583"/>
      <c r="F64" s="586">
        <f>+F62+1</f>
        <v>2060</v>
      </c>
    </row>
    <row r="65" spans="1:7" ht="15.75">
      <c r="A65" s="571"/>
      <c r="B65" s="571" t="e">
        <f>B64-C64</f>
        <v>#DIV/0!</v>
      </c>
      <c r="C65" s="571" t="e">
        <f>IF($B$4=29,0,C63)</f>
        <v>#DIV/0!</v>
      </c>
      <c r="D65" s="571" t="e">
        <f>+D64</f>
        <v>#DIV/0!</v>
      </c>
      <c r="E65" s="571">
        <f>IF($B$4&gt;29,SUM(C64:D65),0)</f>
        <v>0</v>
      </c>
      <c r="F65" s="585">
        <f>+F64</f>
        <v>2060</v>
      </c>
    </row>
    <row r="66" spans="1:7" ht="15.75">
      <c r="A66" s="581">
        <v>31</v>
      </c>
      <c r="B66" s="582" t="e">
        <f>B65-C65</f>
        <v>#DIV/0!</v>
      </c>
      <c r="C66" s="582"/>
      <c r="D66" s="582" t="e">
        <f>+B66*$B$3*0.5</f>
        <v>#DIV/0!</v>
      </c>
      <c r="E66" s="583"/>
      <c r="F66" s="586">
        <f>+F64+1</f>
        <v>2061</v>
      </c>
    </row>
    <row r="67" spans="1:7" ht="15.75">
      <c r="A67" s="571"/>
      <c r="B67" s="588" t="e">
        <f t="shared" si="0"/>
        <v>#DIV/0!</v>
      </c>
      <c r="C67" s="588"/>
      <c r="D67" s="588" t="e">
        <f>+D66</f>
        <v>#DIV/0!</v>
      </c>
      <c r="E67" s="588">
        <f>IF($B$4&gt;30,SUM(C66:D67),0)</f>
        <v>0</v>
      </c>
      <c r="F67" s="589">
        <f>+F66</f>
        <v>2061</v>
      </c>
      <c r="G67" s="590"/>
    </row>
    <row r="68" spans="1:7" ht="15.75">
      <c r="A68" s="571"/>
      <c r="B68" s="571"/>
      <c r="C68" s="570" t="e">
        <f>SUM(C6:C67)</f>
        <v>#DIV/0!</v>
      </c>
      <c r="D68" s="570" t="e">
        <f>SUM(D6:D67)</f>
        <v>#DIV/0!</v>
      </c>
      <c r="E68" s="598">
        <f>SUM(E26:E65)</f>
        <v>0</v>
      </c>
      <c r="F68" s="571"/>
    </row>
    <row r="69" spans="1:7" ht="15.75">
      <c r="A69" s="571"/>
      <c r="B69" s="571"/>
      <c r="C69" s="570"/>
      <c r="D69" s="570"/>
      <c r="E69" s="598"/>
      <c r="F69" s="571"/>
    </row>
    <row r="70" spans="1:7" ht="18.75">
      <c r="C70" s="599"/>
      <c r="D70" s="600" t="s">
        <v>718</v>
      </c>
      <c r="E70" s="601">
        <f>SUM(E10:E67)</f>
        <v>0</v>
      </c>
    </row>
    <row r="71" spans="1:7">
      <c r="D71" s="591"/>
      <c r="E71" s="592"/>
    </row>
  </sheetData>
  <sheetProtection algorithmName="SHA-512" hashValue="1BruEe2lNZc/w8uGGYn0Zni2XY3/20aHRCMCitvkp64sl7gS8NXSizYGCTRYS78hd0LsCphCJNHUBafYQIkNHQ==" saltValue="RkJVmAOGNTNcZzS1vnn08g==" spinCount="100000" sheet="1" objects="1" scenarios="1"/>
  <printOptions headings="1" gridLines="1"/>
  <pageMargins left="0.7" right="0.7" top="0.75" bottom="0.75" header="0.3" footer="0.3"/>
  <pageSetup scale="79" orientation="portrait" r:id="rId1"/>
  <headerFooter>
    <oddHeader>&amp;L&amp;F&amp;RPage &amp;P of &amp;N</oddHeader>
    <oddFooter>&amp;L&amp;A&amp;R&amp;D &amp;T</oddFooter>
  </headerFooter>
  <rowBreaks count="1" manualBreakCount="1">
    <brk id="45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L841"/>
  <sheetViews>
    <sheetView showGridLines="0" view="pageBreakPreview" zoomScaleNormal="100" zoomScaleSheetLayoutView="100" workbookViewId="0">
      <selection activeCell="E93" sqref="E93"/>
    </sheetView>
  </sheetViews>
  <sheetFormatPr defaultColWidth="9.140625" defaultRowHeight="12.75"/>
  <cols>
    <col min="1" max="1" width="10.28515625" style="510" customWidth="1"/>
    <col min="2" max="2" width="6.42578125" style="510" customWidth="1"/>
    <col min="3" max="3" width="9.42578125" style="510" customWidth="1"/>
    <col min="4" max="4" width="12.140625" style="510" customWidth="1"/>
    <col min="5" max="5" width="18.7109375" style="510" customWidth="1"/>
    <col min="6" max="6" width="5.28515625" style="510" customWidth="1"/>
    <col min="7" max="7" width="10.7109375" style="510" customWidth="1"/>
    <col min="8" max="8" width="11.85546875" style="510" customWidth="1"/>
    <col min="9" max="9" width="16.5703125" style="510" customWidth="1"/>
    <col min="10" max="10" width="16.42578125" style="510" hidden="1" customWidth="1"/>
    <col min="11" max="11" width="19" style="510" customWidth="1"/>
    <col min="12" max="12" width="13.7109375" style="510" customWidth="1"/>
    <col min="13" max="16384" width="9.140625" style="510"/>
  </cols>
  <sheetData>
    <row r="1" spans="2:10" ht="22.9" customHeight="1">
      <c r="B1" s="593" t="s">
        <v>728</v>
      </c>
      <c r="C1" s="508"/>
      <c r="D1" s="594"/>
      <c r="E1" s="508"/>
      <c r="F1" s="508"/>
      <c r="G1" s="508"/>
      <c r="H1" s="509"/>
      <c r="I1" s="509"/>
    </row>
    <row r="2" spans="2:10" ht="12.75" customHeight="1">
      <c r="B2" s="511"/>
      <c r="C2" s="512"/>
      <c r="D2" s="512"/>
      <c r="E2" s="512"/>
      <c r="F2" s="512"/>
      <c r="G2" s="512"/>
      <c r="H2" s="512"/>
      <c r="I2" s="513" t="str">
        <f ca="1">"© 2008-" &amp; YEAR(TODAY()) &amp; " Vertex42 LLC"</f>
        <v>© 2008-2022 Vertex42 LLC</v>
      </c>
    </row>
    <row r="5" spans="2:10" ht="14.25">
      <c r="B5" s="514" t="s">
        <v>670</v>
      </c>
      <c r="C5" s="515"/>
      <c r="D5" s="515"/>
      <c r="E5" s="515"/>
      <c r="G5" s="514" t="s">
        <v>671</v>
      </c>
      <c r="H5" s="516"/>
      <c r="I5" s="516"/>
      <c r="J5" s="517" t="s">
        <v>672</v>
      </c>
    </row>
    <row r="6" spans="2:10" ht="15" customHeight="1">
      <c r="B6" s="512"/>
      <c r="C6" s="512"/>
      <c r="D6" s="518" t="s">
        <v>673</v>
      </c>
      <c r="E6" s="595">
        <f>Dashboard!L28</f>
        <v>0</v>
      </c>
      <c r="H6" s="519" t="s">
        <v>674</v>
      </c>
      <c r="I6" s="520">
        <f>((1+E7/E15)^(E15/E14))-1</f>
        <v>3.7500000000000089E-2</v>
      </c>
      <c r="J6" s="510" t="s">
        <v>152</v>
      </c>
    </row>
    <row r="7" spans="2:10" ht="15" customHeight="1">
      <c r="B7" s="512"/>
      <c r="C7" s="512"/>
      <c r="D7" s="518" t="s">
        <v>675</v>
      </c>
      <c r="E7" s="521">
        <f>Dashboard!F14</f>
        <v>3.7499999999999999E-2</v>
      </c>
      <c r="H7" s="519" t="s">
        <v>676</v>
      </c>
      <c r="I7" s="522">
        <f>SUM(G61:G840)+SUM(H61:H840)</f>
        <v>0</v>
      </c>
      <c r="J7" s="510" t="s">
        <v>677</v>
      </c>
    </row>
    <row r="8" spans="2:10" ht="15" customHeight="1">
      <c r="B8" s="512"/>
      <c r="C8" s="512"/>
      <c r="D8" s="518" t="s">
        <v>678</v>
      </c>
      <c r="E8" s="523">
        <f>Dashboard!L33</f>
        <v>30</v>
      </c>
      <c r="H8" s="519" t="s">
        <v>679</v>
      </c>
      <c r="I8" s="524">
        <f>SUM(G60:G840)</f>
        <v>0</v>
      </c>
      <c r="J8" s="510" t="s">
        <v>680</v>
      </c>
    </row>
    <row r="9" spans="2:10" ht="15" customHeight="1">
      <c r="B9" s="512"/>
      <c r="C9" s="512"/>
      <c r="D9" s="518" t="s">
        <v>681</v>
      </c>
      <c r="E9" s="525">
        <v>47665</v>
      </c>
      <c r="H9" s="519" t="s">
        <v>682</v>
      </c>
      <c r="I9" s="526" t="str">
        <f>IF(AND(SUM(E61:E840)=0,roundOpt)," - ",(nper*(-PMT(rate,nper,loan_amount,,pmtType))-loan_amount)-I8)</f>
        <v xml:space="preserve"> - </v>
      </c>
      <c r="J9" s="510" t="s">
        <v>683</v>
      </c>
    </row>
    <row r="10" spans="2:10" ht="15" customHeight="1">
      <c r="B10" s="512" t="e">
        <f>+#REF!</f>
        <v>#REF!</v>
      </c>
      <c r="C10" s="512"/>
      <c r="D10" s="518" t="s">
        <v>684</v>
      </c>
      <c r="E10" s="525" t="s">
        <v>685</v>
      </c>
      <c r="I10" s="527" t="str">
        <f ca="1">IF(AND(NOT(I840=""),I840&gt;0.004),"ERROR: Limit is "&amp;OFFSET(B841,-1,0,1,1)&amp;" payments",".")</f>
        <v>.</v>
      </c>
      <c r="J10" s="510" t="s">
        <v>686</v>
      </c>
    </row>
    <row r="11" spans="2:10" ht="15" customHeight="1">
      <c r="B11" s="512"/>
      <c r="C11" s="512"/>
      <c r="D11" s="518" t="s">
        <v>687</v>
      </c>
      <c r="E11" s="528" t="str">
        <f>E10</f>
        <v>annual</v>
      </c>
      <c r="I11" s="529" t="str">
        <f>IF(E15&gt;E14,"Warning: negative amortization",".")</f>
        <v>.</v>
      </c>
      <c r="J11" s="510" t="s">
        <v>688</v>
      </c>
    </row>
    <row r="12" spans="2:10" ht="15" customHeight="1">
      <c r="B12" s="512"/>
      <c r="C12" s="512"/>
      <c r="D12" s="518" t="s">
        <v>689</v>
      </c>
      <c r="E12" s="528" t="s">
        <v>690</v>
      </c>
      <c r="J12" s="510" t="s">
        <v>691</v>
      </c>
    </row>
    <row r="13" spans="2:10" ht="15" customHeight="1">
      <c r="B13" s="512"/>
      <c r="C13" s="512"/>
      <c r="D13" s="518" t="s">
        <v>692</v>
      </c>
      <c r="E13" s="528" t="s">
        <v>693</v>
      </c>
      <c r="I13" s="529"/>
      <c r="J13" s="510" t="s">
        <v>694</v>
      </c>
    </row>
    <row r="14" spans="2:10" ht="15" customHeight="1">
      <c r="B14" s="512"/>
      <c r="C14" s="512"/>
      <c r="D14" s="530" t="s">
        <v>695</v>
      </c>
      <c r="E14" s="512">
        <f>INDEX({1;2;4;6;12;24;26;52},MATCH('FY31 Level-Payment'!$E$10,$J$6:$J$13,0))</f>
        <v>1</v>
      </c>
    </row>
    <row r="15" spans="2:10" ht="15" customHeight="1">
      <c r="B15" s="512"/>
      <c r="C15" s="512"/>
      <c r="D15" s="530" t="s">
        <v>687</v>
      </c>
      <c r="E15" s="512">
        <f>INDEX({1;2;4;6;12;24;26;52},MATCH('FY31 Level-Payment'!$E$11,$J$6:$J$13,0))</f>
        <v>1</v>
      </c>
    </row>
    <row r="16" spans="2:10" ht="15" customHeight="1">
      <c r="B16" s="512"/>
      <c r="C16" s="512"/>
      <c r="D16" s="530" t="s">
        <v>689</v>
      </c>
      <c r="E16" s="512">
        <f>IF('FY31 Level-Payment'!$E$12="End of Period",0,1)</f>
        <v>1</v>
      </c>
    </row>
    <row r="17" spans="2:12" ht="15" customHeight="1">
      <c r="B17" s="512"/>
      <c r="C17" s="512"/>
      <c r="D17" s="530" t="s">
        <v>696</v>
      </c>
      <c r="E17" s="512">
        <f>12/$E$14</f>
        <v>12</v>
      </c>
    </row>
    <row r="18" spans="2:12" ht="15" customHeight="1">
      <c r="B18" s="512"/>
      <c r="C18" s="512"/>
      <c r="D18" s="530" t="s">
        <v>697</v>
      </c>
      <c r="E18" s="512">
        <f>$E$8*$E$14</f>
        <v>30</v>
      </c>
    </row>
    <row r="19" spans="2:12" ht="15" customHeight="1">
      <c r="B19" s="512"/>
      <c r="C19" s="512"/>
      <c r="D19" s="530" t="s">
        <v>698</v>
      </c>
      <c r="E19" s="513" t="b">
        <f>(E13="On")</f>
        <v>1</v>
      </c>
    </row>
    <row r="20" spans="2:12">
      <c r="I20" s="531" t="s">
        <v>699</v>
      </c>
    </row>
    <row r="21" spans="2:12" ht="15.75">
      <c r="D21" s="532" t="str">
        <f>E10&amp;" Payment"</f>
        <v>annual Payment</v>
      </c>
      <c r="E21" s="533">
        <f>IF(roundOpt,ROUND(-PMT(rate,nper,$E$6,,pmtType),2),-PMT(rate,nper,$E$6,,pmtType))</f>
        <v>0</v>
      </c>
      <c r="I21" s="531"/>
    </row>
    <row r="22" spans="2:12">
      <c r="I22" s="531"/>
    </row>
    <row r="23" spans="2:12" ht="15">
      <c r="B23" s="534" t="s">
        <v>700</v>
      </c>
      <c r="C23" s="534"/>
      <c r="D23" s="534"/>
      <c r="E23" s="534"/>
      <c r="F23" s="534"/>
      <c r="G23" s="534"/>
      <c r="H23" s="534"/>
      <c r="I23" s="534"/>
    </row>
    <row r="24" spans="2:12" ht="26.25" thickBot="1">
      <c r="B24" s="535"/>
      <c r="C24" s="536" t="s">
        <v>42</v>
      </c>
      <c r="D24" s="537" t="s">
        <v>701</v>
      </c>
      <c r="E24" s="537" t="s">
        <v>702</v>
      </c>
      <c r="F24" s="537"/>
      <c r="G24" s="537" t="s">
        <v>703</v>
      </c>
      <c r="H24" s="537" t="s">
        <v>704</v>
      </c>
      <c r="I24" s="537" t="s">
        <v>705</v>
      </c>
      <c r="K24" s="538" t="s">
        <v>706</v>
      </c>
    </row>
    <row r="25" spans="2:12">
      <c r="B25" s="539"/>
      <c r="C25" s="540"/>
      <c r="D25" s="539"/>
      <c r="E25" s="539"/>
      <c r="F25" s="539"/>
      <c r="G25" s="539"/>
      <c r="H25" s="541"/>
      <c r="I25" s="542">
        <f>loan_amount</f>
        <v>0</v>
      </c>
      <c r="K25" s="543">
        <f>loan_amount</f>
        <v>0</v>
      </c>
    </row>
    <row r="26" spans="2:12">
      <c r="B26" s="544"/>
      <c r="C26" s="544">
        <f>YEAR(fpdate)</f>
        <v>2030</v>
      </c>
      <c r="D26" s="545">
        <f>SUMIF($C$60:$C$841,"&lt;="&amp;DATE($C26,12,31),$D$60:$D$841)-SUM(D$25:D25)</f>
        <v>0</v>
      </c>
      <c r="E26" s="545">
        <f>SUMIF($C$60:$C$841,"&lt;="&amp;DATE($C26,12,31),$E$60:$E$841)-SUM(E$25:E25)</f>
        <v>0</v>
      </c>
      <c r="F26" s="546"/>
      <c r="G26" s="545">
        <f>SUMIF($C$60:$C$841,"&lt;="&amp;DATE($C26,12,31),$G$60:$G$841)-SUM(G$25:G25)</f>
        <v>0</v>
      </c>
      <c r="H26" s="545">
        <f>SUMIF($C$60:$C$841,"&lt;="&amp;DATE($C26,12,31),$H$60:$H$841)-SUM(H$25:H25)</f>
        <v>0</v>
      </c>
      <c r="I26" s="545">
        <f>I25-H26</f>
        <v>0</v>
      </c>
      <c r="K26" s="547">
        <f t="shared" ref="K26:K54" si="0">K25-H26</f>
        <v>0</v>
      </c>
      <c r="L26" s="538" t="s">
        <v>719</v>
      </c>
    </row>
    <row r="27" spans="2:12">
      <c r="B27" s="548"/>
      <c r="C27" s="544">
        <f>C26+1</f>
        <v>2031</v>
      </c>
      <c r="D27" s="545">
        <f>SUMIF($C$60:$C$841,"&lt;="&amp;DATE($C27,12,31),$D$60:$D$841)-SUM(D$25:D26)</f>
        <v>0</v>
      </c>
      <c r="E27" s="545">
        <f>SUMIF($C$60:$C$841,"&lt;="&amp;DATE($C27,12,31),$E$60:$E$841)-SUM(E$25:E26)</f>
        <v>0</v>
      </c>
      <c r="F27" s="546"/>
      <c r="G27" s="545">
        <f>SUMIF($C$60:$C$841,"&lt;="&amp;DATE($C27,12,31),$G$60:$G$841)-SUM(G$25:G26)</f>
        <v>0</v>
      </c>
      <c r="H27" s="545">
        <f>SUMIF($C$60:$C$841,"&lt;="&amp;DATE($C27,12,31),$H$60:$H$841)-SUM(H$25:H26)</f>
        <v>0</v>
      </c>
      <c r="I27" s="545">
        <f>I26-H27</f>
        <v>0</v>
      </c>
      <c r="K27" s="547">
        <f t="shared" si="0"/>
        <v>0</v>
      </c>
      <c r="L27" s="604">
        <f>SUM(D26:D27)</f>
        <v>0</v>
      </c>
    </row>
    <row r="28" spans="2:12">
      <c r="B28" s="548"/>
      <c r="C28" s="544">
        <f>C27+1</f>
        <v>2032</v>
      </c>
      <c r="D28" s="545">
        <f>SUMIF($C$60:$C$841,"&lt;="&amp;DATE($C28,12,31),$D$60:$D$841)-SUM(D$25:D27)</f>
        <v>0</v>
      </c>
      <c r="E28" s="545">
        <f>SUMIF($C$60:$C$841,"&lt;="&amp;DATE($C28,12,31),$E$60:$E$841)-SUM(E$25:E27)</f>
        <v>0</v>
      </c>
      <c r="F28" s="546"/>
      <c r="G28" s="545">
        <f>SUMIF($C$60:$C$841,"&lt;="&amp;DATE($C28,12,31),$G$60:$G$841)-SUM(G$25:G27)</f>
        <v>0</v>
      </c>
      <c r="H28" s="545">
        <f>SUMIF($C$60:$C$841,"&lt;="&amp;DATE($C28,12,31),$H$60:$H$841)-SUM(H$25:H27)</f>
        <v>0</v>
      </c>
      <c r="I28" s="545">
        <f>I27-H28</f>
        <v>0</v>
      </c>
      <c r="K28" s="547">
        <f t="shared" si="0"/>
        <v>0</v>
      </c>
    </row>
    <row r="29" spans="2:12">
      <c r="B29" s="548"/>
      <c r="C29" s="544">
        <f>C28+1</f>
        <v>2033</v>
      </c>
      <c r="D29" s="545">
        <f>SUMIF($C$60:$C$841,"&lt;="&amp;DATE($C29,12,31),$D$60:$D$841)-SUM(D$25:D28)</f>
        <v>0</v>
      </c>
      <c r="E29" s="545">
        <f>SUMIF($C$60:$C$841,"&lt;="&amp;DATE($C29,12,31),$E$60:$E$841)-SUM(E$25:E28)</f>
        <v>0</v>
      </c>
      <c r="F29" s="546"/>
      <c r="G29" s="545">
        <f>SUMIF($C$60:$C$841,"&lt;="&amp;DATE($C29,12,31),$G$60:$G$841)-SUM(G$25:G28)</f>
        <v>0</v>
      </c>
      <c r="H29" s="545">
        <f>SUMIF($C$60:$C$841,"&lt;="&amp;DATE($C29,12,31),$H$60:$H$841)-SUM(H$25:H28)</f>
        <v>0</v>
      </c>
      <c r="I29" s="545">
        <f>I28-H29</f>
        <v>0</v>
      </c>
      <c r="K29" s="547">
        <f t="shared" si="0"/>
        <v>0</v>
      </c>
    </row>
    <row r="30" spans="2:12">
      <c r="B30" s="548"/>
      <c r="C30" s="544">
        <f t="shared" ref="C30:C56" si="1">C29+1</f>
        <v>2034</v>
      </c>
      <c r="D30" s="545">
        <f>SUMIF($C$60:$C$841,"&lt;="&amp;DATE($C30,12,31),$D$60:$D$841)-SUM(D$25:D29)</f>
        <v>0</v>
      </c>
      <c r="E30" s="545">
        <f>SUMIF($C$60:$C$841,"&lt;="&amp;DATE($C30,12,31),$E$60:$E$841)-SUM(E$25:E29)</f>
        <v>0</v>
      </c>
      <c r="F30" s="546"/>
      <c r="G30" s="545">
        <f>SUMIF($C$60:$C$841,"&lt;="&amp;DATE($C30,12,31),$G$60:$G$841)-SUM(G$25:G29)</f>
        <v>0</v>
      </c>
      <c r="H30" s="545">
        <f>SUMIF($C$60:$C$841,"&lt;="&amp;DATE($C30,12,31),$H$60:$H$841)-SUM(H$25:H29)</f>
        <v>0</v>
      </c>
      <c r="I30" s="545">
        <f t="shared" ref="I30:I56" si="2">I29-H30</f>
        <v>0</v>
      </c>
      <c r="K30" s="547">
        <f t="shared" si="0"/>
        <v>0</v>
      </c>
    </row>
    <row r="31" spans="2:12">
      <c r="B31" s="548"/>
      <c r="C31" s="544">
        <f t="shared" si="1"/>
        <v>2035</v>
      </c>
      <c r="D31" s="545">
        <f>SUMIF($C$60:$C$841,"&lt;="&amp;DATE($C31,12,31),$D$60:$D$841)-SUM(D$25:D30)</f>
        <v>0</v>
      </c>
      <c r="E31" s="545">
        <f>SUMIF($C$60:$C$841,"&lt;="&amp;DATE($C31,12,31),$E$60:$E$841)-SUM(E$25:E30)</f>
        <v>0</v>
      </c>
      <c r="F31" s="546"/>
      <c r="G31" s="545">
        <f>SUMIF($C$60:$C$841,"&lt;="&amp;DATE($C31,12,31),$G$60:$G$841)-SUM(G$25:G30)</f>
        <v>0</v>
      </c>
      <c r="H31" s="545">
        <f>SUMIF($C$60:$C$841,"&lt;="&amp;DATE($C31,12,31),$H$60:$H$841)-SUM(H$25:H30)</f>
        <v>0</v>
      </c>
      <c r="I31" s="545">
        <f t="shared" si="2"/>
        <v>0</v>
      </c>
      <c r="K31" s="547">
        <f t="shared" si="0"/>
        <v>0</v>
      </c>
    </row>
    <row r="32" spans="2:12">
      <c r="B32" s="548"/>
      <c r="C32" s="544">
        <f t="shared" si="1"/>
        <v>2036</v>
      </c>
      <c r="D32" s="545">
        <f>SUMIF($C$60:$C$841,"&lt;="&amp;DATE($C32,12,31),$D$60:$D$841)-SUM(D$25:D31)</f>
        <v>0</v>
      </c>
      <c r="E32" s="545">
        <f>SUMIF($C$60:$C$841,"&lt;="&amp;DATE($C32,12,31),$E$60:$E$841)-SUM(E$25:E31)</f>
        <v>0</v>
      </c>
      <c r="F32" s="546"/>
      <c r="G32" s="545">
        <f>SUMIF($C$60:$C$841,"&lt;="&amp;DATE($C32,12,31),$G$60:$G$841)-SUM(G$25:G31)</f>
        <v>0</v>
      </c>
      <c r="H32" s="545">
        <f>SUMIF($C$60:$C$841,"&lt;="&amp;DATE($C32,12,31),$H$60:$H$841)-SUM(H$25:H31)</f>
        <v>0</v>
      </c>
      <c r="I32" s="545">
        <f t="shared" si="2"/>
        <v>0</v>
      </c>
      <c r="K32" s="547">
        <f t="shared" si="0"/>
        <v>0</v>
      </c>
    </row>
    <row r="33" spans="2:11">
      <c r="B33" s="548"/>
      <c r="C33" s="544">
        <f t="shared" si="1"/>
        <v>2037</v>
      </c>
      <c r="D33" s="545">
        <f>SUMIF($C$60:$C$841,"&lt;="&amp;DATE($C33,12,31),$D$60:$D$841)-SUM(D$25:D32)</f>
        <v>0</v>
      </c>
      <c r="E33" s="545">
        <f>SUMIF($C$60:$C$841,"&lt;="&amp;DATE($C33,12,31),$E$60:$E$841)-SUM(E$25:E32)</f>
        <v>0</v>
      </c>
      <c r="F33" s="546"/>
      <c r="G33" s="545">
        <f>SUMIF($C$60:$C$841,"&lt;="&amp;DATE($C33,12,31),$G$60:$G$841)-SUM(G$25:G32)</f>
        <v>0</v>
      </c>
      <c r="H33" s="545">
        <f>SUMIF($C$60:$C$841,"&lt;="&amp;DATE($C33,12,31),$H$60:$H$841)-SUM(H$25:H32)</f>
        <v>0</v>
      </c>
      <c r="I33" s="545">
        <f t="shared" si="2"/>
        <v>0</v>
      </c>
      <c r="K33" s="547">
        <f t="shared" si="0"/>
        <v>0</v>
      </c>
    </row>
    <row r="34" spans="2:11">
      <c r="B34" s="548"/>
      <c r="C34" s="544">
        <f t="shared" si="1"/>
        <v>2038</v>
      </c>
      <c r="D34" s="545">
        <f>SUMIF($C$60:$C$841,"&lt;="&amp;DATE($C34,12,31),$D$60:$D$841)-SUM(D$25:D33)</f>
        <v>0</v>
      </c>
      <c r="E34" s="545">
        <f>SUMIF($C$60:$C$841,"&lt;="&amp;DATE($C34,12,31),$E$60:$E$841)-SUM(E$25:E33)</f>
        <v>0</v>
      </c>
      <c r="F34" s="546"/>
      <c r="G34" s="545">
        <f>SUMIF($C$60:$C$841,"&lt;="&amp;DATE($C34,12,31),$G$60:$G$841)-SUM(G$25:G33)</f>
        <v>0</v>
      </c>
      <c r="H34" s="545">
        <f>SUMIF($C$60:$C$841,"&lt;="&amp;DATE($C34,12,31),$H$60:$H$841)-SUM(H$25:H33)</f>
        <v>0</v>
      </c>
      <c r="I34" s="545">
        <f t="shared" si="2"/>
        <v>0</v>
      </c>
      <c r="K34" s="547">
        <f t="shared" si="0"/>
        <v>0</v>
      </c>
    </row>
    <row r="35" spans="2:11">
      <c r="B35" s="548"/>
      <c r="C35" s="544">
        <f t="shared" si="1"/>
        <v>2039</v>
      </c>
      <c r="D35" s="545">
        <f>SUMIF($C$60:$C$841,"&lt;="&amp;DATE($C35,12,31),$D$60:$D$841)-SUM(D$25:D34)</f>
        <v>0</v>
      </c>
      <c r="E35" s="545">
        <f>SUMIF($C$60:$C$841,"&lt;="&amp;DATE($C35,12,31),$E$60:$E$841)-SUM(E$25:E34)</f>
        <v>0</v>
      </c>
      <c r="F35" s="546"/>
      <c r="G35" s="545">
        <f>SUMIF($C$60:$C$841,"&lt;="&amp;DATE($C35,12,31),$G$60:$G$841)-SUM(G$25:G34)</f>
        <v>0</v>
      </c>
      <c r="H35" s="545">
        <f>SUMIF($C$60:$C$841,"&lt;="&amp;DATE($C35,12,31),$H$60:$H$841)-SUM(H$25:H34)</f>
        <v>0</v>
      </c>
      <c r="I35" s="545">
        <f t="shared" si="2"/>
        <v>0</v>
      </c>
      <c r="K35" s="547">
        <f t="shared" si="0"/>
        <v>0</v>
      </c>
    </row>
    <row r="36" spans="2:11">
      <c r="B36" s="548"/>
      <c r="C36" s="544">
        <f t="shared" si="1"/>
        <v>2040</v>
      </c>
      <c r="D36" s="545">
        <f>SUMIF($C$60:$C$841,"&lt;="&amp;DATE($C36,12,31),$D$60:$D$841)-SUM(D$25:D35)</f>
        <v>0</v>
      </c>
      <c r="E36" s="545">
        <f>SUMIF($C$60:$C$841,"&lt;="&amp;DATE($C36,12,31),$E$60:$E$841)-SUM(E$25:E35)</f>
        <v>0</v>
      </c>
      <c r="F36" s="546"/>
      <c r="G36" s="545">
        <f>SUMIF($C$60:$C$841,"&lt;="&amp;DATE($C36,12,31),$G$60:$G$841)-SUM(G$25:G35)</f>
        <v>0</v>
      </c>
      <c r="H36" s="545">
        <f>SUMIF($C$60:$C$841,"&lt;="&amp;DATE($C36,12,31),$H$60:$H$841)-SUM(H$25:H35)</f>
        <v>0</v>
      </c>
      <c r="I36" s="545">
        <f t="shared" si="2"/>
        <v>0</v>
      </c>
      <c r="K36" s="547">
        <f t="shared" si="0"/>
        <v>0</v>
      </c>
    </row>
    <row r="37" spans="2:11">
      <c r="B37" s="548"/>
      <c r="C37" s="544">
        <f t="shared" si="1"/>
        <v>2041</v>
      </c>
      <c r="D37" s="545">
        <f>SUMIF($C$60:$C$841,"&lt;="&amp;DATE($C37,12,31),$D$60:$D$841)-SUM(D$25:D36)</f>
        <v>0</v>
      </c>
      <c r="E37" s="545">
        <f>SUMIF($C$60:$C$841,"&lt;="&amp;DATE($C37,12,31),$E$60:$E$841)-SUM(E$25:E36)</f>
        <v>0</v>
      </c>
      <c r="F37" s="546"/>
      <c r="G37" s="545">
        <f>SUMIF($C$60:$C$841,"&lt;="&amp;DATE($C37,12,31),$G$60:$G$841)-SUM(G$25:G36)</f>
        <v>0</v>
      </c>
      <c r="H37" s="545">
        <f>SUMIF($C$60:$C$841,"&lt;="&amp;DATE($C37,12,31),$H$60:$H$841)-SUM(H$25:H36)</f>
        <v>0</v>
      </c>
      <c r="I37" s="545">
        <f t="shared" si="2"/>
        <v>0</v>
      </c>
      <c r="K37" s="547">
        <f t="shared" si="0"/>
        <v>0</v>
      </c>
    </row>
    <row r="38" spans="2:11">
      <c r="B38" s="548"/>
      <c r="C38" s="544">
        <f t="shared" si="1"/>
        <v>2042</v>
      </c>
      <c r="D38" s="545">
        <f>SUMIF($C$60:$C$841,"&lt;="&amp;DATE($C38,12,31),$D$60:$D$841)-SUM(D$25:D37)</f>
        <v>0</v>
      </c>
      <c r="E38" s="545">
        <f>SUMIF($C$60:$C$841,"&lt;="&amp;DATE($C38,12,31),$E$60:$E$841)-SUM(E$25:E37)</f>
        <v>0</v>
      </c>
      <c r="F38" s="546"/>
      <c r="G38" s="545">
        <f>SUMIF($C$60:$C$841,"&lt;="&amp;DATE($C38,12,31),$G$60:$G$841)-SUM(G$25:G37)</f>
        <v>0</v>
      </c>
      <c r="H38" s="545">
        <f>SUMIF($C$60:$C$841,"&lt;="&amp;DATE($C38,12,31),$H$60:$H$841)-SUM(H$25:H37)</f>
        <v>0</v>
      </c>
      <c r="I38" s="545">
        <f t="shared" si="2"/>
        <v>0</v>
      </c>
      <c r="K38" s="547">
        <f t="shared" si="0"/>
        <v>0</v>
      </c>
    </row>
    <row r="39" spans="2:11">
      <c r="B39" s="548"/>
      <c r="C39" s="544">
        <f t="shared" si="1"/>
        <v>2043</v>
      </c>
      <c r="D39" s="545">
        <f>SUMIF($C$60:$C$841,"&lt;="&amp;DATE($C39,12,31),$D$60:$D$841)-SUM(D$25:D38)</f>
        <v>0</v>
      </c>
      <c r="E39" s="545">
        <f>SUMIF($C$60:$C$841,"&lt;="&amp;DATE($C39,12,31),$E$60:$E$841)-SUM(E$25:E38)</f>
        <v>0</v>
      </c>
      <c r="F39" s="546"/>
      <c r="G39" s="545">
        <f>SUMIF($C$60:$C$841,"&lt;="&amp;DATE($C39,12,31),$G$60:$G$841)-SUM(G$25:G38)</f>
        <v>0</v>
      </c>
      <c r="H39" s="545">
        <f>SUMIF($C$60:$C$841,"&lt;="&amp;DATE($C39,12,31),$H$60:$H$841)-SUM(H$25:H38)</f>
        <v>0</v>
      </c>
      <c r="I39" s="545">
        <f t="shared" si="2"/>
        <v>0</v>
      </c>
      <c r="K39" s="547">
        <f t="shared" si="0"/>
        <v>0</v>
      </c>
    </row>
    <row r="40" spans="2:11">
      <c r="B40" s="548"/>
      <c r="C40" s="544">
        <f t="shared" si="1"/>
        <v>2044</v>
      </c>
      <c r="D40" s="545">
        <f>SUMIF($C$60:$C$841,"&lt;="&amp;DATE($C40,12,31),$D$60:$D$841)-SUM(D$25:D39)</f>
        <v>0</v>
      </c>
      <c r="E40" s="545">
        <f>SUMIF($C$60:$C$841,"&lt;="&amp;DATE($C40,12,31),$E$60:$E$841)-SUM(E$25:E39)</f>
        <v>0</v>
      </c>
      <c r="F40" s="546"/>
      <c r="G40" s="545">
        <f>SUMIF($C$60:$C$841,"&lt;="&amp;DATE($C40,12,31),$G$60:$G$841)-SUM(G$25:G39)</f>
        <v>0</v>
      </c>
      <c r="H40" s="545">
        <f>SUMIF($C$60:$C$841,"&lt;="&amp;DATE($C40,12,31),$H$60:$H$841)-SUM(H$25:H39)</f>
        <v>0</v>
      </c>
      <c r="I40" s="545">
        <f t="shared" si="2"/>
        <v>0</v>
      </c>
      <c r="K40" s="547">
        <f t="shared" si="0"/>
        <v>0</v>
      </c>
    </row>
    <row r="41" spans="2:11">
      <c r="B41" s="548"/>
      <c r="C41" s="544">
        <f t="shared" si="1"/>
        <v>2045</v>
      </c>
      <c r="D41" s="545">
        <f>SUMIF($C$60:$C$841,"&lt;="&amp;DATE($C41,12,31),$D$60:$D$841)-SUM(D$25:D40)</f>
        <v>0</v>
      </c>
      <c r="E41" s="545">
        <f>SUMIF($C$60:$C$841,"&lt;="&amp;DATE($C41,12,31),$E$60:$E$841)-SUM(E$25:E40)</f>
        <v>0</v>
      </c>
      <c r="F41" s="546"/>
      <c r="G41" s="545">
        <f>SUMIF($C$60:$C$841,"&lt;="&amp;DATE($C41,12,31),$G$60:$G$841)-SUM(G$25:G40)</f>
        <v>0</v>
      </c>
      <c r="H41" s="545">
        <f>SUMIF($C$60:$C$841,"&lt;="&amp;DATE($C41,12,31),$H$60:$H$841)-SUM(H$25:H40)</f>
        <v>0</v>
      </c>
      <c r="I41" s="545">
        <f t="shared" si="2"/>
        <v>0</v>
      </c>
      <c r="K41" s="547">
        <f t="shared" si="0"/>
        <v>0</v>
      </c>
    </row>
    <row r="42" spans="2:11">
      <c r="B42" s="548"/>
      <c r="C42" s="544">
        <f t="shared" si="1"/>
        <v>2046</v>
      </c>
      <c r="D42" s="545">
        <f>SUMIF($C$60:$C$841,"&lt;="&amp;DATE($C42,12,31),$D$60:$D$841)-SUM(D$25:D41)</f>
        <v>0</v>
      </c>
      <c r="E42" s="545">
        <f>SUMIF($C$60:$C$841,"&lt;="&amp;DATE($C42,12,31),$E$60:$E$841)-SUM(E$25:E41)</f>
        <v>0</v>
      </c>
      <c r="F42" s="546"/>
      <c r="G42" s="545">
        <f>SUMIF($C$60:$C$841,"&lt;="&amp;DATE($C42,12,31),$G$60:$G$841)-SUM(G$25:G41)</f>
        <v>0</v>
      </c>
      <c r="H42" s="545">
        <f>SUMIF($C$60:$C$841,"&lt;="&amp;DATE($C42,12,31),$H$60:$H$841)-SUM(H$25:H41)</f>
        <v>0</v>
      </c>
      <c r="I42" s="545">
        <f t="shared" si="2"/>
        <v>0</v>
      </c>
      <c r="K42" s="547">
        <f t="shared" si="0"/>
        <v>0</v>
      </c>
    </row>
    <row r="43" spans="2:11">
      <c r="B43" s="548"/>
      <c r="C43" s="544">
        <f t="shared" si="1"/>
        <v>2047</v>
      </c>
      <c r="D43" s="545">
        <f>SUMIF($C$60:$C$841,"&lt;="&amp;DATE($C43,12,31),$D$60:$D$841)-SUM(D$25:D42)</f>
        <v>0</v>
      </c>
      <c r="E43" s="545">
        <f>SUMIF($C$60:$C$841,"&lt;="&amp;DATE($C43,12,31),$E$60:$E$841)-SUM(E$25:E42)</f>
        <v>0</v>
      </c>
      <c r="F43" s="546"/>
      <c r="G43" s="545">
        <f>SUMIF($C$60:$C$841,"&lt;="&amp;DATE($C43,12,31),$G$60:$G$841)-SUM(G$25:G42)</f>
        <v>0</v>
      </c>
      <c r="H43" s="545">
        <f>SUMIF($C$60:$C$841,"&lt;="&amp;DATE($C43,12,31),$H$60:$H$841)-SUM(H$25:H42)</f>
        <v>0</v>
      </c>
      <c r="I43" s="545">
        <f t="shared" si="2"/>
        <v>0</v>
      </c>
      <c r="K43" s="547">
        <f t="shared" si="0"/>
        <v>0</v>
      </c>
    </row>
    <row r="44" spans="2:11">
      <c r="B44" s="548"/>
      <c r="C44" s="544">
        <f t="shared" si="1"/>
        <v>2048</v>
      </c>
      <c r="D44" s="545">
        <f>SUMIF($C$60:$C$841,"&lt;="&amp;DATE($C44,12,31),$D$60:$D$841)-SUM(D$25:D43)</f>
        <v>0</v>
      </c>
      <c r="E44" s="545">
        <f>SUMIF($C$60:$C$841,"&lt;="&amp;DATE($C44,12,31),$E$60:$E$841)-SUM(E$25:E43)</f>
        <v>0</v>
      </c>
      <c r="F44" s="546"/>
      <c r="G44" s="545">
        <f>SUMIF($C$60:$C$841,"&lt;="&amp;DATE($C44,12,31),$G$60:$G$841)-SUM(G$25:G43)</f>
        <v>0</v>
      </c>
      <c r="H44" s="545">
        <f>SUMIF($C$60:$C$841,"&lt;="&amp;DATE($C44,12,31),$H$60:$H$841)-SUM(H$25:H43)</f>
        <v>0</v>
      </c>
      <c r="I44" s="545">
        <f t="shared" si="2"/>
        <v>0</v>
      </c>
      <c r="K44" s="547">
        <f t="shared" si="0"/>
        <v>0</v>
      </c>
    </row>
    <row r="45" spans="2:11">
      <c r="B45" s="548"/>
      <c r="C45" s="544">
        <f t="shared" si="1"/>
        <v>2049</v>
      </c>
      <c r="D45" s="545">
        <f>SUMIF($C$60:$C$841,"&lt;="&amp;DATE($C45,12,31),$D$60:$D$841)-SUM(D$25:D44)</f>
        <v>0</v>
      </c>
      <c r="E45" s="545">
        <f>SUMIF($C$60:$C$841,"&lt;="&amp;DATE($C45,12,31),$E$60:$E$841)-SUM(E$25:E44)</f>
        <v>0</v>
      </c>
      <c r="F45" s="546"/>
      <c r="G45" s="545">
        <f>SUMIF($C$60:$C$841,"&lt;="&amp;DATE($C45,12,31),$G$60:$G$841)-SUM(G$25:G44)</f>
        <v>0</v>
      </c>
      <c r="H45" s="545">
        <f>SUMIF($C$60:$C$841,"&lt;="&amp;DATE($C45,12,31),$H$60:$H$841)-SUM(H$25:H44)</f>
        <v>0</v>
      </c>
      <c r="I45" s="545">
        <f t="shared" si="2"/>
        <v>0</v>
      </c>
      <c r="K45" s="547">
        <f t="shared" si="0"/>
        <v>0</v>
      </c>
    </row>
    <row r="46" spans="2:11">
      <c r="B46" s="548"/>
      <c r="C46" s="544">
        <f t="shared" si="1"/>
        <v>2050</v>
      </c>
      <c r="D46" s="545">
        <f>SUMIF($C$60:$C$841,"&lt;="&amp;DATE($C46,12,31),$D$60:$D$841)-SUM(D$25:D45)</f>
        <v>0</v>
      </c>
      <c r="E46" s="545">
        <f>SUMIF($C$60:$C$841,"&lt;="&amp;DATE($C46,12,31),$E$60:$E$841)-SUM(E$25:E45)</f>
        <v>0</v>
      </c>
      <c r="F46" s="546"/>
      <c r="G46" s="545">
        <f>SUMIF($C$60:$C$841,"&lt;="&amp;DATE($C46,12,31),$G$60:$G$841)-SUM(G$25:G45)</f>
        <v>0</v>
      </c>
      <c r="H46" s="545">
        <f>SUMIF($C$60:$C$841,"&lt;="&amp;DATE($C46,12,31),$H$60:$H$841)-SUM(H$25:H45)</f>
        <v>0</v>
      </c>
      <c r="I46" s="545">
        <f t="shared" si="2"/>
        <v>0</v>
      </c>
      <c r="K46" s="547">
        <f t="shared" si="0"/>
        <v>0</v>
      </c>
    </row>
    <row r="47" spans="2:11">
      <c r="B47" s="548"/>
      <c r="C47" s="544">
        <f t="shared" si="1"/>
        <v>2051</v>
      </c>
      <c r="D47" s="545">
        <f>SUMIF($C$60:$C$841,"&lt;="&amp;DATE($C47,12,31),$D$60:$D$841)-SUM(D$25:D46)</f>
        <v>0</v>
      </c>
      <c r="E47" s="545">
        <f>SUMIF($C$60:$C$841,"&lt;="&amp;DATE($C47,12,31),$E$60:$E$841)-SUM(E$25:E46)</f>
        <v>0</v>
      </c>
      <c r="F47" s="546"/>
      <c r="G47" s="545">
        <f>SUMIF($C$60:$C$841,"&lt;="&amp;DATE($C47,12,31),$G$60:$G$841)-SUM(G$25:G46)</f>
        <v>0</v>
      </c>
      <c r="H47" s="545">
        <f>SUMIF($C$60:$C$841,"&lt;="&amp;DATE($C47,12,31),$H$60:$H$841)-SUM(H$25:H46)</f>
        <v>0</v>
      </c>
      <c r="I47" s="545">
        <f t="shared" si="2"/>
        <v>0</v>
      </c>
      <c r="K47" s="547">
        <f t="shared" si="0"/>
        <v>0</v>
      </c>
    </row>
    <row r="48" spans="2:11">
      <c r="B48" s="548"/>
      <c r="C48" s="544">
        <f t="shared" si="1"/>
        <v>2052</v>
      </c>
      <c r="D48" s="545">
        <f>SUMIF($C$60:$C$841,"&lt;="&amp;DATE($C48,12,31),$D$60:$D$841)-SUM(D$25:D47)</f>
        <v>0</v>
      </c>
      <c r="E48" s="545">
        <f>SUMIF($C$60:$C$841,"&lt;="&amp;DATE($C48,12,31),$E$60:$E$841)-SUM(E$25:E47)</f>
        <v>0</v>
      </c>
      <c r="F48" s="546"/>
      <c r="G48" s="545">
        <f>SUMIF($C$60:$C$841,"&lt;="&amp;DATE($C48,12,31),$G$60:$G$841)-SUM(G$25:G47)</f>
        <v>0</v>
      </c>
      <c r="H48" s="545">
        <f>SUMIF($C$60:$C$841,"&lt;="&amp;DATE($C48,12,31),$H$60:$H$841)-SUM(H$25:H47)</f>
        <v>0</v>
      </c>
      <c r="I48" s="545">
        <f t="shared" si="2"/>
        <v>0</v>
      </c>
      <c r="K48" s="547">
        <f t="shared" si="0"/>
        <v>0</v>
      </c>
    </row>
    <row r="49" spans="2:11">
      <c r="B49" s="548"/>
      <c r="C49" s="544">
        <f t="shared" si="1"/>
        <v>2053</v>
      </c>
      <c r="D49" s="545">
        <f>SUMIF($C$60:$C$841,"&lt;="&amp;DATE($C49,12,31),$D$60:$D$841)-SUM(D$25:D48)</f>
        <v>0</v>
      </c>
      <c r="E49" s="545">
        <f>SUMIF($C$60:$C$841,"&lt;="&amp;DATE($C49,12,31),$E$60:$E$841)-SUM(E$25:E48)</f>
        <v>0</v>
      </c>
      <c r="F49" s="546"/>
      <c r="G49" s="545">
        <f>SUMIF($C$60:$C$841,"&lt;="&amp;DATE($C49,12,31),$G$60:$G$841)-SUM(G$25:G48)</f>
        <v>0</v>
      </c>
      <c r="H49" s="545">
        <f>SUMIF($C$60:$C$841,"&lt;="&amp;DATE($C49,12,31),$H$60:$H$841)-SUM(H$25:H48)</f>
        <v>0</v>
      </c>
      <c r="I49" s="545">
        <f t="shared" si="2"/>
        <v>0</v>
      </c>
      <c r="K49" s="547">
        <f t="shared" si="0"/>
        <v>0</v>
      </c>
    </row>
    <row r="50" spans="2:11">
      <c r="B50" s="548"/>
      <c r="C50" s="544">
        <f t="shared" si="1"/>
        <v>2054</v>
      </c>
      <c r="D50" s="545">
        <f>SUMIF($C$60:$C$841,"&lt;="&amp;DATE($C50,12,31),$D$60:$D$841)-SUM(D$25:D49)</f>
        <v>0</v>
      </c>
      <c r="E50" s="545">
        <f>SUMIF($C$60:$C$841,"&lt;="&amp;DATE($C50,12,31),$E$60:$E$841)-SUM(E$25:E49)</f>
        <v>0</v>
      </c>
      <c r="F50" s="546"/>
      <c r="G50" s="545">
        <f>SUMIF($C$60:$C$841,"&lt;="&amp;DATE($C50,12,31),$G$60:$G$841)-SUM(G$25:G49)</f>
        <v>0</v>
      </c>
      <c r="H50" s="545">
        <f>SUMIF($C$60:$C$841,"&lt;="&amp;DATE($C50,12,31),$H$60:$H$841)-SUM(H$25:H49)</f>
        <v>0</v>
      </c>
      <c r="I50" s="545">
        <f t="shared" si="2"/>
        <v>0</v>
      </c>
      <c r="K50" s="547">
        <f t="shared" si="0"/>
        <v>0</v>
      </c>
    </row>
    <row r="51" spans="2:11">
      <c r="B51" s="548"/>
      <c r="C51" s="544">
        <f t="shared" si="1"/>
        <v>2055</v>
      </c>
      <c r="D51" s="545">
        <f>SUMIF($C$60:$C$841,"&lt;="&amp;DATE($C51,12,31),$D$60:$D$841)-SUM(D$25:D50)</f>
        <v>0</v>
      </c>
      <c r="E51" s="545">
        <f>SUMIF($C$60:$C$841,"&lt;="&amp;DATE($C51,12,31),$E$60:$E$841)-SUM(E$25:E50)</f>
        <v>0</v>
      </c>
      <c r="F51" s="546"/>
      <c r="G51" s="545">
        <f>SUMIF($C$60:$C$841,"&lt;="&amp;DATE($C51,12,31),$G$60:$G$841)-SUM(G$25:G50)</f>
        <v>0</v>
      </c>
      <c r="H51" s="545">
        <f>SUMIF($C$60:$C$841,"&lt;="&amp;DATE($C51,12,31),$H$60:$H$841)-SUM(H$25:H50)</f>
        <v>0</v>
      </c>
      <c r="I51" s="545">
        <f t="shared" si="2"/>
        <v>0</v>
      </c>
      <c r="K51" s="547">
        <f t="shared" si="0"/>
        <v>0</v>
      </c>
    </row>
    <row r="52" spans="2:11">
      <c r="B52" s="548"/>
      <c r="C52" s="544">
        <f t="shared" si="1"/>
        <v>2056</v>
      </c>
      <c r="D52" s="545">
        <f>SUMIF($C$60:$C$841,"&lt;="&amp;DATE($C52,12,31),$D$60:$D$841)-SUM(D$25:D51)</f>
        <v>0</v>
      </c>
      <c r="E52" s="545">
        <f>SUMIF($C$60:$C$841,"&lt;="&amp;DATE($C52,12,31),$E$60:$E$841)-SUM(E$25:E51)</f>
        <v>0</v>
      </c>
      <c r="F52" s="546"/>
      <c r="G52" s="545">
        <f>SUMIF($C$60:$C$841,"&lt;="&amp;DATE($C52,12,31),$G$60:$G$841)-SUM(G$25:G51)</f>
        <v>0</v>
      </c>
      <c r="H52" s="545">
        <f>SUMIF($C$60:$C$841,"&lt;="&amp;DATE($C52,12,31),$H$60:$H$841)-SUM(H$25:H51)</f>
        <v>0</v>
      </c>
      <c r="I52" s="545">
        <f t="shared" si="2"/>
        <v>0</v>
      </c>
      <c r="K52" s="547">
        <f t="shared" si="0"/>
        <v>0</v>
      </c>
    </row>
    <row r="53" spans="2:11">
      <c r="B53" s="548"/>
      <c r="C53" s="544">
        <f t="shared" si="1"/>
        <v>2057</v>
      </c>
      <c r="D53" s="545">
        <f>SUMIF($C$60:$C$841,"&lt;="&amp;DATE($C53,12,31),$D$60:$D$841)-SUM(D$25:D52)</f>
        <v>0</v>
      </c>
      <c r="E53" s="545">
        <f>SUMIF($C$60:$C$841,"&lt;="&amp;DATE($C53,12,31),$E$60:$E$841)-SUM(E$25:E52)</f>
        <v>0</v>
      </c>
      <c r="F53" s="546"/>
      <c r="G53" s="545">
        <f>SUMIF($C$60:$C$841,"&lt;="&amp;DATE($C53,12,31),$G$60:$G$841)-SUM(G$25:G52)</f>
        <v>0</v>
      </c>
      <c r="H53" s="545">
        <f>SUMIF($C$60:$C$841,"&lt;="&amp;DATE($C53,12,31),$H$60:$H$841)-SUM(H$25:H52)</f>
        <v>0</v>
      </c>
      <c r="I53" s="545">
        <f t="shared" si="2"/>
        <v>0</v>
      </c>
      <c r="K53" s="547">
        <f t="shared" si="0"/>
        <v>0</v>
      </c>
    </row>
    <row r="54" spans="2:11">
      <c r="B54" s="548"/>
      <c r="C54" s="544">
        <f t="shared" si="1"/>
        <v>2058</v>
      </c>
      <c r="D54" s="545">
        <f>SUMIF($C$60:$C$841,"&lt;="&amp;DATE($C54,12,31),$D$60:$D$841)-SUM(D$25:D53)</f>
        <v>0</v>
      </c>
      <c r="E54" s="545">
        <f>SUMIF($C$60:$C$841,"&lt;="&amp;DATE($C54,12,31),$E$60:$E$841)-SUM(E$25:E53)</f>
        <v>0</v>
      </c>
      <c r="F54" s="546"/>
      <c r="G54" s="545">
        <f>SUMIF($C$60:$C$841,"&lt;="&amp;DATE($C54,12,31),$G$60:$G$841)-SUM(G$25:G53)</f>
        <v>0</v>
      </c>
      <c r="H54" s="545">
        <f>SUMIF($C$60:$C$841,"&lt;="&amp;DATE($C54,12,31),$H$60:$H$841)-SUM(H$25:H53)</f>
        <v>0</v>
      </c>
      <c r="I54" s="545">
        <f t="shared" si="2"/>
        <v>0</v>
      </c>
      <c r="K54" s="547">
        <f t="shared" si="0"/>
        <v>0</v>
      </c>
    </row>
    <row r="55" spans="2:11">
      <c r="B55" s="548"/>
      <c r="C55" s="544">
        <f t="shared" si="1"/>
        <v>2059</v>
      </c>
      <c r="D55" s="545">
        <f>SUMIF($C$60:$C$841,"&lt;="&amp;DATE($C55,12,31),$D$60:$D$841)-SUM(D$25:D54)</f>
        <v>0</v>
      </c>
      <c r="E55" s="545">
        <f>SUMIF($C$60:$C$841,"&lt;="&amp;DATE($C55,12,31),$E$60:$E$841)-SUM(E$25:E54)</f>
        <v>0</v>
      </c>
      <c r="F55" s="546"/>
      <c r="G55" s="545">
        <f>SUMIF($C$60:$C$841,"&lt;="&amp;DATE($C55,12,31),$G$60:$G$841)-SUM(G$25:G54)</f>
        <v>0</v>
      </c>
      <c r="H55" s="545">
        <f>SUMIF($C$60:$C$841,"&lt;="&amp;DATE($C55,12,31),$H$60:$H$841)-SUM(H$25:H54)</f>
        <v>0</v>
      </c>
      <c r="I55" s="545">
        <f t="shared" si="2"/>
        <v>0</v>
      </c>
      <c r="K55" s="547"/>
    </row>
    <row r="56" spans="2:11">
      <c r="B56" s="548"/>
      <c r="C56" s="544">
        <f t="shared" si="1"/>
        <v>2060</v>
      </c>
      <c r="D56" s="545">
        <f>SUMIF($C$60:$C$841,"&lt;="&amp;DATE($C56,12,31),$D$60:$D$841)-SUM(D$25:D55)</f>
        <v>0</v>
      </c>
      <c r="E56" s="545">
        <f>SUMIF($C$60:$C$841,"&lt;="&amp;DATE($C56,12,31),$E$60:$E$841)-SUM(E$25:E55)</f>
        <v>0</v>
      </c>
      <c r="F56" s="546"/>
      <c r="G56" s="545">
        <f>SUMIF($C$60:$C$841,"&lt;="&amp;DATE($C56,12,31),$G$60:$G$841)-SUM(G$25:G55)</f>
        <v>0</v>
      </c>
      <c r="H56" s="545">
        <f>SUMIF($C$60:$C$841,"&lt;="&amp;DATE($C56,12,31),$H$60:$H$841)-SUM(H$25:H55)</f>
        <v>0</v>
      </c>
      <c r="I56" s="545">
        <f t="shared" si="2"/>
        <v>0</v>
      </c>
    </row>
    <row r="57" spans="2:11">
      <c r="I57" s="531"/>
    </row>
    <row r="58" spans="2:11" ht="15">
      <c r="B58" s="534" t="s">
        <v>707</v>
      </c>
      <c r="C58" s="534"/>
      <c r="D58" s="534"/>
      <c r="E58" s="534"/>
      <c r="F58" s="534"/>
      <c r="G58" s="534"/>
      <c r="H58" s="534"/>
    </row>
    <row r="59" spans="2:11" ht="26.25" thickBot="1">
      <c r="B59" s="549" t="s">
        <v>708</v>
      </c>
      <c r="C59" s="550" t="s">
        <v>709</v>
      </c>
      <c r="D59" s="550" t="s">
        <v>710</v>
      </c>
      <c r="E59" s="550" t="s">
        <v>711</v>
      </c>
      <c r="F59" s="537"/>
      <c r="G59" s="551" t="s">
        <v>45</v>
      </c>
      <c r="H59" s="551" t="s">
        <v>44</v>
      </c>
      <c r="I59" s="551" t="s">
        <v>492</v>
      </c>
    </row>
    <row r="60" spans="2:11">
      <c r="B60" s="552"/>
      <c r="C60" s="553"/>
      <c r="D60" s="552"/>
      <c r="E60" s="552"/>
      <c r="F60" s="552"/>
      <c r="G60" s="554"/>
      <c r="H60" s="554"/>
      <c r="I60" s="554">
        <f>$E$6</f>
        <v>0</v>
      </c>
    </row>
    <row r="61" spans="2:11">
      <c r="B61" s="555" t="str">
        <f t="shared" ref="B61:B124" si="3">IF(I60="","",IF(roundOpt,IF(OR(B60&gt;=nper,ROUND(I60,2)&lt;=0),"",B60+1),IF(OR(B60&gt;=nper,I60&lt;=0),"",B60+1)))</f>
        <v/>
      </c>
      <c r="C61" s="556" t="str">
        <f t="shared" ref="C61:C124" si="4">IF(B61="","",IF(OR(periods_per_year=26,periods_per_year=52),IF(periods_per_year=26,IF(B61=1,fpdate,C60+14),IF(periods_per_year=52,IF(B61=1,fpdate,C60+7),"n/a")),IF(periods_per_year=24,DATE(YEAR(fpdate),MONTH(fpdate)+(B61-1)/2+IF(AND(DAY(fpdate)&gt;=15,MOD(B61,2)=0),1,0),IF(MOD(B61,2)=0,IF(DAY(fpdate)&gt;=15,DAY(fpdate)-14,DAY(fpdate)+14),DAY(fpdate))),IF(DAY(DATE(YEAR(fpdate),MONTH(fpdate)+(B61-1)*months_per_period,DAY(fpdate)))&lt;&gt;DAY(fpdate),DATE(YEAR(fpdate),MONTH(fpdate)+(B61-1)*months_per_period+1,0),DATE(YEAR(fpdate),MONTH(fpdate)+(B61-1)*months_per_period,DAY(fpdate))))))</f>
        <v/>
      </c>
      <c r="D61" s="557" t="str">
        <f t="shared" ref="D61:D124" si="5">IF(B61="","",IF(roundOpt,IF(OR(B61=nper,payment&gt;ROUND((1+rate)*I60,2)),ROUND((1+rate)*I60,2),payment),IF(OR(B61=nper,payment&gt;(1+rate)*I60),(1+rate)*I60,payment)))</f>
        <v/>
      </c>
      <c r="E61" s="558"/>
      <c r="F61" s="559"/>
      <c r="G61" s="559" t="str">
        <f t="shared" ref="G61:G124" si="6">IF(B61="","",IF(AND(B61=1,pmtType=1),0,IF(roundOpt,ROUND(rate*I60,2),rate*I60)))</f>
        <v/>
      </c>
      <c r="H61" s="559" t="str">
        <f t="shared" ref="H61:H124" si="7">IF(B61="","",D61-G61+E61)</f>
        <v/>
      </c>
      <c r="I61" s="559" t="str">
        <f t="shared" ref="I61:I124" si="8">IF(B61="","",I60-H61)</f>
        <v/>
      </c>
    </row>
    <row r="62" spans="2:11">
      <c r="B62" s="555" t="str">
        <f t="shared" si="3"/>
        <v/>
      </c>
      <c r="C62" s="556" t="str">
        <f t="shared" si="4"/>
        <v/>
      </c>
      <c r="D62" s="557" t="str">
        <f t="shared" si="5"/>
        <v/>
      </c>
      <c r="E62" s="560"/>
      <c r="F62" s="559"/>
      <c r="G62" s="559" t="str">
        <f t="shared" si="6"/>
        <v/>
      </c>
      <c r="H62" s="559" t="str">
        <f t="shared" si="7"/>
        <v/>
      </c>
      <c r="I62" s="559" t="str">
        <f t="shared" si="8"/>
        <v/>
      </c>
    </row>
    <row r="63" spans="2:11">
      <c r="B63" s="555" t="str">
        <f t="shared" si="3"/>
        <v/>
      </c>
      <c r="C63" s="556" t="str">
        <f t="shared" si="4"/>
        <v/>
      </c>
      <c r="D63" s="557" t="str">
        <f t="shared" si="5"/>
        <v/>
      </c>
      <c r="E63" s="560"/>
      <c r="F63" s="559"/>
      <c r="G63" s="559" t="str">
        <f t="shared" si="6"/>
        <v/>
      </c>
      <c r="H63" s="559" t="str">
        <f t="shared" si="7"/>
        <v/>
      </c>
      <c r="I63" s="559" t="str">
        <f t="shared" si="8"/>
        <v/>
      </c>
    </row>
    <row r="64" spans="2:11">
      <c r="B64" s="555" t="str">
        <f t="shared" si="3"/>
        <v/>
      </c>
      <c r="C64" s="556" t="str">
        <f t="shared" si="4"/>
        <v/>
      </c>
      <c r="D64" s="557" t="str">
        <f t="shared" si="5"/>
        <v/>
      </c>
      <c r="E64" s="560"/>
      <c r="F64" s="559"/>
      <c r="G64" s="559" t="str">
        <f t="shared" si="6"/>
        <v/>
      </c>
      <c r="H64" s="559" t="str">
        <f t="shared" si="7"/>
        <v/>
      </c>
      <c r="I64" s="559" t="str">
        <f t="shared" si="8"/>
        <v/>
      </c>
    </row>
    <row r="65" spans="2:10" ht="15">
      <c r="B65" s="555" t="str">
        <f t="shared" si="3"/>
        <v/>
      </c>
      <c r="C65" s="556" t="str">
        <f t="shared" si="4"/>
        <v/>
      </c>
      <c r="D65" s="557" t="str">
        <f t="shared" si="5"/>
        <v/>
      </c>
      <c r="E65" s="560"/>
      <c r="F65" s="559"/>
      <c r="G65" s="559" t="str">
        <f t="shared" si="6"/>
        <v/>
      </c>
      <c r="H65" s="559" t="str">
        <f t="shared" si="7"/>
        <v/>
      </c>
      <c r="I65" s="559" t="str">
        <f t="shared" si="8"/>
        <v/>
      </c>
      <c r="J65" s="561"/>
    </row>
    <row r="66" spans="2:10" ht="15">
      <c r="B66" s="555" t="str">
        <f t="shared" si="3"/>
        <v/>
      </c>
      <c r="C66" s="556" t="str">
        <f t="shared" si="4"/>
        <v/>
      </c>
      <c r="D66" s="557" t="str">
        <f t="shared" si="5"/>
        <v/>
      </c>
      <c r="E66" s="560"/>
      <c r="F66" s="559"/>
      <c r="G66" s="559" t="str">
        <f t="shared" si="6"/>
        <v/>
      </c>
      <c r="H66" s="559" t="str">
        <f t="shared" si="7"/>
        <v/>
      </c>
      <c r="I66" s="559" t="str">
        <f t="shared" si="8"/>
        <v/>
      </c>
      <c r="J66" s="561"/>
    </row>
    <row r="67" spans="2:10" ht="15">
      <c r="B67" s="555" t="str">
        <f t="shared" si="3"/>
        <v/>
      </c>
      <c r="C67" s="556" t="str">
        <f t="shared" si="4"/>
        <v/>
      </c>
      <c r="D67" s="557" t="str">
        <f t="shared" si="5"/>
        <v/>
      </c>
      <c r="E67" s="560"/>
      <c r="F67" s="559"/>
      <c r="G67" s="559" t="str">
        <f t="shared" si="6"/>
        <v/>
      </c>
      <c r="H67" s="559" t="str">
        <f t="shared" si="7"/>
        <v/>
      </c>
      <c r="I67" s="559" t="str">
        <f t="shared" si="8"/>
        <v/>
      </c>
      <c r="J67" s="562"/>
    </row>
    <row r="68" spans="2:10">
      <c r="B68" s="555" t="str">
        <f t="shared" si="3"/>
        <v/>
      </c>
      <c r="C68" s="556" t="str">
        <f t="shared" si="4"/>
        <v/>
      </c>
      <c r="D68" s="557" t="str">
        <f t="shared" si="5"/>
        <v/>
      </c>
      <c r="E68" s="560"/>
      <c r="F68" s="559"/>
      <c r="G68" s="559" t="str">
        <f t="shared" si="6"/>
        <v/>
      </c>
      <c r="H68" s="559" t="str">
        <f t="shared" si="7"/>
        <v/>
      </c>
      <c r="I68" s="559" t="str">
        <f t="shared" si="8"/>
        <v/>
      </c>
    </row>
    <row r="69" spans="2:10">
      <c r="B69" s="555" t="str">
        <f t="shared" si="3"/>
        <v/>
      </c>
      <c r="C69" s="556" t="str">
        <f t="shared" si="4"/>
        <v/>
      </c>
      <c r="D69" s="557" t="str">
        <f t="shared" si="5"/>
        <v/>
      </c>
      <c r="E69" s="560"/>
      <c r="F69" s="559"/>
      <c r="G69" s="559" t="str">
        <f t="shared" si="6"/>
        <v/>
      </c>
      <c r="H69" s="559" t="str">
        <f t="shared" si="7"/>
        <v/>
      </c>
      <c r="I69" s="559" t="str">
        <f t="shared" si="8"/>
        <v/>
      </c>
    </row>
    <row r="70" spans="2:10">
      <c r="B70" s="555" t="str">
        <f t="shared" si="3"/>
        <v/>
      </c>
      <c r="C70" s="556" t="str">
        <f t="shared" si="4"/>
        <v/>
      </c>
      <c r="D70" s="557" t="str">
        <f t="shared" si="5"/>
        <v/>
      </c>
      <c r="E70" s="560"/>
      <c r="F70" s="559"/>
      <c r="G70" s="559" t="str">
        <f t="shared" si="6"/>
        <v/>
      </c>
      <c r="H70" s="559" t="str">
        <f t="shared" si="7"/>
        <v/>
      </c>
      <c r="I70" s="559" t="str">
        <f t="shared" si="8"/>
        <v/>
      </c>
    </row>
    <row r="71" spans="2:10">
      <c r="B71" s="555" t="str">
        <f t="shared" si="3"/>
        <v/>
      </c>
      <c r="C71" s="556" t="str">
        <f t="shared" si="4"/>
        <v/>
      </c>
      <c r="D71" s="557" t="str">
        <f t="shared" si="5"/>
        <v/>
      </c>
      <c r="E71" s="560"/>
      <c r="F71" s="559"/>
      <c r="G71" s="559" t="str">
        <f t="shared" si="6"/>
        <v/>
      </c>
      <c r="H71" s="559" t="str">
        <f t="shared" si="7"/>
        <v/>
      </c>
      <c r="I71" s="559" t="str">
        <f t="shared" si="8"/>
        <v/>
      </c>
    </row>
    <row r="72" spans="2:10">
      <c r="B72" s="555" t="str">
        <f t="shared" si="3"/>
        <v/>
      </c>
      <c r="C72" s="556" t="str">
        <f t="shared" si="4"/>
        <v/>
      </c>
      <c r="D72" s="557" t="str">
        <f t="shared" si="5"/>
        <v/>
      </c>
      <c r="E72" s="560"/>
      <c r="F72" s="559"/>
      <c r="G72" s="559" t="str">
        <f t="shared" si="6"/>
        <v/>
      </c>
      <c r="H72" s="559" t="str">
        <f t="shared" si="7"/>
        <v/>
      </c>
      <c r="I72" s="559" t="str">
        <f t="shared" si="8"/>
        <v/>
      </c>
    </row>
    <row r="73" spans="2:10">
      <c r="B73" s="555" t="str">
        <f t="shared" si="3"/>
        <v/>
      </c>
      <c r="C73" s="556" t="str">
        <f t="shared" si="4"/>
        <v/>
      </c>
      <c r="D73" s="557" t="str">
        <f t="shared" si="5"/>
        <v/>
      </c>
      <c r="E73" s="560"/>
      <c r="F73" s="559"/>
      <c r="G73" s="559" t="str">
        <f t="shared" si="6"/>
        <v/>
      </c>
      <c r="H73" s="559" t="str">
        <f t="shared" si="7"/>
        <v/>
      </c>
      <c r="I73" s="559" t="str">
        <f t="shared" si="8"/>
        <v/>
      </c>
    </row>
    <row r="74" spans="2:10">
      <c r="B74" s="555" t="str">
        <f t="shared" si="3"/>
        <v/>
      </c>
      <c r="C74" s="556" t="str">
        <f t="shared" si="4"/>
        <v/>
      </c>
      <c r="D74" s="557" t="str">
        <f t="shared" si="5"/>
        <v/>
      </c>
      <c r="E74" s="560"/>
      <c r="F74" s="559"/>
      <c r="G74" s="559" t="str">
        <f t="shared" si="6"/>
        <v/>
      </c>
      <c r="H74" s="559" t="str">
        <f t="shared" si="7"/>
        <v/>
      </c>
      <c r="I74" s="559" t="str">
        <f t="shared" si="8"/>
        <v/>
      </c>
    </row>
    <row r="75" spans="2:10">
      <c r="B75" s="555" t="str">
        <f t="shared" si="3"/>
        <v/>
      </c>
      <c r="C75" s="556" t="str">
        <f t="shared" si="4"/>
        <v/>
      </c>
      <c r="D75" s="557" t="str">
        <f t="shared" si="5"/>
        <v/>
      </c>
      <c r="E75" s="560"/>
      <c r="F75" s="559"/>
      <c r="G75" s="559" t="str">
        <f t="shared" si="6"/>
        <v/>
      </c>
      <c r="H75" s="559" t="str">
        <f t="shared" si="7"/>
        <v/>
      </c>
      <c r="I75" s="559" t="str">
        <f t="shared" si="8"/>
        <v/>
      </c>
    </row>
    <row r="76" spans="2:10">
      <c r="B76" s="555" t="str">
        <f t="shared" si="3"/>
        <v/>
      </c>
      <c r="C76" s="556" t="str">
        <f t="shared" si="4"/>
        <v/>
      </c>
      <c r="D76" s="557" t="str">
        <f t="shared" si="5"/>
        <v/>
      </c>
      <c r="E76" s="560"/>
      <c r="F76" s="559"/>
      <c r="G76" s="559" t="str">
        <f t="shared" si="6"/>
        <v/>
      </c>
      <c r="H76" s="559" t="str">
        <f t="shared" si="7"/>
        <v/>
      </c>
      <c r="I76" s="559" t="str">
        <f t="shared" si="8"/>
        <v/>
      </c>
    </row>
    <row r="77" spans="2:10">
      <c r="B77" s="555" t="str">
        <f t="shared" si="3"/>
        <v/>
      </c>
      <c r="C77" s="556" t="str">
        <f t="shared" si="4"/>
        <v/>
      </c>
      <c r="D77" s="557" t="str">
        <f t="shared" si="5"/>
        <v/>
      </c>
      <c r="E77" s="560"/>
      <c r="F77" s="559"/>
      <c r="G77" s="559" t="str">
        <f t="shared" si="6"/>
        <v/>
      </c>
      <c r="H77" s="559" t="str">
        <f t="shared" si="7"/>
        <v/>
      </c>
      <c r="I77" s="559" t="str">
        <f t="shared" si="8"/>
        <v/>
      </c>
    </row>
    <row r="78" spans="2:10">
      <c r="B78" s="555" t="str">
        <f t="shared" si="3"/>
        <v/>
      </c>
      <c r="C78" s="556" t="str">
        <f t="shared" si="4"/>
        <v/>
      </c>
      <c r="D78" s="557" t="str">
        <f t="shared" si="5"/>
        <v/>
      </c>
      <c r="E78" s="560"/>
      <c r="F78" s="559"/>
      <c r="G78" s="559" t="str">
        <f t="shared" si="6"/>
        <v/>
      </c>
      <c r="H78" s="559" t="str">
        <f t="shared" si="7"/>
        <v/>
      </c>
      <c r="I78" s="559" t="str">
        <f t="shared" si="8"/>
        <v/>
      </c>
    </row>
    <row r="79" spans="2:10">
      <c r="B79" s="555" t="str">
        <f t="shared" si="3"/>
        <v/>
      </c>
      <c r="C79" s="556" t="str">
        <f t="shared" si="4"/>
        <v/>
      </c>
      <c r="D79" s="557" t="str">
        <f t="shared" si="5"/>
        <v/>
      </c>
      <c r="E79" s="560"/>
      <c r="F79" s="559"/>
      <c r="G79" s="559" t="str">
        <f t="shared" si="6"/>
        <v/>
      </c>
      <c r="H79" s="559" t="str">
        <f t="shared" si="7"/>
        <v/>
      </c>
      <c r="I79" s="559" t="str">
        <f t="shared" si="8"/>
        <v/>
      </c>
    </row>
    <row r="80" spans="2:10">
      <c r="B80" s="555" t="str">
        <f t="shared" si="3"/>
        <v/>
      </c>
      <c r="C80" s="556" t="str">
        <f t="shared" si="4"/>
        <v/>
      </c>
      <c r="D80" s="557" t="str">
        <f t="shared" si="5"/>
        <v/>
      </c>
      <c r="E80" s="560"/>
      <c r="F80" s="559"/>
      <c r="G80" s="559" t="str">
        <f t="shared" si="6"/>
        <v/>
      </c>
      <c r="H80" s="559" t="str">
        <f t="shared" si="7"/>
        <v/>
      </c>
      <c r="I80" s="559" t="str">
        <f t="shared" si="8"/>
        <v/>
      </c>
    </row>
    <row r="81" spans="2:9">
      <c r="B81" s="555" t="str">
        <f t="shared" si="3"/>
        <v/>
      </c>
      <c r="C81" s="556" t="str">
        <f t="shared" si="4"/>
        <v/>
      </c>
      <c r="D81" s="557" t="str">
        <f t="shared" si="5"/>
        <v/>
      </c>
      <c r="E81" s="560"/>
      <c r="F81" s="559"/>
      <c r="G81" s="559" t="str">
        <f t="shared" si="6"/>
        <v/>
      </c>
      <c r="H81" s="559" t="str">
        <f t="shared" si="7"/>
        <v/>
      </c>
      <c r="I81" s="559" t="str">
        <f t="shared" si="8"/>
        <v/>
      </c>
    </row>
    <row r="82" spans="2:9">
      <c r="B82" s="555" t="str">
        <f t="shared" si="3"/>
        <v/>
      </c>
      <c r="C82" s="556" t="str">
        <f t="shared" si="4"/>
        <v/>
      </c>
      <c r="D82" s="557" t="str">
        <f t="shared" si="5"/>
        <v/>
      </c>
      <c r="E82" s="560"/>
      <c r="F82" s="559"/>
      <c r="G82" s="559" t="str">
        <f t="shared" si="6"/>
        <v/>
      </c>
      <c r="H82" s="559" t="str">
        <f t="shared" si="7"/>
        <v/>
      </c>
      <c r="I82" s="559" t="str">
        <f t="shared" si="8"/>
        <v/>
      </c>
    </row>
    <row r="83" spans="2:9">
      <c r="B83" s="555" t="str">
        <f t="shared" si="3"/>
        <v/>
      </c>
      <c r="C83" s="556" t="str">
        <f t="shared" si="4"/>
        <v/>
      </c>
      <c r="D83" s="557" t="str">
        <f t="shared" si="5"/>
        <v/>
      </c>
      <c r="E83" s="560"/>
      <c r="F83" s="559"/>
      <c r="G83" s="559" t="str">
        <f t="shared" si="6"/>
        <v/>
      </c>
      <c r="H83" s="559" t="str">
        <f t="shared" si="7"/>
        <v/>
      </c>
      <c r="I83" s="559" t="str">
        <f t="shared" si="8"/>
        <v/>
      </c>
    </row>
    <row r="84" spans="2:9">
      <c r="B84" s="555" t="str">
        <f t="shared" si="3"/>
        <v/>
      </c>
      <c r="C84" s="556" t="str">
        <f t="shared" si="4"/>
        <v/>
      </c>
      <c r="D84" s="557" t="str">
        <f t="shared" si="5"/>
        <v/>
      </c>
      <c r="E84" s="560"/>
      <c r="F84" s="559"/>
      <c r="G84" s="559" t="str">
        <f t="shared" si="6"/>
        <v/>
      </c>
      <c r="H84" s="559" t="str">
        <f t="shared" si="7"/>
        <v/>
      </c>
      <c r="I84" s="559" t="str">
        <f t="shared" si="8"/>
        <v/>
      </c>
    </row>
    <row r="85" spans="2:9">
      <c r="B85" s="555" t="str">
        <f t="shared" si="3"/>
        <v/>
      </c>
      <c r="C85" s="556" t="str">
        <f t="shared" si="4"/>
        <v/>
      </c>
      <c r="D85" s="557" t="str">
        <f t="shared" si="5"/>
        <v/>
      </c>
      <c r="E85" s="560"/>
      <c r="F85" s="559"/>
      <c r="G85" s="559" t="str">
        <f t="shared" si="6"/>
        <v/>
      </c>
      <c r="H85" s="559" t="str">
        <f t="shared" si="7"/>
        <v/>
      </c>
      <c r="I85" s="559" t="str">
        <f t="shared" si="8"/>
        <v/>
      </c>
    </row>
    <row r="86" spans="2:9">
      <c r="B86" s="555" t="str">
        <f t="shared" si="3"/>
        <v/>
      </c>
      <c r="C86" s="556" t="str">
        <f t="shared" si="4"/>
        <v/>
      </c>
      <c r="D86" s="557" t="str">
        <f t="shared" si="5"/>
        <v/>
      </c>
      <c r="E86" s="560"/>
      <c r="F86" s="559"/>
      <c r="G86" s="559" t="str">
        <f t="shared" si="6"/>
        <v/>
      </c>
      <c r="H86" s="559" t="str">
        <f t="shared" si="7"/>
        <v/>
      </c>
      <c r="I86" s="559" t="str">
        <f t="shared" si="8"/>
        <v/>
      </c>
    </row>
    <row r="87" spans="2:9">
      <c r="B87" s="555" t="str">
        <f t="shared" si="3"/>
        <v/>
      </c>
      <c r="C87" s="556" t="str">
        <f t="shared" si="4"/>
        <v/>
      </c>
      <c r="D87" s="557" t="str">
        <f t="shared" si="5"/>
        <v/>
      </c>
      <c r="E87" s="560"/>
      <c r="F87" s="559"/>
      <c r="G87" s="559" t="str">
        <f t="shared" si="6"/>
        <v/>
      </c>
      <c r="H87" s="559" t="str">
        <f t="shared" si="7"/>
        <v/>
      </c>
      <c r="I87" s="559" t="str">
        <f t="shared" si="8"/>
        <v/>
      </c>
    </row>
    <row r="88" spans="2:9">
      <c r="B88" s="555" t="str">
        <f t="shared" si="3"/>
        <v/>
      </c>
      <c r="C88" s="556" t="str">
        <f t="shared" si="4"/>
        <v/>
      </c>
      <c r="D88" s="557" t="str">
        <f t="shared" si="5"/>
        <v/>
      </c>
      <c r="E88" s="560"/>
      <c r="F88" s="559"/>
      <c r="G88" s="559" t="str">
        <f t="shared" si="6"/>
        <v/>
      </c>
      <c r="H88" s="559" t="str">
        <f t="shared" si="7"/>
        <v/>
      </c>
      <c r="I88" s="559" t="str">
        <f t="shared" si="8"/>
        <v/>
      </c>
    </row>
    <row r="89" spans="2:9">
      <c r="B89" s="555" t="str">
        <f t="shared" si="3"/>
        <v/>
      </c>
      <c r="C89" s="556" t="str">
        <f t="shared" si="4"/>
        <v/>
      </c>
      <c r="D89" s="557" t="str">
        <f t="shared" si="5"/>
        <v/>
      </c>
      <c r="E89" s="560"/>
      <c r="F89" s="559"/>
      <c r="G89" s="559" t="str">
        <f t="shared" si="6"/>
        <v/>
      </c>
      <c r="H89" s="559" t="str">
        <f t="shared" si="7"/>
        <v/>
      </c>
      <c r="I89" s="559" t="str">
        <f t="shared" si="8"/>
        <v/>
      </c>
    </row>
    <row r="90" spans="2:9">
      <c r="B90" s="555" t="str">
        <f t="shared" si="3"/>
        <v/>
      </c>
      <c r="C90" s="556" t="str">
        <f t="shared" si="4"/>
        <v/>
      </c>
      <c r="D90" s="557" t="str">
        <f t="shared" si="5"/>
        <v/>
      </c>
      <c r="E90" s="560"/>
      <c r="F90" s="559"/>
      <c r="G90" s="559" t="str">
        <f t="shared" si="6"/>
        <v/>
      </c>
      <c r="H90" s="559" t="str">
        <f t="shared" si="7"/>
        <v/>
      </c>
      <c r="I90" s="559" t="str">
        <f t="shared" si="8"/>
        <v/>
      </c>
    </row>
    <row r="91" spans="2:9">
      <c r="B91" s="555"/>
      <c r="C91" s="556"/>
      <c r="D91" s="557"/>
      <c r="E91" s="560"/>
      <c r="F91" s="559"/>
      <c r="G91" s="559"/>
      <c r="H91" s="559"/>
      <c r="I91" s="559"/>
    </row>
    <row r="92" spans="2:9" ht="15.75">
      <c r="B92" s="555"/>
      <c r="C92" s="556"/>
      <c r="D92" s="596" t="s">
        <v>718</v>
      </c>
      <c r="E92" s="597">
        <f>SUM(D28:D56)</f>
        <v>0</v>
      </c>
      <c r="F92" s="559"/>
      <c r="G92" s="559"/>
      <c r="H92" s="559"/>
      <c r="I92" s="559"/>
    </row>
    <row r="93" spans="2:9">
      <c r="B93" s="555"/>
      <c r="C93" s="556"/>
      <c r="D93" s="557"/>
      <c r="E93" s="560"/>
      <c r="F93" s="559"/>
      <c r="G93" s="559"/>
      <c r="H93" s="559"/>
      <c r="I93" s="559"/>
    </row>
    <row r="94" spans="2:9">
      <c r="B94" s="555"/>
      <c r="C94" s="556"/>
      <c r="D94" s="557"/>
      <c r="E94" s="560"/>
      <c r="F94" s="559"/>
      <c r="G94" s="559"/>
      <c r="H94" s="559"/>
      <c r="I94" s="559"/>
    </row>
    <row r="95" spans="2:9">
      <c r="B95" s="555"/>
      <c r="C95" s="556"/>
      <c r="D95" s="557"/>
      <c r="E95" s="560"/>
      <c r="F95" s="559"/>
      <c r="G95" s="559"/>
      <c r="H95" s="559"/>
      <c r="I95" s="559"/>
    </row>
    <row r="96" spans="2:9">
      <c r="B96" s="555"/>
      <c r="C96" s="556"/>
      <c r="D96" s="557"/>
      <c r="E96" s="560"/>
      <c r="F96" s="559"/>
      <c r="G96" s="559"/>
      <c r="H96" s="559"/>
      <c r="I96" s="559"/>
    </row>
    <row r="97" spans="2:9">
      <c r="B97" s="555"/>
      <c r="C97" s="556"/>
      <c r="D97" s="557"/>
      <c r="E97" s="560"/>
      <c r="F97" s="559"/>
      <c r="G97" s="559"/>
      <c r="H97" s="559"/>
      <c r="I97" s="559"/>
    </row>
    <row r="98" spans="2:9">
      <c r="B98" s="555" t="str">
        <f t="shared" si="3"/>
        <v/>
      </c>
      <c r="C98" s="556" t="str">
        <f t="shared" si="4"/>
        <v/>
      </c>
      <c r="D98" s="557" t="str">
        <f t="shared" si="5"/>
        <v/>
      </c>
      <c r="E98" s="560"/>
      <c r="F98" s="559"/>
      <c r="G98" s="559" t="str">
        <f t="shared" si="6"/>
        <v/>
      </c>
      <c r="H98" s="559" t="str">
        <f t="shared" si="7"/>
        <v/>
      </c>
      <c r="I98" s="559" t="str">
        <f t="shared" si="8"/>
        <v/>
      </c>
    </row>
    <row r="99" spans="2:9">
      <c r="B99" s="555" t="str">
        <f t="shared" si="3"/>
        <v/>
      </c>
      <c r="C99" s="556" t="str">
        <f t="shared" si="4"/>
        <v/>
      </c>
      <c r="D99" s="557" t="str">
        <f t="shared" si="5"/>
        <v/>
      </c>
      <c r="E99" s="560"/>
      <c r="F99" s="559"/>
      <c r="G99" s="559" t="str">
        <f t="shared" si="6"/>
        <v/>
      </c>
      <c r="H99" s="559" t="str">
        <f t="shared" si="7"/>
        <v/>
      </c>
      <c r="I99" s="559" t="str">
        <f t="shared" si="8"/>
        <v/>
      </c>
    </row>
    <row r="100" spans="2:9">
      <c r="B100" s="555" t="str">
        <f t="shared" si="3"/>
        <v/>
      </c>
      <c r="C100" s="556" t="str">
        <f t="shared" si="4"/>
        <v/>
      </c>
      <c r="D100" s="557" t="str">
        <f t="shared" si="5"/>
        <v/>
      </c>
      <c r="E100" s="560"/>
      <c r="F100" s="559"/>
      <c r="G100" s="559" t="str">
        <f t="shared" si="6"/>
        <v/>
      </c>
      <c r="H100" s="559" t="str">
        <f t="shared" si="7"/>
        <v/>
      </c>
      <c r="I100" s="559" t="str">
        <f t="shared" si="8"/>
        <v/>
      </c>
    </row>
    <row r="101" spans="2:9">
      <c r="B101" s="555" t="str">
        <f t="shared" si="3"/>
        <v/>
      </c>
      <c r="C101" s="556" t="str">
        <f t="shared" si="4"/>
        <v/>
      </c>
      <c r="D101" s="557" t="str">
        <f t="shared" si="5"/>
        <v/>
      </c>
      <c r="E101" s="560"/>
      <c r="F101" s="559"/>
      <c r="G101" s="559" t="str">
        <f t="shared" si="6"/>
        <v/>
      </c>
      <c r="H101" s="559" t="str">
        <f t="shared" si="7"/>
        <v/>
      </c>
      <c r="I101" s="559" t="str">
        <f t="shared" si="8"/>
        <v/>
      </c>
    </row>
    <row r="102" spans="2:9">
      <c r="B102" s="555" t="str">
        <f t="shared" si="3"/>
        <v/>
      </c>
      <c r="C102" s="556" t="str">
        <f t="shared" si="4"/>
        <v/>
      </c>
      <c r="D102" s="557" t="str">
        <f t="shared" si="5"/>
        <v/>
      </c>
      <c r="E102" s="560"/>
      <c r="F102" s="559"/>
      <c r="G102" s="559" t="str">
        <f t="shared" si="6"/>
        <v/>
      </c>
      <c r="H102" s="559" t="str">
        <f t="shared" si="7"/>
        <v/>
      </c>
      <c r="I102" s="559" t="str">
        <f t="shared" si="8"/>
        <v/>
      </c>
    </row>
    <row r="103" spans="2:9">
      <c r="B103" s="555" t="str">
        <f t="shared" si="3"/>
        <v/>
      </c>
      <c r="C103" s="556" t="str">
        <f t="shared" si="4"/>
        <v/>
      </c>
      <c r="D103" s="557" t="str">
        <f t="shared" si="5"/>
        <v/>
      </c>
      <c r="E103" s="560"/>
      <c r="F103" s="559"/>
      <c r="G103" s="559" t="str">
        <f t="shared" si="6"/>
        <v/>
      </c>
      <c r="H103" s="559" t="str">
        <f t="shared" si="7"/>
        <v/>
      </c>
      <c r="I103" s="559" t="str">
        <f t="shared" si="8"/>
        <v/>
      </c>
    </row>
    <row r="104" spans="2:9">
      <c r="B104" s="555" t="str">
        <f t="shared" si="3"/>
        <v/>
      </c>
      <c r="C104" s="556" t="str">
        <f t="shared" si="4"/>
        <v/>
      </c>
      <c r="D104" s="557" t="str">
        <f t="shared" si="5"/>
        <v/>
      </c>
      <c r="E104" s="560"/>
      <c r="F104" s="559"/>
      <c r="G104" s="559" t="str">
        <f t="shared" si="6"/>
        <v/>
      </c>
      <c r="H104" s="559" t="str">
        <f t="shared" si="7"/>
        <v/>
      </c>
      <c r="I104" s="559" t="str">
        <f t="shared" si="8"/>
        <v/>
      </c>
    </row>
    <row r="105" spans="2:9">
      <c r="B105" s="555" t="str">
        <f t="shared" si="3"/>
        <v/>
      </c>
      <c r="C105" s="556" t="str">
        <f t="shared" si="4"/>
        <v/>
      </c>
      <c r="D105" s="557" t="str">
        <f t="shared" si="5"/>
        <v/>
      </c>
      <c r="E105" s="560"/>
      <c r="F105" s="559"/>
      <c r="G105" s="559" t="str">
        <f t="shared" si="6"/>
        <v/>
      </c>
      <c r="H105" s="559" t="str">
        <f t="shared" si="7"/>
        <v/>
      </c>
      <c r="I105" s="559" t="str">
        <f t="shared" si="8"/>
        <v/>
      </c>
    </row>
    <row r="106" spans="2:9">
      <c r="B106" s="555" t="str">
        <f t="shared" si="3"/>
        <v/>
      </c>
      <c r="C106" s="556" t="str">
        <f t="shared" si="4"/>
        <v/>
      </c>
      <c r="D106" s="557" t="str">
        <f t="shared" si="5"/>
        <v/>
      </c>
      <c r="E106" s="560"/>
      <c r="F106" s="559"/>
      <c r="G106" s="559" t="str">
        <f t="shared" si="6"/>
        <v/>
      </c>
      <c r="H106" s="559" t="str">
        <f t="shared" si="7"/>
        <v/>
      </c>
      <c r="I106" s="559" t="str">
        <f t="shared" si="8"/>
        <v/>
      </c>
    </row>
    <row r="107" spans="2:9">
      <c r="B107" s="555" t="str">
        <f t="shared" si="3"/>
        <v/>
      </c>
      <c r="C107" s="556" t="str">
        <f t="shared" si="4"/>
        <v/>
      </c>
      <c r="D107" s="557" t="str">
        <f t="shared" si="5"/>
        <v/>
      </c>
      <c r="E107" s="560"/>
      <c r="F107" s="559"/>
      <c r="G107" s="559" t="str">
        <f t="shared" si="6"/>
        <v/>
      </c>
      <c r="H107" s="559" t="str">
        <f t="shared" si="7"/>
        <v/>
      </c>
      <c r="I107" s="559" t="str">
        <f t="shared" si="8"/>
        <v/>
      </c>
    </row>
    <row r="108" spans="2:9">
      <c r="B108" s="555" t="str">
        <f t="shared" si="3"/>
        <v/>
      </c>
      <c r="C108" s="556" t="str">
        <f t="shared" si="4"/>
        <v/>
      </c>
      <c r="D108" s="557" t="str">
        <f t="shared" si="5"/>
        <v/>
      </c>
      <c r="E108" s="560"/>
      <c r="F108" s="559"/>
      <c r="G108" s="559" t="str">
        <f t="shared" si="6"/>
        <v/>
      </c>
      <c r="H108" s="559" t="str">
        <f t="shared" si="7"/>
        <v/>
      </c>
      <c r="I108" s="559" t="str">
        <f t="shared" si="8"/>
        <v/>
      </c>
    </row>
    <row r="109" spans="2:9">
      <c r="B109" s="555" t="str">
        <f t="shared" si="3"/>
        <v/>
      </c>
      <c r="C109" s="556" t="str">
        <f t="shared" si="4"/>
        <v/>
      </c>
      <c r="D109" s="557" t="str">
        <f t="shared" si="5"/>
        <v/>
      </c>
      <c r="E109" s="560"/>
      <c r="F109" s="559"/>
      <c r="G109" s="559" t="str">
        <f t="shared" si="6"/>
        <v/>
      </c>
      <c r="H109" s="559" t="str">
        <f t="shared" si="7"/>
        <v/>
      </c>
      <c r="I109" s="559" t="str">
        <f t="shared" si="8"/>
        <v/>
      </c>
    </row>
    <row r="110" spans="2:9">
      <c r="B110" s="555" t="str">
        <f t="shared" si="3"/>
        <v/>
      </c>
      <c r="C110" s="556" t="str">
        <f t="shared" si="4"/>
        <v/>
      </c>
      <c r="D110" s="557" t="str">
        <f t="shared" si="5"/>
        <v/>
      </c>
      <c r="E110" s="560"/>
      <c r="F110" s="559"/>
      <c r="G110" s="559" t="str">
        <f t="shared" si="6"/>
        <v/>
      </c>
      <c r="H110" s="559" t="str">
        <f t="shared" si="7"/>
        <v/>
      </c>
      <c r="I110" s="559" t="str">
        <f t="shared" si="8"/>
        <v/>
      </c>
    </row>
    <row r="111" spans="2:9">
      <c r="B111" s="555" t="str">
        <f t="shared" si="3"/>
        <v/>
      </c>
      <c r="C111" s="556" t="str">
        <f t="shared" si="4"/>
        <v/>
      </c>
      <c r="D111" s="557" t="str">
        <f t="shared" si="5"/>
        <v/>
      </c>
      <c r="E111" s="560"/>
      <c r="F111" s="559"/>
      <c r="G111" s="559" t="str">
        <f t="shared" si="6"/>
        <v/>
      </c>
      <c r="H111" s="559" t="str">
        <f t="shared" si="7"/>
        <v/>
      </c>
      <c r="I111" s="559" t="str">
        <f t="shared" si="8"/>
        <v/>
      </c>
    </row>
    <row r="112" spans="2:9">
      <c r="B112" s="555" t="str">
        <f t="shared" si="3"/>
        <v/>
      </c>
      <c r="C112" s="556" t="str">
        <f t="shared" si="4"/>
        <v/>
      </c>
      <c r="D112" s="557" t="str">
        <f t="shared" si="5"/>
        <v/>
      </c>
      <c r="E112" s="560"/>
      <c r="F112" s="559"/>
      <c r="G112" s="559" t="str">
        <f t="shared" si="6"/>
        <v/>
      </c>
      <c r="H112" s="559" t="str">
        <f t="shared" si="7"/>
        <v/>
      </c>
      <c r="I112" s="559" t="str">
        <f t="shared" si="8"/>
        <v/>
      </c>
    </row>
    <row r="113" spans="2:9">
      <c r="B113" s="555" t="str">
        <f t="shared" si="3"/>
        <v/>
      </c>
      <c r="C113" s="556" t="str">
        <f t="shared" si="4"/>
        <v/>
      </c>
      <c r="D113" s="557" t="str">
        <f t="shared" si="5"/>
        <v/>
      </c>
      <c r="E113" s="560"/>
      <c r="F113" s="559"/>
      <c r="G113" s="559" t="str">
        <f t="shared" si="6"/>
        <v/>
      </c>
      <c r="H113" s="559" t="str">
        <f t="shared" si="7"/>
        <v/>
      </c>
      <c r="I113" s="559" t="str">
        <f t="shared" si="8"/>
        <v/>
      </c>
    </row>
    <row r="114" spans="2:9">
      <c r="B114" s="555" t="str">
        <f t="shared" si="3"/>
        <v/>
      </c>
      <c r="C114" s="556" t="str">
        <f t="shared" si="4"/>
        <v/>
      </c>
      <c r="D114" s="557" t="str">
        <f t="shared" si="5"/>
        <v/>
      </c>
      <c r="E114" s="560"/>
      <c r="F114" s="559"/>
      <c r="G114" s="559" t="str">
        <f t="shared" si="6"/>
        <v/>
      </c>
      <c r="H114" s="559" t="str">
        <f t="shared" si="7"/>
        <v/>
      </c>
      <c r="I114" s="559" t="str">
        <f t="shared" si="8"/>
        <v/>
      </c>
    </row>
    <row r="115" spans="2:9">
      <c r="B115" s="555" t="str">
        <f t="shared" si="3"/>
        <v/>
      </c>
      <c r="C115" s="556" t="str">
        <f t="shared" si="4"/>
        <v/>
      </c>
      <c r="D115" s="557" t="str">
        <f t="shared" si="5"/>
        <v/>
      </c>
      <c r="E115" s="560"/>
      <c r="F115" s="559"/>
      <c r="G115" s="559" t="str">
        <f t="shared" si="6"/>
        <v/>
      </c>
      <c r="H115" s="559" t="str">
        <f t="shared" si="7"/>
        <v/>
      </c>
      <c r="I115" s="559" t="str">
        <f t="shared" si="8"/>
        <v/>
      </c>
    </row>
    <row r="116" spans="2:9">
      <c r="B116" s="555" t="str">
        <f t="shared" si="3"/>
        <v/>
      </c>
      <c r="C116" s="556" t="str">
        <f t="shared" si="4"/>
        <v/>
      </c>
      <c r="D116" s="557" t="str">
        <f t="shared" si="5"/>
        <v/>
      </c>
      <c r="E116" s="560"/>
      <c r="F116" s="559"/>
      <c r="G116" s="559" t="str">
        <f t="shared" si="6"/>
        <v/>
      </c>
      <c r="H116" s="559" t="str">
        <f t="shared" si="7"/>
        <v/>
      </c>
      <c r="I116" s="559" t="str">
        <f t="shared" si="8"/>
        <v/>
      </c>
    </row>
    <row r="117" spans="2:9">
      <c r="B117" s="555" t="str">
        <f t="shared" si="3"/>
        <v/>
      </c>
      <c r="C117" s="556" t="str">
        <f t="shared" si="4"/>
        <v/>
      </c>
      <c r="D117" s="557" t="str">
        <f t="shared" si="5"/>
        <v/>
      </c>
      <c r="E117" s="560"/>
      <c r="F117" s="559"/>
      <c r="G117" s="559" t="str">
        <f t="shared" si="6"/>
        <v/>
      </c>
      <c r="H117" s="559" t="str">
        <f t="shared" si="7"/>
        <v/>
      </c>
      <c r="I117" s="559" t="str">
        <f t="shared" si="8"/>
        <v/>
      </c>
    </row>
    <row r="118" spans="2:9">
      <c r="B118" s="555" t="str">
        <f t="shared" si="3"/>
        <v/>
      </c>
      <c r="C118" s="556" t="str">
        <f t="shared" si="4"/>
        <v/>
      </c>
      <c r="D118" s="557" t="str">
        <f t="shared" si="5"/>
        <v/>
      </c>
      <c r="E118" s="560"/>
      <c r="F118" s="559"/>
      <c r="G118" s="559" t="str">
        <f t="shared" si="6"/>
        <v/>
      </c>
      <c r="H118" s="559" t="str">
        <f t="shared" si="7"/>
        <v/>
      </c>
      <c r="I118" s="559" t="str">
        <f t="shared" si="8"/>
        <v/>
      </c>
    </row>
    <row r="119" spans="2:9">
      <c r="B119" s="555" t="str">
        <f t="shared" si="3"/>
        <v/>
      </c>
      <c r="C119" s="556" t="str">
        <f t="shared" si="4"/>
        <v/>
      </c>
      <c r="D119" s="557" t="str">
        <f t="shared" si="5"/>
        <v/>
      </c>
      <c r="E119" s="560"/>
      <c r="F119" s="559"/>
      <c r="G119" s="559" t="str">
        <f t="shared" si="6"/>
        <v/>
      </c>
      <c r="H119" s="559" t="str">
        <f t="shared" si="7"/>
        <v/>
      </c>
      <c r="I119" s="559" t="str">
        <f t="shared" si="8"/>
        <v/>
      </c>
    </row>
    <row r="120" spans="2:9">
      <c r="B120" s="555" t="str">
        <f t="shared" si="3"/>
        <v/>
      </c>
      <c r="C120" s="556" t="str">
        <f t="shared" si="4"/>
        <v/>
      </c>
      <c r="D120" s="557" t="str">
        <f t="shared" si="5"/>
        <v/>
      </c>
      <c r="E120" s="560"/>
      <c r="F120" s="559"/>
      <c r="G120" s="559" t="str">
        <f t="shared" si="6"/>
        <v/>
      </c>
      <c r="H120" s="559" t="str">
        <f t="shared" si="7"/>
        <v/>
      </c>
      <c r="I120" s="559" t="str">
        <f t="shared" si="8"/>
        <v/>
      </c>
    </row>
    <row r="121" spans="2:9">
      <c r="B121" s="555" t="str">
        <f t="shared" si="3"/>
        <v/>
      </c>
      <c r="C121" s="556" t="str">
        <f t="shared" si="4"/>
        <v/>
      </c>
      <c r="D121" s="557" t="str">
        <f t="shared" si="5"/>
        <v/>
      </c>
      <c r="E121" s="560"/>
      <c r="F121" s="559"/>
      <c r="G121" s="559" t="str">
        <f t="shared" si="6"/>
        <v/>
      </c>
      <c r="H121" s="559" t="str">
        <f t="shared" si="7"/>
        <v/>
      </c>
      <c r="I121" s="559" t="str">
        <f t="shared" si="8"/>
        <v/>
      </c>
    </row>
    <row r="122" spans="2:9">
      <c r="B122" s="555" t="str">
        <f t="shared" si="3"/>
        <v/>
      </c>
      <c r="C122" s="556" t="str">
        <f t="shared" si="4"/>
        <v/>
      </c>
      <c r="D122" s="557" t="str">
        <f t="shared" si="5"/>
        <v/>
      </c>
      <c r="E122" s="560"/>
      <c r="F122" s="559"/>
      <c r="G122" s="559" t="str">
        <f t="shared" si="6"/>
        <v/>
      </c>
      <c r="H122" s="559" t="str">
        <f t="shared" si="7"/>
        <v/>
      </c>
      <c r="I122" s="559" t="str">
        <f t="shared" si="8"/>
        <v/>
      </c>
    </row>
    <row r="123" spans="2:9">
      <c r="B123" s="555" t="str">
        <f t="shared" si="3"/>
        <v/>
      </c>
      <c r="C123" s="556" t="str">
        <f t="shared" si="4"/>
        <v/>
      </c>
      <c r="D123" s="557" t="str">
        <f t="shared" si="5"/>
        <v/>
      </c>
      <c r="E123" s="560"/>
      <c r="F123" s="559"/>
      <c r="G123" s="559" t="str">
        <f t="shared" si="6"/>
        <v/>
      </c>
      <c r="H123" s="559" t="str">
        <f t="shared" si="7"/>
        <v/>
      </c>
      <c r="I123" s="559" t="str">
        <f t="shared" si="8"/>
        <v/>
      </c>
    </row>
    <row r="124" spans="2:9">
      <c r="B124" s="555" t="str">
        <f t="shared" si="3"/>
        <v/>
      </c>
      <c r="C124" s="556" t="str">
        <f t="shared" si="4"/>
        <v/>
      </c>
      <c r="D124" s="557" t="str">
        <f t="shared" si="5"/>
        <v/>
      </c>
      <c r="E124" s="560"/>
      <c r="F124" s="559"/>
      <c r="G124" s="559" t="str">
        <f t="shared" si="6"/>
        <v/>
      </c>
      <c r="H124" s="559" t="str">
        <f t="shared" si="7"/>
        <v/>
      </c>
      <c r="I124" s="559" t="str">
        <f t="shared" si="8"/>
        <v/>
      </c>
    </row>
    <row r="125" spans="2:9">
      <c r="B125" s="555" t="str">
        <f t="shared" ref="B125:B188" si="9">IF(I124="","",IF(roundOpt,IF(OR(B124&gt;=nper,ROUND(I124,2)&lt;=0),"",B124+1),IF(OR(B124&gt;=nper,I124&lt;=0),"",B124+1)))</f>
        <v/>
      </c>
      <c r="C125" s="556" t="str">
        <f t="shared" ref="C125:C188" si="10">IF(B125="","",IF(OR(periods_per_year=26,periods_per_year=52),IF(periods_per_year=26,IF(B125=1,fpdate,C124+14),IF(periods_per_year=52,IF(B125=1,fpdate,C124+7),"n/a")),IF(periods_per_year=24,DATE(YEAR(fpdate),MONTH(fpdate)+(B125-1)/2+IF(AND(DAY(fpdate)&gt;=15,MOD(B125,2)=0),1,0),IF(MOD(B125,2)=0,IF(DAY(fpdate)&gt;=15,DAY(fpdate)-14,DAY(fpdate)+14),DAY(fpdate))),IF(DAY(DATE(YEAR(fpdate),MONTH(fpdate)+(B125-1)*months_per_period,DAY(fpdate)))&lt;&gt;DAY(fpdate),DATE(YEAR(fpdate),MONTH(fpdate)+(B125-1)*months_per_period+1,0),DATE(YEAR(fpdate),MONTH(fpdate)+(B125-1)*months_per_period,DAY(fpdate))))))</f>
        <v/>
      </c>
      <c r="D125" s="557" t="str">
        <f t="shared" ref="D125:D188" si="11">IF(B125="","",IF(roundOpt,IF(OR(B125=nper,payment&gt;ROUND((1+rate)*I124,2)),ROUND((1+rate)*I124,2),payment),IF(OR(B125=nper,payment&gt;(1+rate)*I124),(1+rate)*I124,payment)))</f>
        <v/>
      </c>
      <c r="E125" s="560"/>
      <c r="F125" s="559"/>
      <c r="G125" s="559" t="str">
        <f t="shared" ref="G125:G188" si="12">IF(B125="","",IF(AND(B125=1,pmtType=1),0,IF(roundOpt,ROUND(rate*I124,2),rate*I124)))</f>
        <v/>
      </c>
      <c r="H125" s="559" t="str">
        <f t="shared" ref="H125:H188" si="13">IF(B125="","",D125-G125+E125)</f>
        <v/>
      </c>
      <c r="I125" s="559" t="str">
        <f t="shared" ref="I125:I188" si="14">IF(B125="","",I124-H125)</f>
        <v/>
      </c>
    </row>
    <row r="126" spans="2:9">
      <c r="B126" s="555" t="str">
        <f t="shared" si="9"/>
        <v/>
      </c>
      <c r="C126" s="556" t="str">
        <f t="shared" si="10"/>
        <v/>
      </c>
      <c r="D126" s="557" t="str">
        <f t="shared" si="11"/>
        <v/>
      </c>
      <c r="E126" s="560"/>
      <c r="F126" s="559"/>
      <c r="G126" s="559" t="str">
        <f t="shared" si="12"/>
        <v/>
      </c>
      <c r="H126" s="559" t="str">
        <f t="shared" si="13"/>
        <v/>
      </c>
      <c r="I126" s="559" t="str">
        <f t="shared" si="14"/>
        <v/>
      </c>
    </row>
    <row r="127" spans="2:9">
      <c r="B127" s="555" t="str">
        <f t="shared" si="9"/>
        <v/>
      </c>
      <c r="C127" s="556" t="str">
        <f t="shared" si="10"/>
        <v/>
      </c>
      <c r="D127" s="557" t="str">
        <f t="shared" si="11"/>
        <v/>
      </c>
      <c r="E127" s="560"/>
      <c r="F127" s="559"/>
      <c r="G127" s="559" t="str">
        <f t="shared" si="12"/>
        <v/>
      </c>
      <c r="H127" s="559" t="str">
        <f t="shared" si="13"/>
        <v/>
      </c>
      <c r="I127" s="559" t="str">
        <f t="shared" si="14"/>
        <v/>
      </c>
    </row>
    <row r="128" spans="2:9">
      <c r="B128" s="555" t="str">
        <f t="shared" si="9"/>
        <v/>
      </c>
      <c r="C128" s="556" t="str">
        <f t="shared" si="10"/>
        <v/>
      </c>
      <c r="D128" s="557" t="str">
        <f t="shared" si="11"/>
        <v/>
      </c>
      <c r="E128" s="560"/>
      <c r="F128" s="559"/>
      <c r="G128" s="559" t="str">
        <f t="shared" si="12"/>
        <v/>
      </c>
      <c r="H128" s="559" t="str">
        <f t="shared" si="13"/>
        <v/>
      </c>
      <c r="I128" s="559" t="str">
        <f t="shared" si="14"/>
        <v/>
      </c>
    </row>
    <row r="129" spans="2:9">
      <c r="B129" s="555" t="str">
        <f t="shared" si="9"/>
        <v/>
      </c>
      <c r="C129" s="556" t="str">
        <f t="shared" si="10"/>
        <v/>
      </c>
      <c r="D129" s="557" t="str">
        <f t="shared" si="11"/>
        <v/>
      </c>
      <c r="E129" s="560"/>
      <c r="F129" s="559"/>
      <c r="G129" s="559" t="str">
        <f t="shared" si="12"/>
        <v/>
      </c>
      <c r="H129" s="559" t="str">
        <f t="shared" si="13"/>
        <v/>
      </c>
      <c r="I129" s="559" t="str">
        <f t="shared" si="14"/>
        <v/>
      </c>
    </row>
    <row r="130" spans="2:9">
      <c r="B130" s="555" t="str">
        <f t="shared" si="9"/>
        <v/>
      </c>
      <c r="C130" s="556" t="str">
        <f t="shared" si="10"/>
        <v/>
      </c>
      <c r="D130" s="557" t="str">
        <f t="shared" si="11"/>
        <v/>
      </c>
      <c r="E130" s="560"/>
      <c r="F130" s="559"/>
      <c r="G130" s="559" t="str">
        <f t="shared" si="12"/>
        <v/>
      </c>
      <c r="H130" s="559" t="str">
        <f t="shared" si="13"/>
        <v/>
      </c>
      <c r="I130" s="559" t="str">
        <f t="shared" si="14"/>
        <v/>
      </c>
    </row>
    <row r="131" spans="2:9">
      <c r="B131" s="555" t="str">
        <f t="shared" si="9"/>
        <v/>
      </c>
      <c r="C131" s="556" t="str">
        <f t="shared" si="10"/>
        <v/>
      </c>
      <c r="D131" s="557" t="str">
        <f t="shared" si="11"/>
        <v/>
      </c>
      <c r="E131" s="560"/>
      <c r="F131" s="559"/>
      <c r="G131" s="559" t="str">
        <f t="shared" si="12"/>
        <v/>
      </c>
      <c r="H131" s="559" t="str">
        <f t="shared" si="13"/>
        <v/>
      </c>
      <c r="I131" s="559" t="str">
        <f t="shared" si="14"/>
        <v/>
      </c>
    </row>
    <row r="132" spans="2:9">
      <c r="B132" s="555" t="str">
        <f t="shared" si="9"/>
        <v/>
      </c>
      <c r="C132" s="556" t="str">
        <f t="shared" si="10"/>
        <v/>
      </c>
      <c r="D132" s="557" t="str">
        <f t="shared" si="11"/>
        <v/>
      </c>
      <c r="E132" s="560"/>
      <c r="F132" s="559"/>
      <c r="G132" s="559" t="str">
        <f t="shared" si="12"/>
        <v/>
      </c>
      <c r="H132" s="559" t="str">
        <f t="shared" si="13"/>
        <v/>
      </c>
      <c r="I132" s="559" t="str">
        <f t="shared" si="14"/>
        <v/>
      </c>
    </row>
    <row r="133" spans="2:9">
      <c r="B133" s="555" t="str">
        <f t="shared" si="9"/>
        <v/>
      </c>
      <c r="C133" s="556" t="str">
        <f t="shared" si="10"/>
        <v/>
      </c>
      <c r="D133" s="557" t="str">
        <f t="shared" si="11"/>
        <v/>
      </c>
      <c r="E133" s="560"/>
      <c r="F133" s="559"/>
      <c r="G133" s="559" t="str">
        <f t="shared" si="12"/>
        <v/>
      </c>
      <c r="H133" s="559" t="str">
        <f t="shared" si="13"/>
        <v/>
      </c>
      <c r="I133" s="559" t="str">
        <f t="shared" si="14"/>
        <v/>
      </c>
    </row>
    <row r="134" spans="2:9">
      <c r="B134" s="555" t="str">
        <f t="shared" si="9"/>
        <v/>
      </c>
      <c r="C134" s="556" t="str">
        <f t="shared" si="10"/>
        <v/>
      </c>
      <c r="D134" s="557" t="str">
        <f t="shared" si="11"/>
        <v/>
      </c>
      <c r="E134" s="560"/>
      <c r="F134" s="559"/>
      <c r="G134" s="559" t="str">
        <f t="shared" si="12"/>
        <v/>
      </c>
      <c r="H134" s="559" t="str">
        <f t="shared" si="13"/>
        <v/>
      </c>
      <c r="I134" s="559" t="str">
        <f t="shared" si="14"/>
        <v/>
      </c>
    </row>
    <row r="135" spans="2:9">
      <c r="B135" s="555" t="str">
        <f t="shared" si="9"/>
        <v/>
      </c>
      <c r="C135" s="556" t="str">
        <f t="shared" si="10"/>
        <v/>
      </c>
      <c r="D135" s="557" t="str">
        <f t="shared" si="11"/>
        <v/>
      </c>
      <c r="E135" s="560"/>
      <c r="F135" s="559"/>
      <c r="G135" s="559" t="str">
        <f t="shared" si="12"/>
        <v/>
      </c>
      <c r="H135" s="559" t="str">
        <f t="shared" si="13"/>
        <v/>
      </c>
      <c r="I135" s="559" t="str">
        <f t="shared" si="14"/>
        <v/>
      </c>
    </row>
    <row r="136" spans="2:9">
      <c r="B136" s="555" t="str">
        <f t="shared" si="9"/>
        <v/>
      </c>
      <c r="C136" s="556" t="str">
        <f t="shared" si="10"/>
        <v/>
      </c>
      <c r="D136" s="557" t="str">
        <f t="shared" si="11"/>
        <v/>
      </c>
      <c r="E136" s="560"/>
      <c r="F136" s="559"/>
      <c r="G136" s="559" t="str">
        <f t="shared" si="12"/>
        <v/>
      </c>
      <c r="H136" s="559" t="str">
        <f t="shared" si="13"/>
        <v/>
      </c>
      <c r="I136" s="559" t="str">
        <f t="shared" si="14"/>
        <v/>
      </c>
    </row>
    <row r="137" spans="2:9">
      <c r="B137" s="555" t="str">
        <f t="shared" si="9"/>
        <v/>
      </c>
      <c r="C137" s="556" t="str">
        <f t="shared" si="10"/>
        <v/>
      </c>
      <c r="D137" s="557" t="str">
        <f t="shared" si="11"/>
        <v/>
      </c>
      <c r="E137" s="560"/>
      <c r="F137" s="559"/>
      <c r="G137" s="559" t="str">
        <f t="shared" si="12"/>
        <v/>
      </c>
      <c r="H137" s="559" t="str">
        <f t="shared" si="13"/>
        <v/>
      </c>
      <c r="I137" s="559" t="str">
        <f t="shared" si="14"/>
        <v/>
      </c>
    </row>
    <row r="138" spans="2:9">
      <c r="B138" s="555" t="str">
        <f t="shared" si="9"/>
        <v/>
      </c>
      <c r="C138" s="556" t="str">
        <f t="shared" si="10"/>
        <v/>
      </c>
      <c r="D138" s="557" t="str">
        <f t="shared" si="11"/>
        <v/>
      </c>
      <c r="E138" s="560"/>
      <c r="F138" s="559"/>
      <c r="G138" s="559" t="str">
        <f t="shared" si="12"/>
        <v/>
      </c>
      <c r="H138" s="559" t="str">
        <f t="shared" si="13"/>
        <v/>
      </c>
      <c r="I138" s="559" t="str">
        <f t="shared" si="14"/>
        <v/>
      </c>
    </row>
    <row r="139" spans="2:9">
      <c r="B139" s="555" t="str">
        <f t="shared" si="9"/>
        <v/>
      </c>
      <c r="C139" s="556" t="str">
        <f t="shared" si="10"/>
        <v/>
      </c>
      <c r="D139" s="557" t="str">
        <f t="shared" si="11"/>
        <v/>
      </c>
      <c r="E139" s="560"/>
      <c r="F139" s="559"/>
      <c r="G139" s="559" t="str">
        <f t="shared" si="12"/>
        <v/>
      </c>
      <c r="H139" s="559" t="str">
        <f t="shared" si="13"/>
        <v/>
      </c>
      <c r="I139" s="559" t="str">
        <f t="shared" si="14"/>
        <v/>
      </c>
    </row>
    <row r="140" spans="2:9">
      <c r="B140" s="555" t="str">
        <f t="shared" si="9"/>
        <v/>
      </c>
      <c r="C140" s="556" t="str">
        <f t="shared" si="10"/>
        <v/>
      </c>
      <c r="D140" s="557" t="str">
        <f t="shared" si="11"/>
        <v/>
      </c>
      <c r="E140" s="560"/>
      <c r="F140" s="559"/>
      <c r="G140" s="559" t="str">
        <f t="shared" si="12"/>
        <v/>
      </c>
      <c r="H140" s="559" t="str">
        <f t="shared" si="13"/>
        <v/>
      </c>
      <c r="I140" s="559" t="str">
        <f t="shared" si="14"/>
        <v/>
      </c>
    </row>
    <row r="141" spans="2:9">
      <c r="B141" s="555" t="str">
        <f t="shared" si="9"/>
        <v/>
      </c>
      <c r="C141" s="556" t="str">
        <f t="shared" si="10"/>
        <v/>
      </c>
      <c r="D141" s="557" t="str">
        <f t="shared" si="11"/>
        <v/>
      </c>
      <c r="E141" s="560"/>
      <c r="F141" s="559"/>
      <c r="G141" s="559" t="str">
        <f t="shared" si="12"/>
        <v/>
      </c>
      <c r="H141" s="559" t="str">
        <f t="shared" si="13"/>
        <v/>
      </c>
      <c r="I141" s="559" t="str">
        <f t="shared" si="14"/>
        <v/>
      </c>
    </row>
    <row r="142" spans="2:9">
      <c r="B142" s="555" t="str">
        <f t="shared" si="9"/>
        <v/>
      </c>
      <c r="C142" s="556" t="str">
        <f t="shared" si="10"/>
        <v/>
      </c>
      <c r="D142" s="557" t="str">
        <f t="shared" si="11"/>
        <v/>
      </c>
      <c r="E142" s="560"/>
      <c r="F142" s="559"/>
      <c r="G142" s="559" t="str">
        <f t="shared" si="12"/>
        <v/>
      </c>
      <c r="H142" s="559" t="str">
        <f t="shared" si="13"/>
        <v/>
      </c>
      <c r="I142" s="559" t="str">
        <f t="shared" si="14"/>
        <v/>
      </c>
    </row>
    <row r="143" spans="2:9">
      <c r="B143" s="555" t="str">
        <f t="shared" si="9"/>
        <v/>
      </c>
      <c r="C143" s="556" t="str">
        <f t="shared" si="10"/>
        <v/>
      </c>
      <c r="D143" s="557" t="str">
        <f t="shared" si="11"/>
        <v/>
      </c>
      <c r="E143" s="560"/>
      <c r="F143" s="559"/>
      <c r="G143" s="559" t="str">
        <f t="shared" si="12"/>
        <v/>
      </c>
      <c r="H143" s="559" t="str">
        <f t="shared" si="13"/>
        <v/>
      </c>
      <c r="I143" s="559" t="str">
        <f t="shared" si="14"/>
        <v/>
      </c>
    </row>
    <row r="144" spans="2:9">
      <c r="B144" s="555" t="str">
        <f t="shared" si="9"/>
        <v/>
      </c>
      <c r="C144" s="556" t="str">
        <f t="shared" si="10"/>
        <v/>
      </c>
      <c r="D144" s="557" t="str">
        <f t="shared" si="11"/>
        <v/>
      </c>
      <c r="E144" s="560"/>
      <c r="F144" s="559"/>
      <c r="G144" s="559" t="str">
        <f t="shared" si="12"/>
        <v/>
      </c>
      <c r="H144" s="559" t="str">
        <f t="shared" si="13"/>
        <v/>
      </c>
      <c r="I144" s="559" t="str">
        <f t="shared" si="14"/>
        <v/>
      </c>
    </row>
    <row r="145" spans="2:9">
      <c r="B145" s="555" t="str">
        <f t="shared" si="9"/>
        <v/>
      </c>
      <c r="C145" s="556" t="str">
        <f t="shared" si="10"/>
        <v/>
      </c>
      <c r="D145" s="557" t="str">
        <f t="shared" si="11"/>
        <v/>
      </c>
      <c r="E145" s="560"/>
      <c r="F145" s="559"/>
      <c r="G145" s="559" t="str">
        <f t="shared" si="12"/>
        <v/>
      </c>
      <c r="H145" s="559" t="str">
        <f t="shared" si="13"/>
        <v/>
      </c>
      <c r="I145" s="559" t="str">
        <f t="shared" si="14"/>
        <v/>
      </c>
    </row>
    <row r="146" spans="2:9">
      <c r="B146" s="555" t="str">
        <f t="shared" si="9"/>
        <v/>
      </c>
      <c r="C146" s="556" t="str">
        <f t="shared" si="10"/>
        <v/>
      </c>
      <c r="D146" s="557" t="str">
        <f t="shared" si="11"/>
        <v/>
      </c>
      <c r="E146" s="560"/>
      <c r="F146" s="559"/>
      <c r="G146" s="559" t="str">
        <f t="shared" si="12"/>
        <v/>
      </c>
      <c r="H146" s="559" t="str">
        <f t="shared" si="13"/>
        <v/>
      </c>
      <c r="I146" s="559" t="str">
        <f t="shared" si="14"/>
        <v/>
      </c>
    </row>
    <row r="147" spans="2:9">
      <c r="B147" s="555" t="str">
        <f t="shared" si="9"/>
        <v/>
      </c>
      <c r="C147" s="556" t="str">
        <f t="shared" si="10"/>
        <v/>
      </c>
      <c r="D147" s="557" t="str">
        <f t="shared" si="11"/>
        <v/>
      </c>
      <c r="E147" s="560"/>
      <c r="F147" s="559"/>
      <c r="G147" s="559" t="str">
        <f t="shared" si="12"/>
        <v/>
      </c>
      <c r="H147" s="559" t="str">
        <f t="shared" si="13"/>
        <v/>
      </c>
      <c r="I147" s="559" t="str">
        <f t="shared" si="14"/>
        <v/>
      </c>
    </row>
    <row r="148" spans="2:9">
      <c r="B148" s="555" t="str">
        <f t="shared" si="9"/>
        <v/>
      </c>
      <c r="C148" s="556" t="str">
        <f t="shared" si="10"/>
        <v/>
      </c>
      <c r="D148" s="557" t="str">
        <f t="shared" si="11"/>
        <v/>
      </c>
      <c r="E148" s="560"/>
      <c r="F148" s="559"/>
      <c r="G148" s="559" t="str">
        <f t="shared" si="12"/>
        <v/>
      </c>
      <c r="H148" s="559" t="str">
        <f t="shared" si="13"/>
        <v/>
      </c>
      <c r="I148" s="559" t="str">
        <f t="shared" si="14"/>
        <v/>
      </c>
    </row>
    <row r="149" spans="2:9">
      <c r="B149" s="555" t="str">
        <f t="shared" si="9"/>
        <v/>
      </c>
      <c r="C149" s="556" t="str">
        <f t="shared" si="10"/>
        <v/>
      </c>
      <c r="D149" s="557" t="str">
        <f t="shared" si="11"/>
        <v/>
      </c>
      <c r="E149" s="560"/>
      <c r="F149" s="559"/>
      <c r="G149" s="559" t="str">
        <f t="shared" si="12"/>
        <v/>
      </c>
      <c r="H149" s="559" t="str">
        <f t="shared" si="13"/>
        <v/>
      </c>
      <c r="I149" s="559" t="str">
        <f t="shared" si="14"/>
        <v/>
      </c>
    </row>
    <row r="150" spans="2:9">
      <c r="B150" s="555" t="str">
        <f t="shared" si="9"/>
        <v/>
      </c>
      <c r="C150" s="556" t="str">
        <f t="shared" si="10"/>
        <v/>
      </c>
      <c r="D150" s="557" t="str">
        <f t="shared" si="11"/>
        <v/>
      </c>
      <c r="E150" s="560"/>
      <c r="F150" s="559"/>
      <c r="G150" s="559" t="str">
        <f t="shared" si="12"/>
        <v/>
      </c>
      <c r="H150" s="559" t="str">
        <f t="shared" si="13"/>
        <v/>
      </c>
      <c r="I150" s="559" t="str">
        <f t="shared" si="14"/>
        <v/>
      </c>
    </row>
    <row r="151" spans="2:9">
      <c r="B151" s="555" t="str">
        <f t="shared" si="9"/>
        <v/>
      </c>
      <c r="C151" s="556" t="str">
        <f t="shared" si="10"/>
        <v/>
      </c>
      <c r="D151" s="557" t="str">
        <f t="shared" si="11"/>
        <v/>
      </c>
      <c r="E151" s="560"/>
      <c r="F151" s="559"/>
      <c r="G151" s="559" t="str">
        <f t="shared" si="12"/>
        <v/>
      </c>
      <c r="H151" s="559" t="str">
        <f t="shared" si="13"/>
        <v/>
      </c>
      <c r="I151" s="559" t="str">
        <f t="shared" si="14"/>
        <v/>
      </c>
    </row>
    <row r="152" spans="2:9">
      <c r="B152" s="555" t="str">
        <f t="shared" si="9"/>
        <v/>
      </c>
      <c r="C152" s="556" t="str">
        <f t="shared" si="10"/>
        <v/>
      </c>
      <c r="D152" s="557" t="str">
        <f t="shared" si="11"/>
        <v/>
      </c>
      <c r="E152" s="560"/>
      <c r="F152" s="559"/>
      <c r="G152" s="559" t="str">
        <f t="shared" si="12"/>
        <v/>
      </c>
      <c r="H152" s="559" t="str">
        <f t="shared" si="13"/>
        <v/>
      </c>
      <c r="I152" s="559" t="str">
        <f t="shared" si="14"/>
        <v/>
      </c>
    </row>
    <row r="153" spans="2:9">
      <c r="B153" s="555" t="str">
        <f t="shared" si="9"/>
        <v/>
      </c>
      <c r="C153" s="556" t="str">
        <f t="shared" si="10"/>
        <v/>
      </c>
      <c r="D153" s="557" t="str">
        <f t="shared" si="11"/>
        <v/>
      </c>
      <c r="E153" s="560"/>
      <c r="F153" s="559"/>
      <c r="G153" s="559" t="str">
        <f t="shared" si="12"/>
        <v/>
      </c>
      <c r="H153" s="559" t="str">
        <f t="shared" si="13"/>
        <v/>
      </c>
      <c r="I153" s="559" t="str">
        <f t="shared" si="14"/>
        <v/>
      </c>
    </row>
    <row r="154" spans="2:9">
      <c r="B154" s="555" t="str">
        <f t="shared" si="9"/>
        <v/>
      </c>
      <c r="C154" s="556" t="str">
        <f t="shared" si="10"/>
        <v/>
      </c>
      <c r="D154" s="557" t="str">
        <f t="shared" si="11"/>
        <v/>
      </c>
      <c r="E154" s="560"/>
      <c r="F154" s="559"/>
      <c r="G154" s="559" t="str">
        <f t="shared" si="12"/>
        <v/>
      </c>
      <c r="H154" s="559" t="str">
        <f t="shared" si="13"/>
        <v/>
      </c>
      <c r="I154" s="559" t="str">
        <f t="shared" si="14"/>
        <v/>
      </c>
    </row>
    <row r="155" spans="2:9">
      <c r="B155" s="555" t="str">
        <f t="shared" si="9"/>
        <v/>
      </c>
      <c r="C155" s="556" t="str">
        <f t="shared" si="10"/>
        <v/>
      </c>
      <c r="D155" s="557" t="str">
        <f t="shared" si="11"/>
        <v/>
      </c>
      <c r="E155" s="560"/>
      <c r="F155" s="559"/>
      <c r="G155" s="559" t="str">
        <f t="shared" si="12"/>
        <v/>
      </c>
      <c r="H155" s="559" t="str">
        <f t="shared" si="13"/>
        <v/>
      </c>
      <c r="I155" s="559" t="str">
        <f t="shared" si="14"/>
        <v/>
      </c>
    </row>
    <row r="156" spans="2:9">
      <c r="B156" s="555" t="str">
        <f t="shared" si="9"/>
        <v/>
      </c>
      <c r="C156" s="556" t="str">
        <f t="shared" si="10"/>
        <v/>
      </c>
      <c r="D156" s="557" t="str">
        <f t="shared" si="11"/>
        <v/>
      </c>
      <c r="E156" s="560"/>
      <c r="F156" s="559"/>
      <c r="G156" s="559" t="str">
        <f t="shared" si="12"/>
        <v/>
      </c>
      <c r="H156" s="559" t="str">
        <f t="shared" si="13"/>
        <v/>
      </c>
      <c r="I156" s="559" t="str">
        <f t="shared" si="14"/>
        <v/>
      </c>
    </row>
    <row r="157" spans="2:9">
      <c r="B157" s="555" t="str">
        <f t="shared" si="9"/>
        <v/>
      </c>
      <c r="C157" s="556" t="str">
        <f t="shared" si="10"/>
        <v/>
      </c>
      <c r="D157" s="557" t="str">
        <f t="shared" si="11"/>
        <v/>
      </c>
      <c r="E157" s="560"/>
      <c r="F157" s="559"/>
      <c r="G157" s="559" t="str">
        <f t="shared" si="12"/>
        <v/>
      </c>
      <c r="H157" s="559" t="str">
        <f t="shared" si="13"/>
        <v/>
      </c>
      <c r="I157" s="559" t="str">
        <f t="shared" si="14"/>
        <v/>
      </c>
    </row>
    <row r="158" spans="2:9">
      <c r="B158" s="555" t="str">
        <f t="shared" si="9"/>
        <v/>
      </c>
      <c r="C158" s="556" t="str">
        <f t="shared" si="10"/>
        <v/>
      </c>
      <c r="D158" s="557" t="str">
        <f t="shared" si="11"/>
        <v/>
      </c>
      <c r="E158" s="560"/>
      <c r="F158" s="559"/>
      <c r="G158" s="559" t="str">
        <f t="shared" si="12"/>
        <v/>
      </c>
      <c r="H158" s="559" t="str">
        <f t="shared" si="13"/>
        <v/>
      </c>
      <c r="I158" s="559" t="str">
        <f t="shared" si="14"/>
        <v/>
      </c>
    </row>
    <row r="159" spans="2:9">
      <c r="B159" s="555" t="str">
        <f t="shared" si="9"/>
        <v/>
      </c>
      <c r="C159" s="556" t="str">
        <f t="shared" si="10"/>
        <v/>
      </c>
      <c r="D159" s="557" t="str">
        <f t="shared" si="11"/>
        <v/>
      </c>
      <c r="E159" s="560"/>
      <c r="F159" s="559"/>
      <c r="G159" s="559" t="str">
        <f t="shared" si="12"/>
        <v/>
      </c>
      <c r="H159" s="559" t="str">
        <f t="shared" si="13"/>
        <v/>
      </c>
      <c r="I159" s="559" t="str">
        <f t="shared" si="14"/>
        <v/>
      </c>
    </row>
    <row r="160" spans="2:9">
      <c r="B160" s="555" t="str">
        <f t="shared" si="9"/>
        <v/>
      </c>
      <c r="C160" s="556" t="str">
        <f t="shared" si="10"/>
        <v/>
      </c>
      <c r="D160" s="557" t="str">
        <f t="shared" si="11"/>
        <v/>
      </c>
      <c r="E160" s="560"/>
      <c r="F160" s="559"/>
      <c r="G160" s="559" t="str">
        <f t="shared" si="12"/>
        <v/>
      </c>
      <c r="H160" s="559" t="str">
        <f t="shared" si="13"/>
        <v/>
      </c>
      <c r="I160" s="559" t="str">
        <f t="shared" si="14"/>
        <v/>
      </c>
    </row>
    <row r="161" spans="2:9">
      <c r="B161" s="555" t="str">
        <f t="shared" si="9"/>
        <v/>
      </c>
      <c r="C161" s="556" t="str">
        <f t="shared" si="10"/>
        <v/>
      </c>
      <c r="D161" s="557" t="str">
        <f t="shared" si="11"/>
        <v/>
      </c>
      <c r="E161" s="560"/>
      <c r="F161" s="559"/>
      <c r="G161" s="559" t="str">
        <f t="shared" si="12"/>
        <v/>
      </c>
      <c r="H161" s="559" t="str">
        <f t="shared" si="13"/>
        <v/>
      </c>
      <c r="I161" s="559" t="str">
        <f t="shared" si="14"/>
        <v/>
      </c>
    </row>
    <row r="162" spans="2:9">
      <c r="B162" s="555" t="str">
        <f t="shared" si="9"/>
        <v/>
      </c>
      <c r="C162" s="556" t="str">
        <f t="shared" si="10"/>
        <v/>
      </c>
      <c r="D162" s="557" t="str">
        <f t="shared" si="11"/>
        <v/>
      </c>
      <c r="E162" s="560"/>
      <c r="F162" s="559"/>
      <c r="G162" s="559" t="str">
        <f t="shared" si="12"/>
        <v/>
      </c>
      <c r="H162" s="559" t="str">
        <f t="shared" si="13"/>
        <v/>
      </c>
      <c r="I162" s="559" t="str">
        <f t="shared" si="14"/>
        <v/>
      </c>
    </row>
    <row r="163" spans="2:9">
      <c r="B163" s="555" t="str">
        <f t="shared" si="9"/>
        <v/>
      </c>
      <c r="C163" s="556" t="str">
        <f t="shared" si="10"/>
        <v/>
      </c>
      <c r="D163" s="557" t="str">
        <f t="shared" si="11"/>
        <v/>
      </c>
      <c r="E163" s="560"/>
      <c r="F163" s="559"/>
      <c r="G163" s="559" t="str">
        <f t="shared" si="12"/>
        <v/>
      </c>
      <c r="H163" s="559" t="str">
        <f t="shared" si="13"/>
        <v/>
      </c>
      <c r="I163" s="559" t="str">
        <f t="shared" si="14"/>
        <v/>
      </c>
    </row>
    <row r="164" spans="2:9">
      <c r="B164" s="555" t="str">
        <f t="shared" si="9"/>
        <v/>
      </c>
      <c r="C164" s="556" t="str">
        <f t="shared" si="10"/>
        <v/>
      </c>
      <c r="D164" s="557" t="str">
        <f t="shared" si="11"/>
        <v/>
      </c>
      <c r="E164" s="560"/>
      <c r="F164" s="559"/>
      <c r="G164" s="559" t="str">
        <f t="shared" si="12"/>
        <v/>
      </c>
      <c r="H164" s="559" t="str">
        <f t="shared" si="13"/>
        <v/>
      </c>
      <c r="I164" s="559" t="str">
        <f t="shared" si="14"/>
        <v/>
      </c>
    </row>
    <row r="165" spans="2:9">
      <c r="B165" s="555" t="str">
        <f t="shared" si="9"/>
        <v/>
      </c>
      <c r="C165" s="556" t="str">
        <f t="shared" si="10"/>
        <v/>
      </c>
      <c r="D165" s="557" t="str">
        <f t="shared" si="11"/>
        <v/>
      </c>
      <c r="E165" s="560"/>
      <c r="F165" s="559"/>
      <c r="G165" s="559" t="str">
        <f t="shared" si="12"/>
        <v/>
      </c>
      <c r="H165" s="559" t="str">
        <f t="shared" si="13"/>
        <v/>
      </c>
      <c r="I165" s="559" t="str">
        <f t="shared" si="14"/>
        <v/>
      </c>
    </row>
    <row r="166" spans="2:9">
      <c r="B166" s="555" t="str">
        <f t="shared" si="9"/>
        <v/>
      </c>
      <c r="C166" s="556" t="str">
        <f t="shared" si="10"/>
        <v/>
      </c>
      <c r="D166" s="557" t="str">
        <f t="shared" si="11"/>
        <v/>
      </c>
      <c r="E166" s="560"/>
      <c r="F166" s="559"/>
      <c r="G166" s="559" t="str">
        <f t="shared" si="12"/>
        <v/>
      </c>
      <c r="H166" s="559" t="str">
        <f t="shared" si="13"/>
        <v/>
      </c>
      <c r="I166" s="559" t="str">
        <f t="shared" si="14"/>
        <v/>
      </c>
    </row>
    <row r="167" spans="2:9">
      <c r="B167" s="555" t="str">
        <f t="shared" si="9"/>
        <v/>
      </c>
      <c r="C167" s="556" t="str">
        <f t="shared" si="10"/>
        <v/>
      </c>
      <c r="D167" s="557" t="str">
        <f t="shared" si="11"/>
        <v/>
      </c>
      <c r="E167" s="560"/>
      <c r="F167" s="559"/>
      <c r="G167" s="559" t="str">
        <f t="shared" si="12"/>
        <v/>
      </c>
      <c r="H167" s="559" t="str">
        <f t="shared" si="13"/>
        <v/>
      </c>
      <c r="I167" s="559" t="str">
        <f t="shared" si="14"/>
        <v/>
      </c>
    </row>
    <row r="168" spans="2:9">
      <c r="B168" s="555" t="str">
        <f t="shared" si="9"/>
        <v/>
      </c>
      <c r="C168" s="556" t="str">
        <f t="shared" si="10"/>
        <v/>
      </c>
      <c r="D168" s="557" t="str">
        <f t="shared" si="11"/>
        <v/>
      </c>
      <c r="E168" s="560"/>
      <c r="F168" s="559"/>
      <c r="G168" s="559" t="str">
        <f t="shared" si="12"/>
        <v/>
      </c>
      <c r="H168" s="559" t="str">
        <f t="shared" si="13"/>
        <v/>
      </c>
      <c r="I168" s="559" t="str">
        <f t="shared" si="14"/>
        <v/>
      </c>
    </row>
    <row r="169" spans="2:9">
      <c r="B169" s="555" t="str">
        <f t="shared" si="9"/>
        <v/>
      </c>
      <c r="C169" s="556" t="str">
        <f t="shared" si="10"/>
        <v/>
      </c>
      <c r="D169" s="557" t="str">
        <f t="shared" si="11"/>
        <v/>
      </c>
      <c r="E169" s="560"/>
      <c r="F169" s="559"/>
      <c r="G169" s="559" t="str">
        <f t="shared" si="12"/>
        <v/>
      </c>
      <c r="H169" s="559" t="str">
        <f t="shared" si="13"/>
        <v/>
      </c>
      <c r="I169" s="559" t="str">
        <f t="shared" si="14"/>
        <v/>
      </c>
    </row>
    <row r="170" spans="2:9">
      <c r="B170" s="555" t="str">
        <f t="shared" si="9"/>
        <v/>
      </c>
      <c r="C170" s="556" t="str">
        <f t="shared" si="10"/>
        <v/>
      </c>
      <c r="D170" s="557" t="str">
        <f t="shared" si="11"/>
        <v/>
      </c>
      <c r="E170" s="560"/>
      <c r="F170" s="559"/>
      <c r="G170" s="559" t="str">
        <f t="shared" si="12"/>
        <v/>
      </c>
      <c r="H170" s="559" t="str">
        <f t="shared" si="13"/>
        <v/>
      </c>
      <c r="I170" s="559" t="str">
        <f t="shared" si="14"/>
        <v/>
      </c>
    </row>
    <row r="171" spans="2:9">
      <c r="B171" s="555" t="str">
        <f t="shared" si="9"/>
        <v/>
      </c>
      <c r="C171" s="556" t="str">
        <f t="shared" si="10"/>
        <v/>
      </c>
      <c r="D171" s="557" t="str">
        <f t="shared" si="11"/>
        <v/>
      </c>
      <c r="E171" s="560"/>
      <c r="F171" s="559"/>
      <c r="G171" s="559" t="str">
        <f t="shared" si="12"/>
        <v/>
      </c>
      <c r="H171" s="559" t="str">
        <f t="shared" si="13"/>
        <v/>
      </c>
      <c r="I171" s="559" t="str">
        <f t="shared" si="14"/>
        <v/>
      </c>
    </row>
    <row r="172" spans="2:9">
      <c r="B172" s="555" t="str">
        <f t="shared" si="9"/>
        <v/>
      </c>
      <c r="C172" s="556" t="str">
        <f t="shared" si="10"/>
        <v/>
      </c>
      <c r="D172" s="557" t="str">
        <f t="shared" si="11"/>
        <v/>
      </c>
      <c r="E172" s="560"/>
      <c r="F172" s="559"/>
      <c r="G172" s="559" t="str">
        <f t="shared" si="12"/>
        <v/>
      </c>
      <c r="H172" s="559" t="str">
        <f t="shared" si="13"/>
        <v/>
      </c>
      <c r="I172" s="559" t="str">
        <f t="shared" si="14"/>
        <v/>
      </c>
    </row>
    <row r="173" spans="2:9">
      <c r="B173" s="555" t="str">
        <f t="shared" si="9"/>
        <v/>
      </c>
      <c r="C173" s="556" t="str">
        <f t="shared" si="10"/>
        <v/>
      </c>
      <c r="D173" s="557" t="str">
        <f t="shared" si="11"/>
        <v/>
      </c>
      <c r="E173" s="560"/>
      <c r="F173" s="559"/>
      <c r="G173" s="559" t="str">
        <f t="shared" si="12"/>
        <v/>
      </c>
      <c r="H173" s="559" t="str">
        <f t="shared" si="13"/>
        <v/>
      </c>
      <c r="I173" s="559" t="str">
        <f t="shared" si="14"/>
        <v/>
      </c>
    </row>
    <row r="174" spans="2:9">
      <c r="B174" s="555" t="str">
        <f t="shared" si="9"/>
        <v/>
      </c>
      <c r="C174" s="556" t="str">
        <f t="shared" si="10"/>
        <v/>
      </c>
      <c r="D174" s="557" t="str">
        <f t="shared" si="11"/>
        <v/>
      </c>
      <c r="E174" s="560"/>
      <c r="F174" s="559"/>
      <c r="G174" s="559" t="str">
        <f t="shared" si="12"/>
        <v/>
      </c>
      <c r="H174" s="559" t="str">
        <f t="shared" si="13"/>
        <v/>
      </c>
      <c r="I174" s="559" t="str">
        <f t="shared" si="14"/>
        <v/>
      </c>
    </row>
    <row r="175" spans="2:9">
      <c r="B175" s="555" t="str">
        <f t="shared" si="9"/>
        <v/>
      </c>
      <c r="C175" s="556" t="str">
        <f t="shared" si="10"/>
        <v/>
      </c>
      <c r="D175" s="557" t="str">
        <f t="shared" si="11"/>
        <v/>
      </c>
      <c r="E175" s="560"/>
      <c r="F175" s="559"/>
      <c r="G175" s="559" t="str">
        <f t="shared" si="12"/>
        <v/>
      </c>
      <c r="H175" s="559" t="str">
        <f t="shared" si="13"/>
        <v/>
      </c>
      <c r="I175" s="559" t="str">
        <f t="shared" si="14"/>
        <v/>
      </c>
    </row>
    <row r="176" spans="2:9">
      <c r="B176" s="555" t="str">
        <f t="shared" si="9"/>
        <v/>
      </c>
      <c r="C176" s="556" t="str">
        <f t="shared" si="10"/>
        <v/>
      </c>
      <c r="D176" s="557" t="str">
        <f t="shared" si="11"/>
        <v/>
      </c>
      <c r="E176" s="560"/>
      <c r="F176" s="559"/>
      <c r="G176" s="559" t="str">
        <f t="shared" si="12"/>
        <v/>
      </c>
      <c r="H176" s="559" t="str">
        <f t="shared" si="13"/>
        <v/>
      </c>
      <c r="I176" s="559" t="str">
        <f t="shared" si="14"/>
        <v/>
      </c>
    </row>
    <row r="177" spans="2:9">
      <c r="B177" s="555" t="str">
        <f t="shared" si="9"/>
        <v/>
      </c>
      <c r="C177" s="556" t="str">
        <f t="shared" si="10"/>
        <v/>
      </c>
      <c r="D177" s="557" t="str">
        <f t="shared" si="11"/>
        <v/>
      </c>
      <c r="E177" s="560"/>
      <c r="F177" s="559"/>
      <c r="G177" s="559" t="str">
        <f t="shared" si="12"/>
        <v/>
      </c>
      <c r="H177" s="559" t="str">
        <f t="shared" si="13"/>
        <v/>
      </c>
      <c r="I177" s="559" t="str">
        <f t="shared" si="14"/>
        <v/>
      </c>
    </row>
    <row r="178" spans="2:9">
      <c r="B178" s="555" t="str">
        <f t="shared" si="9"/>
        <v/>
      </c>
      <c r="C178" s="556" t="str">
        <f t="shared" si="10"/>
        <v/>
      </c>
      <c r="D178" s="557" t="str">
        <f t="shared" si="11"/>
        <v/>
      </c>
      <c r="E178" s="560"/>
      <c r="F178" s="559"/>
      <c r="G178" s="559" t="str">
        <f t="shared" si="12"/>
        <v/>
      </c>
      <c r="H178" s="559" t="str">
        <f t="shared" si="13"/>
        <v/>
      </c>
      <c r="I178" s="559" t="str">
        <f t="shared" si="14"/>
        <v/>
      </c>
    </row>
    <row r="179" spans="2:9">
      <c r="B179" s="555" t="str">
        <f t="shared" si="9"/>
        <v/>
      </c>
      <c r="C179" s="556" t="str">
        <f t="shared" si="10"/>
        <v/>
      </c>
      <c r="D179" s="557" t="str">
        <f t="shared" si="11"/>
        <v/>
      </c>
      <c r="E179" s="560"/>
      <c r="F179" s="559"/>
      <c r="G179" s="559" t="str">
        <f t="shared" si="12"/>
        <v/>
      </c>
      <c r="H179" s="559" t="str">
        <f t="shared" si="13"/>
        <v/>
      </c>
      <c r="I179" s="559" t="str">
        <f t="shared" si="14"/>
        <v/>
      </c>
    </row>
    <row r="180" spans="2:9">
      <c r="B180" s="555" t="str">
        <f t="shared" si="9"/>
        <v/>
      </c>
      <c r="C180" s="556" t="str">
        <f t="shared" si="10"/>
        <v/>
      </c>
      <c r="D180" s="557" t="str">
        <f t="shared" si="11"/>
        <v/>
      </c>
      <c r="E180" s="560"/>
      <c r="F180" s="559"/>
      <c r="G180" s="559" t="str">
        <f t="shared" si="12"/>
        <v/>
      </c>
      <c r="H180" s="559" t="str">
        <f t="shared" si="13"/>
        <v/>
      </c>
      <c r="I180" s="559" t="str">
        <f t="shared" si="14"/>
        <v/>
      </c>
    </row>
    <row r="181" spans="2:9">
      <c r="B181" s="555" t="str">
        <f t="shared" si="9"/>
        <v/>
      </c>
      <c r="C181" s="556" t="str">
        <f t="shared" si="10"/>
        <v/>
      </c>
      <c r="D181" s="557" t="str">
        <f t="shared" si="11"/>
        <v/>
      </c>
      <c r="E181" s="560"/>
      <c r="F181" s="559"/>
      <c r="G181" s="559" t="str">
        <f t="shared" si="12"/>
        <v/>
      </c>
      <c r="H181" s="559" t="str">
        <f t="shared" si="13"/>
        <v/>
      </c>
      <c r="I181" s="559" t="str">
        <f t="shared" si="14"/>
        <v/>
      </c>
    </row>
    <row r="182" spans="2:9">
      <c r="B182" s="555" t="str">
        <f t="shared" si="9"/>
        <v/>
      </c>
      <c r="C182" s="556" t="str">
        <f t="shared" si="10"/>
        <v/>
      </c>
      <c r="D182" s="557" t="str">
        <f t="shared" si="11"/>
        <v/>
      </c>
      <c r="E182" s="560"/>
      <c r="F182" s="559"/>
      <c r="G182" s="559" t="str">
        <f t="shared" si="12"/>
        <v/>
      </c>
      <c r="H182" s="559" t="str">
        <f t="shared" si="13"/>
        <v/>
      </c>
      <c r="I182" s="559" t="str">
        <f t="shared" si="14"/>
        <v/>
      </c>
    </row>
    <row r="183" spans="2:9">
      <c r="B183" s="555" t="str">
        <f t="shared" si="9"/>
        <v/>
      </c>
      <c r="C183" s="556" t="str">
        <f t="shared" si="10"/>
        <v/>
      </c>
      <c r="D183" s="557" t="str">
        <f t="shared" si="11"/>
        <v/>
      </c>
      <c r="E183" s="560"/>
      <c r="F183" s="559"/>
      <c r="G183" s="559" t="str">
        <f t="shared" si="12"/>
        <v/>
      </c>
      <c r="H183" s="559" t="str">
        <f t="shared" si="13"/>
        <v/>
      </c>
      <c r="I183" s="559" t="str">
        <f t="shared" si="14"/>
        <v/>
      </c>
    </row>
    <row r="184" spans="2:9">
      <c r="B184" s="555" t="str">
        <f t="shared" si="9"/>
        <v/>
      </c>
      <c r="C184" s="556" t="str">
        <f t="shared" si="10"/>
        <v/>
      </c>
      <c r="D184" s="557" t="str">
        <f t="shared" si="11"/>
        <v/>
      </c>
      <c r="E184" s="560"/>
      <c r="F184" s="559"/>
      <c r="G184" s="559" t="str">
        <f t="shared" si="12"/>
        <v/>
      </c>
      <c r="H184" s="559" t="str">
        <f t="shared" si="13"/>
        <v/>
      </c>
      <c r="I184" s="559" t="str">
        <f t="shared" si="14"/>
        <v/>
      </c>
    </row>
    <row r="185" spans="2:9">
      <c r="B185" s="555" t="str">
        <f t="shared" si="9"/>
        <v/>
      </c>
      <c r="C185" s="556" t="str">
        <f t="shared" si="10"/>
        <v/>
      </c>
      <c r="D185" s="557" t="str">
        <f t="shared" si="11"/>
        <v/>
      </c>
      <c r="E185" s="560"/>
      <c r="F185" s="559"/>
      <c r="G185" s="559" t="str">
        <f t="shared" si="12"/>
        <v/>
      </c>
      <c r="H185" s="559" t="str">
        <f t="shared" si="13"/>
        <v/>
      </c>
      <c r="I185" s="559" t="str">
        <f t="shared" si="14"/>
        <v/>
      </c>
    </row>
    <row r="186" spans="2:9">
      <c r="B186" s="555" t="str">
        <f t="shared" si="9"/>
        <v/>
      </c>
      <c r="C186" s="556" t="str">
        <f t="shared" si="10"/>
        <v/>
      </c>
      <c r="D186" s="557" t="str">
        <f t="shared" si="11"/>
        <v/>
      </c>
      <c r="E186" s="560"/>
      <c r="F186" s="559"/>
      <c r="G186" s="559" t="str">
        <f t="shared" si="12"/>
        <v/>
      </c>
      <c r="H186" s="559" t="str">
        <f t="shared" si="13"/>
        <v/>
      </c>
      <c r="I186" s="559" t="str">
        <f t="shared" si="14"/>
        <v/>
      </c>
    </row>
    <row r="187" spans="2:9">
      <c r="B187" s="555" t="str">
        <f t="shared" si="9"/>
        <v/>
      </c>
      <c r="C187" s="556" t="str">
        <f t="shared" si="10"/>
        <v/>
      </c>
      <c r="D187" s="557" t="str">
        <f t="shared" si="11"/>
        <v/>
      </c>
      <c r="E187" s="560"/>
      <c r="F187" s="559"/>
      <c r="G187" s="559" t="str">
        <f t="shared" si="12"/>
        <v/>
      </c>
      <c r="H187" s="559" t="str">
        <f t="shared" si="13"/>
        <v/>
      </c>
      <c r="I187" s="559" t="str">
        <f t="shared" si="14"/>
        <v/>
      </c>
    </row>
    <row r="188" spans="2:9">
      <c r="B188" s="555" t="str">
        <f t="shared" si="9"/>
        <v/>
      </c>
      <c r="C188" s="556" t="str">
        <f t="shared" si="10"/>
        <v/>
      </c>
      <c r="D188" s="557" t="str">
        <f t="shared" si="11"/>
        <v/>
      </c>
      <c r="E188" s="560"/>
      <c r="F188" s="559"/>
      <c r="G188" s="559" t="str">
        <f t="shared" si="12"/>
        <v/>
      </c>
      <c r="H188" s="559" t="str">
        <f t="shared" si="13"/>
        <v/>
      </c>
      <c r="I188" s="559" t="str">
        <f t="shared" si="14"/>
        <v/>
      </c>
    </row>
    <row r="189" spans="2:9">
      <c r="B189" s="555" t="str">
        <f t="shared" ref="B189:B252" si="15">IF(I188="","",IF(roundOpt,IF(OR(B188&gt;=nper,ROUND(I188,2)&lt;=0),"",B188+1),IF(OR(B188&gt;=nper,I188&lt;=0),"",B188+1)))</f>
        <v/>
      </c>
      <c r="C189" s="556" t="str">
        <f t="shared" ref="C189:C252" si="16">IF(B189="","",IF(OR(periods_per_year=26,periods_per_year=52),IF(periods_per_year=26,IF(B189=1,fpdate,C188+14),IF(periods_per_year=52,IF(B189=1,fpdate,C188+7),"n/a")),IF(periods_per_year=24,DATE(YEAR(fpdate),MONTH(fpdate)+(B189-1)/2+IF(AND(DAY(fpdate)&gt;=15,MOD(B189,2)=0),1,0),IF(MOD(B189,2)=0,IF(DAY(fpdate)&gt;=15,DAY(fpdate)-14,DAY(fpdate)+14),DAY(fpdate))),IF(DAY(DATE(YEAR(fpdate),MONTH(fpdate)+(B189-1)*months_per_period,DAY(fpdate)))&lt;&gt;DAY(fpdate),DATE(YEAR(fpdate),MONTH(fpdate)+(B189-1)*months_per_period+1,0),DATE(YEAR(fpdate),MONTH(fpdate)+(B189-1)*months_per_period,DAY(fpdate))))))</f>
        <v/>
      </c>
      <c r="D189" s="557" t="str">
        <f t="shared" ref="D189:D252" si="17">IF(B189="","",IF(roundOpt,IF(OR(B189=nper,payment&gt;ROUND((1+rate)*I188,2)),ROUND((1+rate)*I188,2),payment),IF(OR(B189=nper,payment&gt;(1+rate)*I188),(1+rate)*I188,payment)))</f>
        <v/>
      </c>
      <c r="E189" s="560"/>
      <c r="F189" s="559"/>
      <c r="G189" s="559" t="str">
        <f t="shared" ref="G189:G252" si="18">IF(B189="","",IF(AND(B189=1,pmtType=1),0,IF(roundOpt,ROUND(rate*I188,2),rate*I188)))</f>
        <v/>
      </c>
      <c r="H189" s="559" t="str">
        <f t="shared" ref="H189:H252" si="19">IF(B189="","",D189-G189+E189)</f>
        <v/>
      </c>
      <c r="I189" s="559" t="str">
        <f t="shared" ref="I189:I252" si="20">IF(B189="","",I188-H189)</f>
        <v/>
      </c>
    </row>
    <row r="190" spans="2:9">
      <c r="B190" s="555" t="str">
        <f t="shared" si="15"/>
        <v/>
      </c>
      <c r="C190" s="556" t="str">
        <f t="shared" si="16"/>
        <v/>
      </c>
      <c r="D190" s="557" t="str">
        <f t="shared" si="17"/>
        <v/>
      </c>
      <c r="E190" s="560"/>
      <c r="F190" s="559"/>
      <c r="G190" s="559" t="str">
        <f t="shared" si="18"/>
        <v/>
      </c>
      <c r="H190" s="559" t="str">
        <f t="shared" si="19"/>
        <v/>
      </c>
      <c r="I190" s="559" t="str">
        <f t="shared" si="20"/>
        <v/>
      </c>
    </row>
    <row r="191" spans="2:9">
      <c r="B191" s="555" t="str">
        <f t="shared" si="15"/>
        <v/>
      </c>
      <c r="C191" s="556" t="str">
        <f t="shared" si="16"/>
        <v/>
      </c>
      <c r="D191" s="557" t="str">
        <f t="shared" si="17"/>
        <v/>
      </c>
      <c r="E191" s="560"/>
      <c r="F191" s="559"/>
      <c r="G191" s="559" t="str">
        <f t="shared" si="18"/>
        <v/>
      </c>
      <c r="H191" s="559" t="str">
        <f t="shared" si="19"/>
        <v/>
      </c>
      <c r="I191" s="559" t="str">
        <f t="shared" si="20"/>
        <v/>
      </c>
    </row>
    <row r="192" spans="2:9">
      <c r="B192" s="555" t="str">
        <f t="shared" si="15"/>
        <v/>
      </c>
      <c r="C192" s="556" t="str">
        <f t="shared" si="16"/>
        <v/>
      </c>
      <c r="D192" s="557" t="str">
        <f t="shared" si="17"/>
        <v/>
      </c>
      <c r="E192" s="560"/>
      <c r="F192" s="559"/>
      <c r="G192" s="559" t="str">
        <f t="shared" si="18"/>
        <v/>
      </c>
      <c r="H192" s="559" t="str">
        <f t="shared" si="19"/>
        <v/>
      </c>
      <c r="I192" s="559" t="str">
        <f t="shared" si="20"/>
        <v/>
      </c>
    </row>
    <row r="193" spans="2:9">
      <c r="B193" s="555" t="str">
        <f t="shared" si="15"/>
        <v/>
      </c>
      <c r="C193" s="556" t="str">
        <f t="shared" si="16"/>
        <v/>
      </c>
      <c r="D193" s="557" t="str">
        <f t="shared" si="17"/>
        <v/>
      </c>
      <c r="E193" s="560"/>
      <c r="F193" s="559"/>
      <c r="G193" s="559" t="str">
        <f t="shared" si="18"/>
        <v/>
      </c>
      <c r="H193" s="559" t="str">
        <f t="shared" si="19"/>
        <v/>
      </c>
      <c r="I193" s="559" t="str">
        <f t="shared" si="20"/>
        <v/>
      </c>
    </row>
    <row r="194" spans="2:9">
      <c r="B194" s="555" t="str">
        <f t="shared" si="15"/>
        <v/>
      </c>
      <c r="C194" s="556" t="str">
        <f t="shared" si="16"/>
        <v/>
      </c>
      <c r="D194" s="557" t="str">
        <f t="shared" si="17"/>
        <v/>
      </c>
      <c r="E194" s="560"/>
      <c r="F194" s="559"/>
      <c r="G194" s="559" t="str">
        <f t="shared" si="18"/>
        <v/>
      </c>
      <c r="H194" s="559" t="str">
        <f t="shared" si="19"/>
        <v/>
      </c>
      <c r="I194" s="559" t="str">
        <f t="shared" si="20"/>
        <v/>
      </c>
    </row>
    <row r="195" spans="2:9">
      <c r="B195" s="555" t="str">
        <f t="shared" si="15"/>
        <v/>
      </c>
      <c r="C195" s="556" t="str">
        <f t="shared" si="16"/>
        <v/>
      </c>
      <c r="D195" s="557" t="str">
        <f t="shared" si="17"/>
        <v/>
      </c>
      <c r="E195" s="560"/>
      <c r="F195" s="559"/>
      <c r="G195" s="559" t="str">
        <f t="shared" si="18"/>
        <v/>
      </c>
      <c r="H195" s="559" t="str">
        <f t="shared" si="19"/>
        <v/>
      </c>
      <c r="I195" s="559" t="str">
        <f t="shared" si="20"/>
        <v/>
      </c>
    </row>
    <row r="196" spans="2:9">
      <c r="B196" s="555" t="str">
        <f t="shared" si="15"/>
        <v/>
      </c>
      <c r="C196" s="556" t="str">
        <f t="shared" si="16"/>
        <v/>
      </c>
      <c r="D196" s="557" t="str">
        <f t="shared" si="17"/>
        <v/>
      </c>
      <c r="E196" s="560"/>
      <c r="F196" s="559"/>
      <c r="G196" s="559" t="str">
        <f t="shared" si="18"/>
        <v/>
      </c>
      <c r="H196" s="559" t="str">
        <f t="shared" si="19"/>
        <v/>
      </c>
      <c r="I196" s="559" t="str">
        <f t="shared" si="20"/>
        <v/>
      </c>
    </row>
    <row r="197" spans="2:9">
      <c r="B197" s="555" t="str">
        <f t="shared" si="15"/>
        <v/>
      </c>
      <c r="C197" s="556" t="str">
        <f t="shared" si="16"/>
        <v/>
      </c>
      <c r="D197" s="557" t="str">
        <f t="shared" si="17"/>
        <v/>
      </c>
      <c r="E197" s="560"/>
      <c r="F197" s="559"/>
      <c r="G197" s="559" t="str">
        <f t="shared" si="18"/>
        <v/>
      </c>
      <c r="H197" s="559" t="str">
        <f t="shared" si="19"/>
        <v/>
      </c>
      <c r="I197" s="559" t="str">
        <f t="shared" si="20"/>
        <v/>
      </c>
    </row>
    <row r="198" spans="2:9">
      <c r="B198" s="555" t="str">
        <f t="shared" si="15"/>
        <v/>
      </c>
      <c r="C198" s="556" t="str">
        <f t="shared" si="16"/>
        <v/>
      </c>
      <c r="D198" s="557" t="str">
        <f t="shared" si="17"/>
        <v/>
      </c>
      <c r="E198" s="560"/>
      <c r="F198" s="559"/>
      <c r="G198" s="559" t="str">
        <f t="shared" si="18"/>
        <v/>
      </c>
      <c r="H198" s="559" t="str">
        <f t="shared" si="19"/>
        <v/>
      </c>
      <c r="I198" s="559" t="str">
        <f t="shared" si="20"/>
        <v/>
      </c>
    </row>
    <row r="199" spans="2:9">
      <c r="B199" s="555" t="str">
        <f t="shared" si="15"/>
        <v/>
      </c>
      <c r="C199" s="556" t="str">
        <f t="shared" si="16"/>
        <v/>
      </c>
      <c r="D199" s="557" t="str">
        <f t="shared" si="17"/>
        <v/>
      </c>
      <c r="E199" s="560"/>
      <c r="F199" s="559"/>
      <c r="G199" s="559" t="str">
        <f t="shared" si="18"/>
        <v/>
      </c>
      <c r="H199" s="559" t="str">
        <f t="shared" si="19"/>
        <v/>
      </c>
      <c r="I199" s="559" t="str">
        <f t="shared" si="20"/>
        <v/>
      </c>
    </row>
    <row r="200" spans="2:9">
      <c r="B200" s="555" t="str">
        <f t="shared" si="15"/>
        <v/>
      </c>
      <c r="C200" s="556" t="str">
        <f t="shared" si="16"/>
        <v/>
      </c>
      <c r="D200" s="557" t="str">
        <f t="shared" si="17"/>
        <v/>
      </c>
      <c r="E200" s="560"/>
      <c r="F200" s="559"/>
      <c r="G200" s="559" t="str">
        <f t="shared" si="18"/>
        <v/>
      </c>
      <c r="H200" s="559" t="str">
        <f t="shared" si="19"/>
        <v/>
      </c>
      <c r="I200" s="559" t="str">
        <f t="shared" si="20"/>
        <v/>
      </c>
    </row>
    <row r="201" spans="2:9">
      <c r="B201" s="555" t="str">
        <f t="shared" si="15"/>
        <v/>
      </c>
      <c r="C201" s="556" t="str">
        <f t="shared" si="16"/>
        <v/>
      </c>
      <c r="D201" s="557" t="str">
        <f t="shared" si="17"/>
        <v/>
      </c>
      <c r="E201" s="560"/>
      <c r="F201" s="559"/>
      <c r="G201" s="559" t="str">
        <f t="shared" si="18"/>
        <v/>
      </c>
      <c r="H201" s="559" t="str">
        <f t="shared" si="19"/>
        <v/>
      </c>
      <c r="I201" s="559" t="str">
        <f t="shared" si="20"/>
        <v/>
      </c>
    </row>
    <row r="202" spans="2:9">
      <c r="B202" s="555" t="str">
        <f t="shared" si="15"/>
        <v/>
      </c>
      <c r="C202" s="556" t="str">
        <f t="shared" si="16"/>
        <v/>
      </c>
      <c r="D202" s="557" t="str">
        <f t="shared" si="17"/>
        <v/>
      </c>
      <c r="E202" s="560"/>
      <c r="F202" s="559"/>
      <c r="G202" s="559" t="str">
        <f t="shared" si="18"/>
        <v/>
      </c>
      <c r="H202" s="559" t="str">
        <f t="shared" si="19"/>
        <v/>
      </c>
      <c r="I202" s="559" t="str">
        <f t="shared" si="20"/>
        <v/>
      </c>
    </row>
    <row r="203" spans="2:9">
      <c r="B203" s="555" t="str">
        <f t="shared" si="15"/>
        <v/>
      </c>
      <c r="C203" s="556" t="str">
        <f t="shared" si="16"/>
        <v/>
      </c>
      <c r="D203" s="557" t="str">
        <f t="shared" si="17"/>
        <v/>
      </c>
      <c r="E203" s="560"/>
      <c r="F203" s="559"/>
      <c r="G203" s="559" t="str">
        <f t="shared" si="18"/>
        <v/>
      </c>
      <c r="H203" s="559" t="str">
        <f t="shared" si="19"/>
        <v/>
      </c>
      <c r="I203" s="559" t="str">
        <f t="shared" si="20"/>
        <v/>
      </c>
    </row>
    <row r="204" spans="2:9">
      <c r="B204" s="555" t="str">
        <f t="shared" si="15"/>
        <v/>
      </c>
      <c r="C204" s="556" t="str">
        <f t="shared" si="16"/>
        <v/>
      </c>
      <c r="D204" s="557" t="str">
        <f t="shared" si="17"/>
        <v/>
      </c>
      <c r="E204" s="560"/>
      <c r="F204" s="559"/>
      <c r="G204" s="559" t="str">
        <f t="shared" si="18"/>
        <v/>
      </c>
      <c r="H204" s="559" t="str">
        <f t="shared" si="19"/>
        <v/>
      </c>
      <c r="I204" s="559" t="str">
        <f t="shared" si="20"/>
        <v/>
      </c>
    </row>
    <row r="205" spans="2:9">
      <c r="B205" s="555" t="str">
        <f t="shared" si="15"/>
        <v/>
      </c>
      <c r="C205" s="556" t="str">
        <f t="shared" si="16"/>
        <v/>
      </c>
      <c r="D205" s="557" t="str">
        <f t="shared" si="17"/>
        <v/>
      </c>
      <c r="E205" s="560"/>
      <c r="F205" s="559"/>
      <c r="G205" s="559" t="str">
        <f t="shared" si="18"/>
        <v/>
      </c>
      <c r="H205" s="559" t="str">
        <f t="shared" si="19"/>
        <v/>
      </c>
      <c r="I205" s="559" t="str">
        <f t="shared" si="20"/>
        <v/>
      </c>
    </row>
    <row r="206" spans="2:9">
      <c r="B206" s="555" t="str">
        <f t="shared" si="15"/>
        <v/>
      </c>
      <c r="C206" s="556" t="str">
        <f t="shared" si="16"/>
        <v/>
      </c>
      <c r="D206" s="557" t="str">
        <f t="shared" si="17"/>
        <v/>
      </c>
      <c r="E206" s="560"/>
      <c r="F206" s="559"/>
      <c r="G206" s="559" t="str">
        <f t="shared" si="18"/>
        <v/>
      </c>
      <c r="H206" s="559" t="str">
        <f t="shared" si="19"/>
        <v/>
      </c>
      <c r="I206" s="559" t="str">
        <f t="shared" si="20"/>
        <v/>
      </c>
    </row>
    <row r="207" spans="2:9">
      <c r="B207" s="555" t="str">
        <f t="shared" si="15"/>
        <v/>
      </c>
      <c r="C207" s="556" t="str">
        <f t="shared" si="16"/>
        <v/>
      </c>
      <c r="D207" s="557" t="str">
        <f t="shared" si="17"/>
        <v/>
      </c>
      <c r="E207" s="560"/>
      <c r="F207" s="559"/>
      <c r="G207" s="559" t="str">
        <f t="shared" si="18"/>
        <v/>
      </c>
      <c r="H207" s="559" t="str">
        <f t="shared" si="19"/>
        <v/>
      </c>
      <c r="I207" s="559" t="str">
        <f t="shared" si="20"/>
        <v/>
      </c>
    </row>
    <row r="208" spans="2:9">
      <c r="B208" s="555" t="str">
        <f t="shared" si="15"/>
        <v/>
      </c>
      <c r="C208" s="556" t="str">
        <f t="shared" si="16"/>
        <v/>
      </c>
      <c r="D208" s="557" t="str">
        <f t="shared" si="17"/>
        <v/>
      </c>
      <c r="E208" s="560"/>
      <c r="F208" s="559"/>
      <c r="G208" s="559" t="str">
        <f t="shared" si="18"/>
        <v/>
      </c>
      <c r="H208" s="559" t="str">
        <f t="shared" si="19"/>
        <v/>
      </c>
      <c r="I208" s="559" t="str">
        <f t="shared" si="20"/>
        <v/>
      </c>
    </row>
    <row r="209" spans="2:9">
      <c r="B209" s="555" t="str">
        <f t="shared" si="15"/>
        <v/>
      </c>
      <c r="C209" s="556" t="str">
        <f t="shared" si="16"/>
        <v/>
      </c>
      <c r="D209" s="557" t="str">
        <f t="shared" si="17"/>
        <v/>
      </c>
      <c r="E209" s="560"/>
      <c r="F209" s="559"/>
      <c r="G209" s="559" t="str">
        <f t="shared" si="18"/>
        <v/>
      </c>
      <c r="H209" s="559" t="str">
        <f t="shared" si="19"/>
        <v/>
      </c>
      <c r="I209" s="559" t="str">
        <f t="shared" si="20"/>
        <v/>
      </c>
    </row>
    <row r="210" spans="2:9">
      <c r="B210" s="555" t="str">
        <f t="shared" si="15"/>
        <v/>
      </c>
      <c r="C210" s="556" t="str">
        <f t="shared" si="16"/>
        <v/>
      </c>
      <c r="D210" s="557" t="str">
        <f t="shared" si="17"/>
        <v/>
      </c>
      <c r="E210" s="560"/>
      <c r="F210" s="559"/>
      <c r="G210" s="559" t="str">
        <f t="shared" si="18"/>
        <v/>
      </c>
      <c r="H210" s="559" t="str">
        <f t="shared" si="19"/>
        <v/>
      </c>
      <c r="I210" s="559" t="str">
        <f t="shared" si="20"/>
        <v/>
      </c>
    </row>
    <row r="211" spans="2:9">
      <c r="B211" s="555" t="str">
        <f t="shared" si="15"/>
        <v/>
      </c>
      <c r="C211" s="556" t="str">
        <f t="shared" si="16"/>
        <v/>
      </c>
      <c r="D211" s="557" t="str">
        <f t="shared" si="17"/>
        <v/>
      </c>
      <c r="E211" s="560"/>
      <c r="F211" s="559"/>
      <c r="G211" s="559" t="str">
        <f t="shared" si="18"/>
        <v/>
      </c>
      <c r="H211" s="559" t="str">
        <f t="shared" si="19"/>
        <v/>
      </c>
      <c r="I211" s="559" t="str">
        <f t="shared" si="20"/>
        <v/>
      </c>
    </row>
    <row r="212" spans="2:9">
      <c r="B212" s="555" t="str">
        <f t="shared" si="15"/>
        <v/>
      </c>
      <c r="C212" s="556" t="str">
        <f t="shared" si="16"/>
        <v/>
      </c>
      <c r="D212" s="557" t="str">
        <f t="shared" si="17"/>
        <v/>
      </c>
      <c r="E212" s="560"/>
      <c r="F212" s="559"/>
      <c r="G212" s="559" t="str">
        <f t="shared" si="18"/>
        <v/>
      </c>
      <c r="H212" s="559" t="str">
        <f t="shared" si="19"/>
        <v/>
      </c>
      <c r="I212" s="559" t="str">
        <f t="shared" si="20"/>
        <v/>
      </c>
    </row>
    <row r="213" spans="2:9">
      <c r="B213" s="555" t="str">
        <f t="shared" si="15"/>
        <v/>
      </c>
      <c r="C213" s="556" t="str">
        <f t="shared" si="16"/>
        <v/>
      </c>
      <c r="D213" s="557" t="str">
        <f t="shared" si="17"/>
        <v/>
      </c>
      <c r="E213" s="560"/>
      <c r="F213" s="559"/>
      <c r="G213" s="559" t="str">
        <f t="shared" si="18"/>
        <v/>
      </c>
      <c r="H213" s="559" t="str">
        <f t="shared" si="19"/>
        <v/>
      </c>
      <c r="I213" s="559" t="str">
        <f t="shared" si="20"/>
        <v/>
      </c>
    </row>
    <row r="214" spans="2:9">
      <c r="B214" s="555" t="str">
        <f t="shared" si="15"/>
        <v/>
      </c>
      <c r="C214" s="556" t="str">
        <f t="shared" si="16"/>
        <v/>
      </c>
      <c r="D214" s="557" t="str">
        <f t="shared" si="17"/>
        <v/>
      </c>
      <c r="E214" s="560"/>
      <c r="F214" s="559"/>
      <c r="G214" s="559" t="str">
        <f t="shared" si="18"/>
        <v/>
      </c>
      <c r="H214" s="559" t="str">
        <f t="shared" si="19"/>
        <v/>
      </c>
      <c r="I214" s="559" t="str">
        <f t="shared" si="20"/>
        <v/>
      </c>
    </row>
    <row r="215" spans="2:9">
      <c r="B215" s="555" t="str">
        <f t="shared" si="15"/>
        <v/>
      </c>
      <c r="C215" s="556" t="str">
        <f t="shared" si="16"/>
        <v/>
      </c>
      <c r="D215" s="557" t="str">
        <f t="shared" si="17"/>
        <v/>
      </c>
      <c r="E215" s="560"/>
      <c r="F215" s="559"/>
      <c r="G215" s="559" t="str">
        <f t="shared" si="18"/>
        <v/>
      </c>
      <c r="H215" s="559" t="str">
        <f t="shared" si="19"/>
        <v/>
      </c>
      <c r="I215" s="559" t="str">
        <f t="shared" si="20"/>
        <v/>
      </c>
    </row>
    <row r="216" spans="2:9">
      <c r="B216" s="555" t="str">
        <f t="shared" si="15"/>
        <v/>
      </c>
      <c r="C216" s="556" t="str">
        <f t="shared" si="16"/>
        <v/>
      </c>
      <c r="D216" s="557" t="str">
        <f t="shared" si="17"/>
        <v/>
      </c>
      <c r="E216" s="560"/>
      <c r="F216" s="559"/>
      <c r="G216" s="559" t="str">
        <f t="shared" si="18"/>
        <v/>
      </c>
      <c r="H216" s="559" t="str">
        <f t="shared" si="19"/>
        <v/>
      </c>
      <c r="I216" s="559" t="str">
        <f t="shared" si="20"/>
        <v/>
      </c>
    </row>
    <row r="217" spans="2:9">
      <c r="B217" s="555" t="str">
        <f t="shared" si="15"/>
        <v/>
      </c>
      <c r="C217" s="556" t="str">
        <f t="shared" si="16"/>
        <v/>
      </c>
      <c r="D217" s="557" t="str">
        <f t="shared" si="17"/>
        <v/>
      </c>
      <c r="E217" s="560"/>
      <c r="F217" s="559"/>
      <c r="G217" s="559" t="str">
        <f t="shared" si="18"/>
        <v/>
      </c>
      <c r="H217" s="559" t="str">
        <f t="shared" si="19"/>
        <v/>
      </c>
      <c r="I217" s="559" t="str">
        <f t="shared" si="20"/>
        <v/>
      </c>
    </row>
    <row r="218" spans="2:9">
      <c r="B218" s="555" t="str">
        <f t="shared" si="15"/>
        <v/>
      </c>
      <c r="C218" s="556" t="str">
        <f t="shared" si="16"/>
        <v/>
      </c>
      <c r="D218" s="557" t="str">
        <f t="shared" si="17"/>
        <v/>
      </c>
      <c r="E218" s="560"/>
      <c r="F218" s="559"/>
      <c r="G218" s="559" t="str">
        <f t="shared" si="18"/>
        <v/>
      </c>
      <c r="H218" s="559" t="str">
        <f t="shared" si="19"/>
        <v/>
      </c>
      <c r="I218" s="559" t="str">
        <f t="shared" si="20"/>
        <v/>
      </c>
    </row>
    <row r="219" spans="2:9">
      <c r="B219" s="555" t="str">
        <f t="shared" si="15"/>
        <v/>
      </c>
      <c r="C219" s="556" t="str">
        <f t="shared" si="16"/>
        <v/>
      </c>
      <c r="D219" s="557" t="str">
        <f t="shared" si="17"/>
        <v/>
      </c>
      <c r="E219" s="560"/>
      <c r="F219" s="559"/>
      <c r="G219" s="559" t="str">
        <f t="shared" si="18"/>
        <v/>
      </c>
      <c r="H219" s="559" t="str">
        <f t="shared" si="19"/>
        <v/>
      </c>
      <c r="I219" s="559" t="str">
        <f t="shared" si="20"/>
        <v/>
      </c>
    </row>
    <row r="220" spans="2:9">
      <c r="B220" s="555" t="str">
        <f t="shared" si="15"/>
        <v/>
      </c>
      <c r="C220" s="556" t="str">
        <f t="shared" si="16"/>
        <v/>
      </c>
      <c r="D220" s="557" t="str">
        <f t="shared" si="17"/>
        <v/>
      </c>
      <c r="E220" s="560"/>
      <c r="F220" s="559"/>
      <c r="G220" s="559" t="str">
        <f t="shared" si="18"/>
        <v/>
      </c>
      <c r="H220" s="559" t="str">
        <f t="shared" si="19"/>
        <v/>
      </c>
      <c r="I220" s="559" t="str">
        <f t="shared" si="20"/>
        <v/>
      </c>
    </row>
    <row r="221" spans="2:9">
      <c r="B221" s="555" t="str">
        <f t="shared" si="15"/>
        <v/>
      </c>
      <c r="C221" s="556" t="str">
        <f t="shared" si="16"/>
        <v/>
      </c>
      <c r="D221" s="557" t="str">
        <f t="shared" si="17"/>
        <v/>
      </c>
      <c r="E221" s="560"/>
      <c r="F221" s="559"/>
      <c r="G221" s="559" t="str">
        <f t="shared" si="18"/>
        <v/>
      </c>
      <c r="H221" s="559" t="str">
        <f t="shared" si="19"/>
        <v/>
      </c>
      <c r="I221" s="559" t="str">
        <f t="shared" si="20"/>
        <v/>
      </c>
    </row>
    <row r="222" spans="2:9">
      <c r="B222" s="555" t="str">
        <f t="shared" si="15"/>
        <v/>
      </c>
      <c r="C222" s="556" t="str">
        <f t="shared" si="16"/>
        <v/>
      </c>
      <c r="D222" s="557" t="str">
        <f t="shared" si="17"/>
        <v/>
      </c>
      <c r="E222" s="560"/>
      <c r="F222" s="559"/>
      <c r="G222" s="559" t="str">
        <f t="shared" si="18"/>
        <v/>
      </c>
      <c r="H222" s="559" t="str">
        <f t="shared" si="19"/>
        <v/>
      </c>
      <c r="I222" s="559" t="str">
        <f t="shared" si="20"/>
        <v/>
      </c>
    </row>
    <row r="223" spans="2:9">
      <c r="B223" s="555" t="str">
        <f t="shared" si="15"/>
        <v/>
      </c>
      <c r="C223" s="556" t="str">
        <f t="shared" si="16"/>
        <v/>
      </c>
      <c r="D223" s="557" t="str">
        <f t="shared" si="17"/>
        <v/>
      </c>
      <c r="E223" s="560"/>
      <c r="F223" s="559"/>
      <c r="G223" s="559" t="str">
        <f t="shared" si="18"/>
        <v/>
      </c>
      <c r="H223" s="559" t="str">
        <f t="shared" si="19"/>
        <v/>
      </c>
      <c r="I223" s="559" t="str">
        <f t="shared" si="20"/>
        <v/>
      </c>
    </row>
    <row r="224" spans="2:9">
      <c r="B224" s="555" t="str">
        <f t="shared" si="15"/>
        <v/>
      </c>
      <c r="C224" s="556" t="str">
        <f t="shared" si="16"/>
        <v/>
      </c>
      <c r="D224" s="557" t="str">
        <f t="shared" si="17"/>
        <v/>
      </c>
      <c r="E224" s="560"/>
      <c r="F224" s="559"/>
      <c r="G224" s="559" t="str">
        <f t="shared" si="18"/>
        <v/>
      </c>
      <c r="H224" s="559" t="str">
        <f t="shared" si="19"/>
        <v/>
      </c>
      <c r="I224" s="559" t="str">
        <f t="shared" si="20"/>
        <v/>
      </c>
    </row>
    <row r="225" spans="2:9">
      <c r="B225" s="555" t="str">
        <f t="shared" si="15"/>
        <v/>
      </c>
      <c r="C225" s="556" t="str">
        <f t="shared" si="16"/>
        <v/>
      </c>
      <c r="D225" s="557" t="str">
        <f t="shared" si="17"/>
        <v/>
      </c>
      <c r="E225" s="560"/>
      <c r="F225" s="559"/>
      <c r="G225" s="559" t="str">
        <f t="shared" si="18"/>
        <v/>
      </c>
      <c r="H225" s="559" t="str">
        <f t="shared" si="19"/>
        <v/>
      </c>
      <c r="I225" s="559" t="str">
        <f t="shared" si="20"/>
        <v/>
      </c>
    </row>
    <row r="226" spans="2:9">
      <c r="B226" s="555" t="str">
        <f t="shared" si="15"/>
        <v/>
      </c>
      <c r="C226" s="556" t="str">
        <f t="shared" si="16"/>
        <v/>
      </c>
      <c r="D226" s="557" t="str">
        <f t="shared" si="17"/>
        <v/>
      </c>
      <c r="E226" s="560"/>
      <c r="F226" s="559"/>
      <c r="G226" s="559" t="str">
        <f t="shared" si="18"/>
        <v/>
      </c>
      <c r="H226" s="559" t="str">
        <f t="shared" si="19"/>
        <v/>
      </c>
      <c r="I226" s="559" t="str">
        <f t="shared" si="20"/>
        <v/>
      </c>
    </row>
    <row r="227" spans="2:9">
      <c r="B227" s="555" t="str">
        <f t="shared" si="15"/>
        <v/>
      </c>
      <c r="C227" s="556" t="str">
        <f t="shared" si="16"/>
        <v/>
      </c>
      <c r="D227" s="557" t="str">
        <f t="shared" si="17"/>
        <v/>
      </c>
      <c r="E227" s="560"/>
      <c r="F227" s="559"/>
      <c r="G227" s="559" t="str">
        <f t="shared" si="18"/>
        <v/>
      </c>
      <c r="H227" s="559" t="str">
        <f t="shared" si="19"/>
        <v/>
      </c>
      <c r="I227" s="559" t="str">
        <f t="shared" si="20"/>
        <v/>
      </c>
    </row>
    <row r="228" spans="2:9">
      <c r="B228" s="555" t="str">
        <f t="shared" si="15"/>
        <v/>
      </c>
      <c r="C228" s="556" t="str">
        <f t="shared" si="16"/>
        <v/>
      </c>
      <c r="D228" s="557" t="str">
        <f t="shared" si="17"/>
        <v/>
      </c>
      <c r="E228" s="560"/>
      <c r="F228" s="559"/>
      <c r="G228" s="559" t="str">
        <f t="shared" si="18"/>
        <v/>
      </c>
      <c r="H228" s="559" t="str">
        <f t="shared" si="19"/>
        <v/>
      </c>
      <c r="I228" s="559" t="str">
        <f t="shared" si="20"/>
        <v/>
      </c>
    </row>
    <row r="229" spans="2:9">
      <c r="B229" s="555" t="str">
        <f t="shared" si="15"/>
        <v/>
      </c>
      <c r="C229" s="556" t="str">
        <f t="shared" si="16"/>
        <v/>
      </c>
      <c r="D229" s="557" t="str">
        <f t="shared" si="17"/>
        <v/>
      </c>
      <c r="E229" s="560"/>
      <c r="F229" s="559"/>
      <c r="G229" s="559" t="str">
        <f t="shared" si="18"/>
        <v/>
      </c>
      <c r="H229" s="559" t="str">
        <f t="shared" si="19"/>
        <v/>
      </c>
      <c r="I229" s="559" t="str">
        <f t="shared" si="20"/>
        <v/>
      </c>
    </row>
    <row r="230" spans="2:9">
      <c r="B230" s="555" t="str">
        <f t="shared" si="15"/>
        <v/>
      </c>
      <c r="C230" s="556" t="str">
        <f t="shared" si="16"/>
        <v/>
      </c>
      <c r="D230" s="557" t="str">
        <f t="shared" si="17"/>
        <v/>
      </c>
      <c r="E230" s="560"/>
      <c r="F230" s="559"/>
      <c r="G230" s="559" t="str">
        <f t="shared" si="18"/>
        <v/>
      </c>
      <c r="H230" s="559" t="str">
        <f t="shared" si="19"/>
        <v/>
      </c>
      <c r="I230" s="559" t="str">
        <f t="shared" si="20"/>
        <v/>
      </c>
    </row>
    <row r="231" spans="2:9">
      <c r="B231" s="555" t="str">
        <f t="shared" si="15"/>
        <v/>
      </c>
      <c r="C231" s="556" t="str">
        <f t="shared" si="16"/>
        <v/>
      </c>
      <c r="D231" s="557" t="str">
        <f t="shared" si="17"/>
        <v/>
      </c>
      <c r="E231" s="560"/>
      <c r="F231" s="559"/>
      <c r="G231" s="559" t="str">
        <f t="shared" si="18"/>
        <v/>
      </c>
      <c r="H231" s="559" t="str">
        <f t="shared" si="19"/>
        <v/>
      </c>
      <c r="I231" s="559" t="str">
        <f t="shared" si="20"/>
        <v/>
      </c>
    </row>
    <row r="232" spans="2:9">
      <c r="B232" s="555" t="str">
        <f t="shared" si="15"/>
        <v/>
      </c>
      <c r="C232" s="556" t="str">
        <f t="shared" si="16"/>
        <v/>
      </c>
      <c r="D232" s="557" t="str">
        <f t="shared" si="17"/>
        <v/>
      </c>
      <c r="E232" s="560"/>
      <c r="F232" s="559"/>
      <c r="G232" s="559" t="str">
        <f t="shared" si="18"/>
        <v/>
      </c>
      <c r="H232" s="559" t="str">
        <f t="shared" si="19"/>
        <v/>
      </c>
      <c r="I232" s="559" t="str">
        <f t="shared" si="20"/>
        <v/>
      </c>
    </row>
    <row r="233" spans="2:9">
      <c r="B233" s="555" t="str">
        <f t="shared" si="15"/>
        <v/>
      </c>
      <c r="C233" s="556" t="str">
        <f t="shared" si="16"/>
        <v/>
      </c>
      <c r="D233" s="557" t="str">
        <f t="shared" si="17"/>
        <v/>
      </c>
      <c r="E233" s="560"/>
      <c r="F233" s="559"/>
      <c r="G233" s="559" t="str">
        <f t="shared" si="18"/>
        <v/>
      </c>
      <c r="H233" s="559" t="str">
        <f t="shared" si="19"/>
        <v/>
      </c>
      <c r="I233" s="559" t="str">
        <f t="shared" si="20"/>
        <v/>
      </c>
    </row>
    <row r="234" spans="2:9">
      <c r="B234" s="555" t="str">
        <f t="shared" si="15"/>
        <v/>
      </c>
      <c r="C234" s="556" t="str">
        <f t="shared" si="16"/>
        <v/>
      </c>
      <c r="D234" s="557" t="str">
        <f t="shared" si="17"/>
        <v/>
      </c>
      <c r="E234" s="560"/>
      <c r="F234" s="559"/>
      <c r="G234" s="559" t="str">
        <f t="shared" si="18"/>
        <v/>
      </c>
      <c r="H234" s="559" t="str">
        <f t="shared" si="19"/>
        <v/>
      </c>
      <c r="I234" s="559" t="str">
        <f t="shared" si="20"/>
        <v/>
      </c>
    </row>
    <row r="235" spans="2:9">
      <c r="B235" s="555" t="str">
        <f t="shared" si="15"/>
        <v/>
      </c>
      <c r="C235" s="556" t="str">
        <f t="shared" si="16"/>
        <v/>
      </c>
      <c r="D235" s="557" t="str">
        <f t="shared" si="17"/>
        <v/>
      </c>
      <c r="E235" s="560"/>
      <c r="F235" s="559"/>
      <c r="G235" s="559" t="str">
        <f t="shared" si="18"/>
        <v/>
      </c>
      <c r="H235" s="559" t="str">
        <f t="shared" si="19"/>
        <v/>
      </c>
      <c r="I235" s="559" t="str">
        <f t="shared" si="20"/>
        <v/>
      </c>
    </row>
    <row r="236" spans="2:9">
      <c r="B236" s="555" t="str">
        <f t="shared" si="15"/>
        <v/>
      </c>
      <c r="C236" s="556" t="str">
        <f t="shared" si="16"/>
        <v/>
      </c>
      <c r="D236" s="557" t="str">
        <f t="shared" si="17"/>
        <v/>
      </c>
      <c r="E236" s="560"/>
      <c r="F236" s="559"/>
      <c r="G236" s="559" t="str">
        <f t="shared" si="18"/>
        <v/>
      </c>
      <c r="H236" s="559" t="str">
        <f t="shared" si="19"/>
        <v/>
      </c>
      <c r="I236" s="559" t="str">
        <f t="shared" si="20"/>
        <v/>
      </c>
    </row>
    <row r="237" spans="2:9">
      <c r="B237" s="555" t="str">
        <f t="shared" si="15"/>
        <v/>
      </c>
      <c r="C237" s="556" t="str">
        <f t="shared" si="16"/>
        <v/>
      </c>
      <c r="D237" s="557" t="str">
        <f t="shared" si="17"/>
        <v/>
      </c>
      <c r="E237" s="560"/>
      <c r="F237" s="559"/>
      <c r="G237" s="559" t="str">
        <f t="shared" si="18"/>
        <v/>
      </c>
      <c r="H237" s="559" t="str">
        <f t="shared" si="19"/>
        <v/>
      </c>
      <c r="I237" s="559" t="str">
        <f t="shared" si="20"/>
        <v/>
      </c>
    </row>
    <row r="238" spans="2:9">
      <c r="B238" s="555" t="str">
        <f t="shared" si="15"/>
        <v/>
      </c>
      <c r="C238" s="556" t="str">
        <f t="shared" si="16"/>
        <v/>
      </c>
      <c r="D238" s="557" t="str">
        <f t="shared" si="17"/>
        <v/>
      </c>
      <c r="E238" s="560"/>
      <c r="F238" s="559"/>
      <c r="G238" s="559" t="str">
        <f t="shared" si="18"/>
        <v/>
      </c>
      <c r="H238" s="559" t="str">
        <f t="shared" si="19"/>
        <v/>
      </c>
      <c r="I238" s="559" t="str">
        <f t="shared" si="20"/>
        <v/>
      </c>
    </row>
    <row r="239" spans="2:9">
      <c r="B239" s="555" t="str">
        <f t="shared" si="15"/>
        <v/>
      </c>
      <c r="C239" s="556" t="str">
        <f t="shared" si="16"/>
        <v/>
      </c>
      <c r="D239" s="557" t="str">
        <f t="shared" si="17"/>
        <v/>
      </c>
      <c r="E239" s="560"/>
      <c r="F239" s="559"/>
      <c r="G239" s="559" t="str">
        <f t="shared" si="18"/>
        <v/>
      </c>
      <c r="H239" s="559" t="str">
        <f t="shared" si="19"/>
        <v/>
      </c>
      <c r="I239" s="559" t="str">
        <f t="shared" si="20"/>
        <v/>
      </c>
    </row>
    <row r="240" spans="2:9">
      <c r="B240" s="555" t="str">
        <f t="shared" si="15"/>
        <v/>
      </c>
      <c r="C240" s="556" t="str">
        <f t="shared" si="16"/>
        <v/>
      </c>
      <c r="D240" s="557" t="str">
        <f t="shared" si="17"/>
        <v/>
      </c>
      <c r="E240" s="560"/>
      <c r="F240" s="559"/>
      <c r="G240" s="559" t="str">
        <f t="shared" si="18"/>
        <v/>
      </c>
      <c r="H240" s="559" t="str">
        <f t="shared" si="19"/>
        <v/>
      </c>
      <c r="I240" s="559" t="str">
        <f t="shared" si="20"/>
        <v/>
      </c>
    </row>
    <row r="241" spans="2:9">
      <c r="B241" s="555" t="str">
        <f t="shared" si="15"/>
        <v/>
      </c>
      <c r="C241" s="556" t="str">
        <f t="shared" si="16"/>
        <v/>
      </c>
      <c r="D241" s="557" t="str">
        <f t="shared" si="17"/>
        <v/>
      </c>
      <c r="E241" s="560"/>
      <c r="F241" s="559"/>
      <c r="G241" s="559" t="str">
        <f t="shared" si="18"/>
        <v/>
      </c>
      <c r="H241" s="559" t="str">
        <f t="shared" si="19"/>
        <v/>
      </c>
      <c r="I241" s="559" t="str">
        <f t="shared" si="20"/>
        <v/>
      </c>
    </row>
    <row r="242" spans="2:9">
      <c r="B242" s="555" t="str">
        <f t="shared" si="15"/>
        <v/>
      </c>
      <c r="C242" s="556" t="str">
        <f t="shared" si="16"/>
        <v/>
      </c>
      <c r="D242" s="557" t="str">
        <f t="shared" si="17"/>
        <v/>
      </c>
      <c r="E242" s="560"/>
      <c r="F242" s="559"/>
      <c r="G242" s="559" t="str">
        <f t="shared" si="18"/>
        <v/>
      </c>
      <c r="H242" s="559" t="str">
        <f t="shared" si="19"/>
        <v/>
      </c>
      <c r="I242" s="559" t="str">
        <f t="shared" si="20"/>
        <v/>
      </c>
    </row>
    <row r="243" spans="2:9">
      <c r="B243" s="555" t="str">
        <f t="shared" si="15"/>
        <v/>
      </c>
      <c r="C243" s="556" t="str">
        <f t="shared" si="16"/>
        <v/>
      </c>
      <c r="D243" s="557" t="str">
        <f t="shared" si="17"/>
        <v/>
      </c>
      <c r="E243" s="560"/>
      <c r="F243" s="559"/>
      <c r="G243" s="559" t="str">
        <f t="shared" si="18"/>
        <v/>
      </c>
      <c r="H243" s="559" t="str">
        <f t="shared" si="19"/>
        <v/>
      </c>
      <c r="I243" s="559" t="str">
        <f t="shared" si="20"/>
        <v/>
      </c>
    </row>
    <row r="244" spans="2:9">
      <c r="B244" s="555" t="str">
        <f t="shared" si="15"/>
        <v/>
      </c>
      <c r="C244" s="556" t="str">
        <f t="shared" si="16"/>
        <v/>
      </c>
      <c r="D244" s="557" t="str">
        <f t="shared" si="17"/>
        <v/>
      </c>
      <c r="E244" s="560"/>
      <c r="F244" s="559"/>
      <c r="G244" s="559" t="str">
        <f t="shared" si="18"/>
        <v/>
      </c>
      <c r="H244" s="559" t="str">
        <f t="shared" si="19"/>
        <v/>
      </c>
      <c r="I244" s="559" t="str">
        <f t="shared" si="20"/>
        <v/>
      </c>
    </row>
    <row r="245" spans="2:9">
      <c r="B245" s="555" t="str">
        <f t="shared" si="15"/>
        <v/>
      </c>
      <c r="C245" s="556" t="str">
        <f t="shared" si="16"/>
        <v/>
      </c>
      <c r="D245" s="557" t="str">
        <f t="shared" si="17"/>
        <v/>
      </c>
      <c r="E245" s="560"/>
      <c r="F245" s="559"/>
      <c r="G245" s="559" t="str">
        <f t="shared" si="18"/>
        <v/>
      </c>
      <c r="H245" s="559" t="str">
        <f t="shared" si="19"/>
        <v/>
      </c>
      <c r="I245" s="559" t="str">
        <f t="shared" si="20"/>
        <v/>
      </c>
    </row>
    <row r="246" spans="2:9">
      <c r="B246" s="555" t="str">
        <f t="shared" si="15"/>
        <v/>
      </c>
      <c r="C246" s="556" t="str">
        <f t="shared" si="16"/>
        <v/>
      </c>
      <c r="D246" s="557" t="str">
        <f t="shared" si="17"/>
        <v/>
      </c>
      <c r="E246" s="560"/>
      <c r="F246" s="559"/>
      <c r="G246" s="559" t="str">
        <f t="shared" si="18"/>
        <v/>
      </c>
      <c r="H246" s="559" t="str">
        <f t="shared" si="19"/>
        <v/>
      </c>
      <c r="I246" s="559" t="str">
        <f t="shared" si="20"/>
        <v/>
      </c>
    </row>
    <row r="247" spans="2:9">
      <c r="B247" s="555" t="str">
        <f t="shared" si="15"/>
        <v/>
      </c>
      <c r="C247" s="556" t="str">
        <f t="shared" si="16"/>
        <v/>
      </c>
      <c r="D247" s="557" t="str">
        <f t="shared" si="17"/>
        <v/>
      </c>
      <c r="E247" s="560"/>
      <c r="F247" s="559"/>
      <c r="G247" s="559" t="str">
        <f t="shared" si="18"/>
        <v/>
      </c>
      <c r="H247" s="559" t="str">
        <f t="shared" si="19"/>
        <v/>
      </c>
      <c r="I247" s="559" t="str">
        <f t="shared" si="20"/>
        <v/>
      </c>
    </row>
    <row r="248" spans="2:9">
      <c r="B248" s="555" t="str">
        <f t="shared" si="15"/>
        <v/>
      </c>
      <c r="C248" s="556" t="str">
        <f t="shared" si="16"/>
        <v/>
      </c>
      <c r="D248" s="557" t="str">
        <f t="shared" si="17"/>
        <v/>
      </c>
      <c r="E248" s="560"/>
      <c r="F248" s="559"/>
      <c r="G248" s="559" t="str">
        <f t="shared" si="18"/>
        <v/>
      </c>
      <c r="H248" s="559" t="str">
        <f t="shared" si="19"/>
        <v/>
      </c>
      <c r="I248" s="559" t="str">
        <f t="shared" si="20"/>
        <v/>
      </c>
    </row>
    <row r="249" spans="2:9">
      <c r="B249" s="555" t="str">
        <f t="shared" si="15"/>
        <v/>
      </c>
      <c r="C249" s="556" t="str">
        <f t="shared" si="16"/>
        <v/>
      </c>
      <c r="D249" s="557" t="str">
        <f t="shared" si="17"/>
        <v/>
      </c>
      <c r="E249" s="560"/>
      <c r="F249" s="559"/>
      <c r="G249" s="559" t="str">
        <f t="shared" si="18"/>
        <v/>
      </c>
      <c r="H249" s="559" t="str">
        <f t="shared" si="19"/>
        <v/>
      </c>
      <c r="I249" s="559" t="str">
        <f t="shared" si="20"/>
        <v/>
      </c>
    </row>
    <row r="250" spans="2:9">
      <c r="B250" s="555" t="str">
        <f t="shared" si="15"/>
        <v/>
      </c>
      <c r="C250" s="556" t="str">
        <f t="shared" si="16"/>
        <v/>
      </c>
      <c r="D250" s="557" t="str">
        <f t="shared" si="17"/>
        <v/>
      </c>
      <c r="E250" s="560"/>
      <c r="F250" s="559"/>
      <c r="G250" s="559" t="str">
        <f t="shared" si="18"/>
        <v/>
      </c>
      <c r="H250" s="559" t="str">
        <f t="shared" si="19"/>
        <v/>
      </c>
      <c r="I250" s="559" t="str">
        <f t="shared" si="20"/>
        <v/>
      </c>
    </row>
    <row r="251" spans="2:9">
      <c r="B251" s="555" t="str">
        <f t="shared" si="15"/>
        <v/>
      </c>
      <c r="C251" s="556" t="str">
        <f t="shared" si="16"/>
        <v/>
      </c>
      <c r="D251" s="557" t="str">
        <f t="shared" si="17"/>
        <v/>
      </c>
      <c r="E251" s="560"/>
      <c r="F251" s="559"/>
      <c r="G251" s="559" t="str">
        <f t="shared" si="18"/>
        <v/>
      </c>
      <c r="H251" s="559" t="str">
        <f t="shared" si="19"/>
        <v/>
      </c>
      <c r="I251" s="559" t="str">
        <f t="shared" si="20"/>
        <v/>
      </c>
    </row>
    <row r="252" spans="2:9">
      <c r="B252" s="555" t="str">
        <f t="shared" si="15"/>
        <v/>
      </c>
      <c r="C252" s="556" t="str">
        <f t="shared" si="16"/>
        <v/>
      </c>
      <c r="D252" s="557" t="str">
        <f t="shared" si="17"/>
        <v/>
      </c>
      <c r="E252" s="560"/>
      <c r="F252" s="559"/>
      <c r="G252" s="559" t="str">
        <f t="shared" si="18"/>
        <v/>
      </c>
      <c r="H252" s="559" t="str">
        <f t="shared" si="19"/>
        <v/>
      </c>
      <c r="I252" s="559" t="str">
        <f t="shared" si="20"/>
        <v/>
      </c>
    </row>
    <row r="253" spans="2:9">
      <c r="B253" s="555" t="str">
        <f t="shared" ref="B253:B316" si="21">IF(I252="","",IF(roundOpt,IF(OR(B252&gt;=nper,ROUND(I252,2)&lt;=0),"",B252+1),IF(OR(B252&gt;=nper,I252&lt;=0),"",B252+1)))</f>
        <v/>
      </c>
      <c r="C253" s="556" t="str">
        <f t="shared" ref="C253:C316" si="22">IF(B253="","",IF(OR(periods_per_year=26,periods_per_year=52),IF(periods_per_year=26,IF(B253=1,fpdate,C252+14),IF(periods_per_year=52,IF(B253=1,fpdate,C252+7),"n/a")),IF(periods_per_year=24,DATE(YEAR(fpdate),MONTH(fpdate)+(B253-1)/2+IF(AND(DAY(fpdate)&gt;=15,MOD(B253,2)=0),1,0),IF(MOD(B253,2)=0,IF(DAY(fpdate)&gt;=15,DAY(fpdate)-14,DAY(fpdate)+14),DAY(fpdate))),IF(DAY(DATE(YEAR(fpdate),MONTH(fpdate)+(B253-1)*months_per_period,DAY(fpdate)))&lt;&gt;DAY(fpdate),DATE(YEAR(fpdate),MONTH(fpdate)+(B253-1)*months_per_period+1,0),DATE(YEAR(fpdate),MONTH(fpdate)+(B253-1)*months_per_period,DAY(fpdate))))))</f>
        <v/>
      </c>
      <c r="D253" s="557" t="str">
        <f t="shared" ref="D253:D316" si="23">IF(B253="","",IF(roundOpt,IF(OR(B253=nper,payment&gt;ROUND((1+rate)*I252,2)),ROUND((1+rate)*I252,2),payment),IF(OR(B253=nper,payment&gt;(1+rate)*I252),(1+rate)*I252,payment)))</f>
        <v/>
      </c>
      <c r="E253" s="560"/>
      <c r="F253" s="559"/>
      <c r="G253" s="559" t="str">
        <f t="shared" ref="G253:G316" si="24">IF(B253="","",IF(AND(B253=1,pmtType=1),0,IF(roundOpt,ROUND(rate*I252,2),rate*I252)))</f>
        <v/>
      </c>
      <c r="H253" s="559" t="str">
        <f t="shared" ref="H253:H316" si="25">IF(B253="","",D253-G253+E253)</f>
        <v/>
      </c>
      <c r="I253" s="559" t="str">
        <f t="shared" ref="I253:I316" si="26">IF(B253="","",I252-H253)</f>
        <v/>
      </c>
    </row>
    <row r="254" spans="2:9">
      <c r="B254" s="555" t="str">
        <f t="shared" si="21"/>
        <v/>
      </c>
      <c r="C254" s="556" t="str">
        <f t="shared" si="22"/>
        <v/>
      </c>
      <c r="D254" s="557" t="str">
        <f t="shared" si="23"/>
        <v/>
      </c>
      <c r="E254" s="560"/>
      <c r="F254" s="559"/>
      <c r="G254" s="559" t="str">
        <f t="shared" si="24"/>
        <v/>
      </c>
      <c r="H254" s="559" t="str">
        <f t="shared" si="25"/>
        <v/>
      </c>
      <c r="I254" s="559" t="str">
        <f t="shared" si="26"/>
        <v/>
      </c>
    </row>
    <row r="255" spans="2:9">
      <c r="B255" s="555" t="str">
        <f t="shared" si="21"/>
        <v/>
      </c>
      <c r="C255" s="556" t="str">
        <f t="shared" si="22"/>
        <v/>
      </c>
      <c r="D255" s="557" t="str">
        <f t="shared" si="23"/>
        <v/>
      </c>
      <c r="E255" s="560"/>
      <c r="F255" s="559"/>
      <c r="G255" s="559" t="str">
        <f t="shared" si="24"/>
        <v/>
      </c>
      <c r="H255" s="559" t="str">
        <f t="shared" si="25"/>
        <v/>
      </c>
      <c r="I255" s="559" t="str">
        <f t="shared" si="26"/>
        <v/>
      </c>
    </row>
    <row r="256" spans="2:9">
      <c r="B256" s="555" t="str">
        <f t="shared" si="21"/>
        <v/>
      </c>
      <c r="C256" s="556" t="str">
        <f t="shared" si="22"/>
        <v/>
      </c>
      <c r="D256" s="557" t="str">
        <f t="shared" si="23"/>
        <v/>
      </c>
      <c r="E256" s="560"/>
      <c r="F256" s="559"/>
      <c r="G256" s="559" t="str">
        <f t="shared" si="24"/>
        <v/>
      </c>
      <c r="H256" s="559" t="str">
        <f t="shared" si="25"/>
        <v/>
      </c>
      <c r="I256" s="559" t="str">
        <f t="shared" si="26"/>
        <v/>
      </c>
    </row>
    <row r="257" spans="2:9">
      <c r="B257" s="555" t="str">
        <f t="shared" si="21"/>
        <v/>
      </c>
      <c r="C257" s="556" t="str">
        <f t="shared" si="22"/>
        <v/>
      </c>
      <c r="D257" s="557" t="str">
        <f t="shared" si="23"/>
        <v/>
      </c>
      <c r="E257" s="560"/>
      <c r="F257" s="559"/>
      <c r="G257" s="559" t="str">
        <f t="shared" si="24"/>
        <v/>
      </c>
      <c r="H257" s="559" t="str">
        <f t="shared" si="25"/>
        <v/>
      </c>
      <c r="I257" s="559" t="str">
        <f t="shared" si="26"/>
        <v/>
      </c>
    </row>
    <row r="258" spans="2:9">
      <c r="B258" s="555" t="str">
        <f t="shared" si="21"/>
        <v/>
      </c>
      <c r="C258" s="556" t="str">
        <f t="shared" si="22"/>
        <v/>
      </c>
      <c r="D258" s="557" t="str">
        <f t="shared" si="23"/>
        <v/>
      </c>
      <c r="E258" s="560"/>
      <c r="F258" s="559"/>
      <c r="G258" s="559" t="str">
        <f t="shared" si="24"/>
        <v/>
      </c>
      <c r="H258" s="559" t="str">
        <f t="shared" si="25"/>
        <v/>
      </c>
      <c r="I258" s="559" t="str">
        <f t="shared" si="26"/>
        <v/>
      </c>
    </row>
    <row r="259" spans="2:9">
      <c r="B259" s="555" t="str">
        <f t="shared" si="21"/>
        <v/>
      </c>
      <c r="C259" s="556" t="str">
        <f t="shared" si="22"/>
        <v/>
      </c>
      <c r="D259" s="557" t="str">
        <f t="shared" si="23"/>
        <v/>
      </c>
      <c r="E259" s="560"/>
      <c r="F259" s="559"/>
      <c r="G259" s="559" t="str">
        <f t="shared" si="24"/>
        <v/>
      </c>
      <c r="H259" s="559" t="str">
        <f t="shared" si="25"/>
        <v/>
      </c>
      <c r="I259" s="559" t="str">
        <f t="shared" si="26"/>
        <v/>
      </c>
    </row>
    <row r="260" spans="2:9">
      <c r="B260" s="555" t="str">
        <f t="shared" si="21"/>
        <v/>
      </c>
      <c r="C260" s="556" t="str">
        <f t="shared" si="22"/>
        <v/>
      </c>
      <c r="D260" s="557" t="str">
        <f t="shared" si="23"/>
        <v/>
      </c>
      <c r="E260" s="560"/>
      <c r="F260" s="559"/>
      <c r="G260" s="559" t="str">
        <f t="shared" si="24"/>
        <v/>
      </c>
      <c r="H260" s="559" t="str">
        <f t="shared" si="25"/>
        <v/>
      </c>
      <c r="I260" s="559" t="str">
        <f t="shared" si="26"/>
        <v/>
      </c>
    </row>
    <row r="261" spans="2:9">
      <c r="B261" s="555" t="str">
        <f t="shared" si="21"/>
        <v/>
      </c>
      <c r="C261" s="556" t="str">
        <f t="shared" si="22"/>
        <v/>
      </c>
      <c r="D261" s="557" t="str">
        <f t="shared" si="23"/>
        <v/>
      </c>
      <c r="E261" s="560"/>
      <c r="F261" s="559"/>
      <c r="G261" s="559" t="str">
        <f t="shared" si="24"/>
        <v/>
      </c>
      <c r="H261" s="559" t="str">
        <f t="shared" si="25"/>
        <v/>
      </c>
      <c r="I261" s="559" t="str">
        <f t="shared" si="26"/>
        <v/>
      </c>
    </row>
    <row r="262" spans="2:9">
      <c r="B262" s="555" t="str">
        <f t="shared" si="21"/>
        <v/>
      </c>
      <c r="C262" s="556" t="str">
        <f t="shared" si="22"/>
        <v/>
      </c>
      <c r="D262" s="557" t="str">
        <f t="shared" si="23"/>
        <v/>
      </c>
      <c r="E262" s="560"/>
      <c r="F262" s="559"/>
      <c r="G262" s="559" t="str">
        <f t="shared" si="24"/>
        <v/>
      </c>
      <c r="H262" s="559" t="str">
        <f t="shared" si="25"/>
        <v/>
      </c>
      <c r="I262" s="559" t="str">
        <f t="shared" si="26"/>
        <v/>
      </c>
    </row>
    <row r="263" spans="2:9">
      <c r="B263" s="555" t="str">
        <f t="shared" si="21"/>
        <v/>
      </c>
      <c r="C263" s="556" t="str">
        <f t="shared" si="22"/>
        <v/>
      </c>
      <c r="D263" s="557" t="str">
        <f t="shared" si="23"/>
        <v/>
      </c>
      <c r="E263" s="560"/>
      <c r="F263" s="559"/>
      <c r="G263" s="559" t="str">
        <f t="shared" si="24"/>
        <v/>
      </c>
      <c r="H263" s="559" t="str">
        <f t="shared" si="25"/>
        <v/>
      </c>
      <c r="I263" s="559" t="str">
        <f t="shared" si="26"/>
        <v/>
      </c>
    </row>
    <row r="264" spans="2:9">
      <c r="B264" s="555" t="str">
        <f t="shared" si="21"/>
        <v/>
      </c>
      <c r="C264" s="556" t="str">
        <f t="shared" si="22"/>
        <v/>
      </c>
      <c r="D264" s="557" t="str">
        <f t="shared" si="23"/>
        <v/>
      </c>
      <c r="E264" s="560"/>
      <c r="F264" s="559"/>
      <c r="G264" s="559" t="str">
        <f t="shared" si="24"/>
        <v/>
      </c>
      <c r="H264" s="559" t="str">
        <f t="shared" si="25"/>
        <v/>
      </c>
      <c r="I264" s="559" t="str">
        <f t="shared" si="26"/>
        <v/>
      </c>
    </row>
    <row r="265" spans="2:9">
      <c r="B265" s="555" t="str">
        <f t="shared" si="21"/>
        <v/>
      </c>
      <c r="C265" s="556" t="str">
        <f t="shared" si="22"/>
        <v/>
      </c>
      <c r="D265" s="557" t="str">
        <f t="shared" si="23"/>
        <v/>
      </c>
      <c r="E265" s="560"/>
      <c r="F265" s="559"/>
      <c r="G265" s="559" t="str">
        <f t="shared" si="24"/>
        <v/>
      </c>
      <c r="H265" s="559" t="str">
        <f t="shared" si="25"/>
        <v/>
      </c>
      <c r="I265" s="559" t="str">
        <f t="shared" si="26"/>
        <v/>
      </c>
    </row>
    <row r="266" spans="2:9">
      <c r="B266" s="555" t="str">
        <f t="shared" si="21"/>
        <v/>
      </c>
      <c r="C266" s="556" t="str">
        <f t="shared" si="22"/>
        <v/>
      </c>
      <c r="D266" s="557" t="str">
        <f t="shared" si="23"/>
        <v/>
      </c>
      <c r="E266" s="560"/>
      <c r="F266" s="559"/>
      <c r="G266" s="559" t="str">
        <f t="shared" si="24"/>
        <v/>
      </c>
      <c r="H266" s="559" t="str">
        <f t="shared" si="25"/>
        <v/>
      </c>
      <c r="I266" s="559" t="str">
        <f t="shared" si="26"/>
        <v/>
      </c>
    </row>
    <row r="267" spans="2:9">
      <c r="B267" s="555" t="str">
        <f t="shared" si="21"/>
        <v/>
      </c>
      <c r="C267" s="556" t="str">
        <f t="shared" si="22"/>
        <v/>
      </c>
      <c r="D267" s="557" t="str">
        <f t="shared" si="23"/>
        <v/>
      </c>
      <c r="E267" s="560"/>
      <c r="F267" s="559"/>
      <c r="G267" s="559" t="str">
        <f t="shared" si="24"/>
        <v/>
      </c>
      <c r="H267" s="559" t="str">
        <f t="shared" si="25"/>
        <v/>
      </c>
      <c r="I267" s="559" t="str">
        <f t="shared" si="26"/>
        <v/>
      </c>
    </row>
    <row r="268" spans="2:9">
      <c r="B268" s="555" t="str">
        <f t="shared" si="21"/>
        <v/>
      </c>
      <c r="C268" s="556" t="str">
        <f t="shared" si="22"/>
        <v/>
      </c>
      <c r="D268" s="557" t="str">
        <f t="shared" si="23"/>
        <v/>
      </c>
      <c r="E268" s="560"/>
      <c r="F268" s="559"/>
      <c r="G268" s="559" t="str">
        <f t="shared" si="24"/>
        <v/>
      </c>
      <c r="H268" s="559" t="str">
        <f t="shared" si="25"/>
        <v/>
      </c>
      <c r="I268" s="559" t="str">
        <f t="shared" si="26"/>
        <v/>
      </c>
    </row>
    <row r="269" spans="2:9">
      <c r="B269" s="555" t="str">
        <f t="shared" si="21"/>
        <v/>
      </c>
      <c r="C269" s="556" t="str">
        <f t="shared" si="22"/>
        <v/>
      </c>
      <c r="D269" s="557" t="str">
        <f t="shared" si="23"/>
        <v/>
      </c>
      <c r="E269" s="560"/>
      <c r="F269" s="559"/>
      <c r="G269" s="559" t="str">
        <f t="shared" si="24"/>
        <v/>
      </c>
      <c r="H269" s="559" t="str">
        <f t="shared" si="25"/>
        <v/>
      </c>
      <c r="I269" s="559" t="str">
        <f t="shared" si="26"/>
        <v/>
      </c>
    </row>
    <row r="270" spans="2:9">
      <c r="B270" s="555" t="str">
        <f t="shared" si="21"/>
        <v/>
      </c>
      <c r="C270" s="556" t="str">
        <f t="shared" si="22"/>
        <v/>
      </c>
      <c r="D270" s="557" t="str">
        <f t="shared" si="23"/>
        <v/>
      </c>
      <c r="E270" s="560"/>
      <c r="F270" s="559"/>
      <c r="G270" s="559" t="str">
        <f t="shared" si="24"/>
        <v/>
      </c>
      <c r="H270" s="559" t="str">
        <f t="shared" si="25"/>
        <v/>
      </c>
      <c r="I270" s="559" t="str">
        <f t="shared" si="26"/>
        <v/>
      </c>
    </row>
    <row r="271" spans="2:9">
      <c r="B271" s="555" t="str">
        <f t="shared" si="21"/>
        <v/>
      </c>
      <c r="C271" s="556" t="str">
        <f t="shared" si="22"/>
        <v/>
      </c>
      <c r="D271" s="557" t="str">
        <f t="shared" si="23"/>
        <v/>
      </c>
      <c r="E271" s="560"/>
      <c r="F271" s="559"/>
      <c r="G271" s="559" t="str">
        <f t="shared" si="24"/>
        <v/>
      </c>
      <c r="H271" s="559" t="str">
        <f t="shared" si="25"/>
        <v/>
      </c>
      <c r="I271" s="559" t="str">
        <f t="shared" si="26"/>
        <v/>
      </c>
    </row>
    <row r="272" spans="2:9">
      <c r="B272" s="555" t="str">
        <f t="shared" si="21"/>
        <v/>
      </c>
      <c r="C272" s="556" t="str">
        <f t="shared" si="22"/>
        <v/>
      </c>
      <c r="D272" s="557" t="str">
        <f t="shared" si="23"/>
        <v/>
      </c>
      <c r="E272" s="560"/>
      <c r="F272" s="559"/>
      <c r="G272" s="559" t="str">
        <f t="shared" si="24"/>
        <v/>
      </c>
      <c r="H272" s="559" t="str">
        <f t="shared" si="25"/>
        <v/>
      </c>
      <c r="I272" s="559" t="str">
        <f t="shared" si="26"/>
        <v/>
      </c>
    </row>
    <row r="273" spans="2:9">
      <c r="B273" s="555" t="str">
        <f t="shared" si="21"/>
        <v/>
      </c>
      <c r="C273" s="556" t="str">
        <f t="shared" si="22"/>
        <v/>
      </c>
      <c r="D273" s="557" t="str">
        <f t="shared" si="23"/>
        <v/>
      </c>
      <c r="E273" s="560"/>
      <c r="F273" s="559"/>
      <c r="G273" s="559" t="str">
        <f t="shared" si="24"/>
        <v/>
      </c>
      <c r="H273" s="559" t="str">
        <f t="shared" si="25"/>
        <v/>
      </c>
      <c r="I273" s="559" t="str">
        <f t="shared" si="26"/>
        <v/>
      </c>
    </row>
    <row r="274" spans="2:9">
      <c r="B274" s="555" t="str">
        <f t="shared" si="21"/>
        <v/>
      </c>
      <c r="C274" s="556" t="str">
        <f t="shared" si="22"/>
        <v/>
      </c>
      <c r="D274" s="557" t="str">
        <f t="shared" si="23"/>
        <v/>
      </c>
      <c r="E274" s="560"/>
      <c r="F274" s="559"/>
      <c r="G274" s="559" t="str">
        <f t="shared" si="24"/>
        <v/>
      </c>
      <c r="H274" s="559" t="str">
        <f t="shared" si="25"/>
        <v/>
      </c>
      <c r="I274" s="559" t="str">
        <f t="shared" si="26"/>
        <v/>
      </c>
    </row>
    <row r="275" spans="2:9">
      <c r="B275" s="555" t="str">
        <f t="shared" si="21"/>
        <v/>
      </c>
      <c r="C275" s="556" t="str">
        <f t="shared" si="22"/>
        <v/>
      </c>
      <c r="D275" s="557" t="str">
        <f t="shared" si="23"/>
        <v/>
      </c>
      <c r="E275" s="560"/>
      <c r="F275" s="559"/>
      <c r="G275" s="559" t="str">
        <f t="shared" si="24"/>
        <v/>
      </c>
      <c r="H275" s="559" t="str">
        <f t="shared" si="25"/>
        <v/>
      </c>
      <c r="I275" s="559" t="str">
        <f t="shared" si="26"/>
        <v/>
      </c>
    </row>
    <row r="276" spans="2:9">
      <c r="B276" s="555" t="str">
        <f t="shared" si="21"/>
        <v/>
      </c>
      <c r="C276" s="556" t="str">
        <f t="shared" si="22"/>
        <v/>
      </c>
      <c r="D276" s="557" t="str">
        <f t="shared" si="23"/>
        <v/>
      </c>
      <c r="E276" s="560"/>
      <c r="F276" s="559"/>
      <c r="G276" s="559" t="str">
        <f t="shared" si="24"/>
        <v/>
      </c>
      <c r="H276" s="559" t="str">
        <f t="shared" si="25"/>
        <v/>
      </c>
      <c r="I276" s="559" t="str">
        <f t="shared" si="26"/>
        <v/>
      </c>
    </row>
    <row r="277" spans="2:9">
      <c r="B277" s="555" t="str">
        <f t="shared" si="21"/>
        <v/>
      </c>
      <c r="C277" s="556" t="str">
        <f t="shared" si="22"/>
        <v/>
      </c>
      <c r="D277" s="557" t="str">
        <f t="shared" si="23"/>
        <v/>
      </c>
      <c r="E277" s="560"/>
      <c r="F277" s="559"/>
      <c r="G277" s="559" t="str">
        <f t="shared" si="24"/>
        <v/>
      </c>
      <c r="H277" s="559" t="str">
        <f t="shared" si="25"/>
        <v/>
      </c>
      <c r="I277" s="559" t="str">
        <f t="shared" si="26"/>
        <v/>
      </c>
    </row>
    <row r="278" spans="2:9">
      <c r="B278" s="555" t="str">
        <f t="shared" si="21"/>
        <v/>
      </c>
      <c r="C278" s="556" t="str">
        <f t="shared" si="22"/>
        <v/>
      </c>
      <c r="D278" s="557" t="str">
        <f t="shared" si="23"/>
        <v/>
      </c>
      <c r="E278" s="560"/>
      <c r="F278" s="559"/>
      <c r="G278" s="559" t="str">
        <f t="shared" si="24"/>
        <v/>
      </c>
      <c r="H278" s="559" t="str">
        <f t="shared" si="25"/>
        <v/>
      </c>
      <c r="I278" s="559" t="str">
        <f t="shared" si="26"/>
        <v/>
      </c>
    </row>
    <row r="279" spans="2:9">
      <c r="B279" s="555" t="str">
        <f t="shared" si="21"/>
        <v/>
      </c>
      <c r="C279" s="556" t="str">
        <f t="shared" si="22"/>
        <v/>
      </c>
      <c r="D279" s="557" t="str">
        <f t="shared" si="23"/>
        <v/>
      </c>
      <c r="E279" s="560"/>
      <c r="F279" s="559"/>
      <c r="G279" s="559" t="str">
        <f t="shared" si="24"/>
        <v/>
      </c>
      <c r="H279" s="559" t="str">
        <f t="shared" si="25"/>
        <v/>
      </c>
      <c r="I279" s="559" t="str">
        <f t="shared" si="26"/>
        <v/>
      </c>
    </row>
    <row r="280" spans="2:9">
      <c r="B280" s="555" t="str">
        <f t="shared" si="21"/>
        <v/>
      </c>
      <c r="C280" s="556" t="str">
        <f t="shared" si="22"/>
        <v/>
      </c>
      <c r="D280" s="557" t="str">
        <f t="shared" si="23"/>
        <v/>
      </c>
      <c r="E280" s="560"/>
      <c r="F280" s="559"/>
      <c r="G280" s="559" t="str">
        <f t="shared" si="24"/>
        <v/>
      </c>
      <c r="H280" s="559" t="str">
        <f t="shared" si="25"/>
        <v/>
      </c>
      <c r="I280" s="559" t="str">
        <f t="shared" si="26"/>
        <v/>
      </c>
    </row>
    <row r="281" spans="2:9">
      <c r="B281" s="555" t="str">
        <f t="shared" si="21"/>
        <v/>
      </c>
      <c r="C281" s="556" t="str">
        <f t="shared" si="22"/>
        <v/>
      </c>
      <c r="D281" s="557" t="str">
        <f t="shared" si="23"/>
        <v/>
      </c>
      <c r="E281" s="560"/>
      <c r="F281" s="559"/>
      <c r="G281" s="559" t="str">
        <f t="shared" si="24"/>
        <v/>
      </c>
      <c r="H281" s="559" t="str">
        <f t="shared" si="25"/>
        <v/>
      </c>
      <c r="I281" s="559" t="str">
        <f t="shared" si="26"/>
        <v/>
      </c>
    </row>
    <row r="282" spans="2:9">
      <c r="B282" s="555" t="str">
        <f t="shared" si="21"/>
        <v/>
      </c>
      <c r="C282" s="556" t="str">
        <f t="shared" si="22"/>
        <v/>
      </c>
      <c r="D282" s="557" t="str">
        <f t="shared" si="23"/>
        <v/>
      </c>
      <c r="E282" s="560"/>
      <c r="F282" s="559"/>
      <c r="G282" s="559" t="str">
        <f t="shared" si="24"/>
        <v/>
      </c>
      <c r="H282" s="559" t="str">
        <f t="shared" si="25"/>
        <v/>
      </c>
      <c r="I282" s="559" t="str">
        <f t="shared" si="26"/>
        <v/>
      </c>
    </row>
    <row r="283" spans="2:9">
      <c r="B283" s="555" t="str">
        <f t="shared" si="21"/>
        <v/>
      </c>
      <c r="C283" s="556" t="str">
        <f t="shared" si="22"/>
        <v/>
      </c>
      <c r="D283" s="557" t="str">
        <f t="shared" si="23"/>
        <v/>
      </c>
      <c r="E283" s="560"/>
      <c r="F283" s="559"/>
      <c r="G283" s="559" t="str">
        <f t="shared" si="24"/>
        <v/>
      </c>
      <c r="H283" s="559" t="str">
        <f t="shared" si="25"/>
        <v/>
      </c>
      <c r="I283" s="559" t="str">
        <f t="shared" si="26"/>
        <v/>
      </c>
    </row>
    <row r="284" spans="2:9">
      <c r="B284" s="555" t="str">
        <f t="shared" si="21"/>
        <v/>
      </c>
      <c r="C284" s="556" t="str">
        <f t="shared" si="22"/>
        <v/>
      </c>
      <c r="D284" s="557" t="str">
        <f t="shared" si="23"/>
        <v/>
      </c>
      <c r="E284" s="560"/>
      <c r="F284" s="559"/>
      <c r="G284" s="559" t="str">
        <f t="shared" si="24"/>
        <v/>
      </c>
      <c r="H284" s="559" t="str">
        <f t="shared" si="25"/>
        <v/>
      </c>
      <c r="I284" s="559" t="str">
        <f t="shared" si="26"/>
        <v/>
      </c>
    </row>
    <row r="285" spans="2:9">
      <c r="B285" s="555" t="str">
        <f t="shared" si="21"/>
        <v/>
      </c>
      <c r="C285" s="556" t="str">
        <f t="shared" si="22"/>
        <v/>
      </c>
      <c r="D285" s="557" t="str">
        <f t="shared" si="23"/>
        <v/>
      </c>
      <c r="E285" s="560"/>
      <c r="F285" s="559"/>
      <c r="G285" s="559" t="str">
        <f t="shared" si="24"/>
        <v/>
      </c>
      <c r="H285" s="559" t="str">
        <f t="shared" si="25"/>
        <v/>
      </c>
      <c r="I285" s="559" t="str">
        <f t="shared" si="26"/>
        <v/>
      </c>
    </row>
    <row r="286" spans="2:9">
      <c r="B286" s="555" t="str">
        <f t="shared" si="21"/>
        <v/>
      </c>
      <c r="C286" s="556" t="str">
        <f t="shared" si="22"/>
        <v/>
      </c>
      <c r="D286" s="557" t="str">
        <f t="shared" si="23"/>
        <v/>
      </c>
      <c r="E286" s="560"/>
      <c r="F286" s="559"/>
      <c r="G286" s="559" t="str">
        <f t="shared" si="24"/>
        <v/>
      </c>
      <c r="H286" s="559" t="str">
        <f t="shared" si="25"/>
        <v/>
      </c>
      <c r="I286" s="559" t="str">
        <f t="shared" si="26"/>
        <v/>
      </c>
    </row>
    <row r="287" spans="2:9">
      <c r="B287" s="555" t="str">
        <f t="shared" si="21"/>
        <v/>
      </c>
      <c r="C287" s="556" t="str">
        <f t="shared" si="22"/>
        <v/>
      </c>
      <c r="D287" s="557" t="str">
        <f t="shared" si="23"/>
        <v/>
      </c>
      <c r="E287" s="560"/>
      <c r="F287" s="559"/>
      <c r="G287" s="559" t="str">
        <f t="shared" si="24"/>
        <v/>
      </c>
      <c r="H287" s="559" t="str">
        <f t="shared" si="25"/>
        <v/>
      </c>
      <c r="I287" s="559" t="str">
        <f t="shared" si="26"/>
        <v/>
      </c>
    </row>
    <row r="288" spans="2:9">
      <c r="B288" s="555" t="str">
        <f t="shared" si="21"/>
        <v/>
      </c>
      <c r="C288" s="556" t="str">
        <f t="shared" si="22"/>
        <v/>
      </c>
      <c r="D288" s="557" t="str">
        <f t="shared" si="23"/>
        <v/>
      </c>
      <c r="E288" s="560"/>
      <c r="F288" s="559"/>
      <c r="G288" s="559" t="str">
        <f t="shared" si="24"/>
        <v/>
      </c>
      <c r="H288" s="559" t="str">
        <f t="shared" si="25"/>
        <v/>
      </c>
      <c r="I288" s="559" t="str">
        <f t="shared" si="26"/>
        <v/>
      </c>
    </row>
    <row r="289" spans="2:9">
      <c r="B289" s="555" t="str">
        <f t="shared" si="21"/>
        <v/>
      </c>
      <c r="C289" s="556" t="str">
        <f t="shared" si="22"/>
        <v/>
      </c>
      <c r="D289" s="557" t="str">
        <f t="shared" si="23"/>
        <v/>
      </c>
      <c r="E289" s="560"/>
      <c r="F289" s="559"/>
      <c r="G289" s="559" t="str">
        <f t="shared" si="24"/>
        <v/>
      </c>
      <c r="H289" s="559" t="str">
        <f t="shared" si="25"/>
        <v/>
      </c>
      <c r="I289" s="559" t="str">
        <f t="shared" si="26"/>
        <v/>
      </c>
    </row>
    <row r="290" spans="2:9">
      <c r="B290" s="555" t="str">
        <f t="shared" si="21"/>
        <v/>
      </c>
      <c r="C290" s="556" t="str">
        <f t="shared" si="22"/>
        <v/>
      </c>
      <c r="D290" s="557" t="str">
        <f t="shared" si="23"/>
        <v/>
      </c>
      <c r="E290" s="560"/>
      <c r="F290" s="559"/>
      <c r="G290" s="559" t="str">
        <f t="shared" si="24"/>
        <v/>
      </c>
      <c r="H290" s="559" t="str">
        <f t="shared" si="25"/>
        <v/>
      </c>
      <c r="I290" s="559" t="str">
        <f t="shared" si="26"/>
        <v/>
      </c>
    </row>
    <row r="291" spans="2:9">
      <c r="B291" s="555" t="str">
        <f t="shared" si="21"/>
        <v/>
      </c>
      <c r="C291" s="556" t="str">
        <f t="shared" si="22"/>
        <v/>
      </c>
      <c r="D291" s="557" t="str">
        <f t="shared" si="23"/>
        <v/>
      </c>
      <c r="E291" s="560"/>
      <c r="F291" s="559"/>
      <c r="G291" s="559" t="str">
        <f t="shared" si="24"/>
        <v/>
      </c>
      <c r="H291" s="559" t="str">
        <f t="shared" si="25"/>
        <v/>
      </c>
      <c r="I291" s="559" t="str">
        <f t="shared" si="26"/>
        <v/>
      </c>
    </row>
    <row r="292" spans="2:9">
      <c r="B292" s="555" t="str">
        <f t="shared" si="21"/>
        <v/>
      </c>
      <c r="C292" s="556" t="str">
        <f t="shared" si="22"/>
        <v/>
      </c>
      <c r="D292" s="557" t="str">
        <f t="shared" si="23"/>
        <v/>
      </c>
      <c r="E292" s="560"/>
      <c r="F292" s="559"/>
      <c r="G292" s="559" t="str">
        <f t="shared" si="24"/>
        <v/>
      </c>
      <c r="H292" s="559" t="str">
        <f t="shared" si="25"/>
        <v/>
      </c>
      <c r="I292" s="559" t="str">
        <f t="shared" si="26"/>
        <v/>
      </c>
    </row>
    <row r="293" spans="2:9">
      <c r="B293" s="555" t="str">
        <f t="shared" si="21"/>
        <v/>
      </c>
      <c r="C293" s="556" t="str">
        <f t="shared" si="22"/>
        <v/>
      </c>
      <c r="D293" s="557" t="str">
        <f t="shared" si="23"/>
        <v/>
      </c>
      <c r="E293" s="560"/>
      <c r="F293" s="559"/>
      <c r="G293" s="559" t="str">
        <f t="shared" si="24"/>
        <v/>
      </c>
      <c r="H293" s="559" t="str">
        <f t="shared" si="25"/>
        <v/>
      </c>
      <c r="I293" s="559" t="str">
        <f t="shared" si="26"/>
        <v/>
      </c>
    </row>
    <row r="294" spans="2:9">
      <c r="B294" s="555" t="str">
        <f t="shared" si="21"/>
        <v/>
      </c>
      <c r="C294" s="556" t="str">
        <f t="shared" si="22"/>
        <v/>
      </c>
      <c r="D294" s="557" t="str">
        <f t="shared" si="23"/>
        <v/>
      </c>
      <c r="E294" s="560"/>
      <c r="F294" s="559"/>
      <c r="G294" s="559" t="str">
        <f t="shared" si="24"/>
        <v/>
      </c>
      <c r="H294" s="559" t="str">
        <f t="shared" si="25"/>
        <v/>
      </c>
      <c r="I294" s="559" t="str">
        <f t="shared" si="26"/>
        <v/>
      </c>
    </row>
    <row r="295" spans="2:9">
      <c r="B295" s="555" t="str">
        <f t="shared" si="21"/>
        <v/>
      </c>
      <c r="C295" s="556" t="str">
        <f t="shared" si="22"/>
        <v/>
      </c>
      <c r="D295" s="557" t="str">
        <f t="shared" si="23"/>
        <v/>
      </c>
      <c r="E295" s="560"/>
      <c r="F295" s="559"/>
      <c r="G295" s="559" t="str">
        <f t="shared" si="24"/>
        <v/>
      </c>
      <c r="H295" s="559" t="str">
        <f t="shared" si="25"/>
        <v/>
      </c>
      <c r="I295" s="559" t="str">
        <f t="shared" si="26"/>
        <v/>
      </c>
    </row>
    <row r="296" spans="2:9">
      <c r="B296" s="555" t="str">
        <f t="shared" si="21"/>
        <v/>
      </c>
      <c r="C296" s="556" t="str">
        <f t="shared" si="22"/>
        <v/>
      </c>
      <c r="D296" s="557" t="str">
        <f t="shared" si="23"/>
        <v/>
      </c>
      <c r="E296" s="560"/>
      <c r="F296" s="559"/>
      <c r="G296" s="559" t="str">
        <f t="shared" si="24"/>
        <v/>
      </c>
      <c r="H296" s="559" t="str">
        <f t="shared" si="25"/>
        <v/>
      </c>
      <c r="I296" s="559" t="str">
        <f t="shared" si="26"/>
        <v/>
      </c>
    </row>
    <row r="297" spans="2:9">
      <c r="B297" s="555" t="str">
        <f t="shared" si="21"/>
        <v/>
      </c>
      <c r="C297" s="556" t="str">
        <f t="shared" si="22"/>
        <v/>
      </c>
      <c r="D297" s="557" t="str">
        <f t="shared" si="23"/>
        <v/>
      </c>
      <c r="E297" s="560"/>
      <c r="F297" s="559"/>
      <c r="G297" s="559" t="str">
        <f t="shared" si="24"/>
        <v/>
      </c>
      <c r="H297" s="559" t="str">
        <f t="shared" si="25"/>
        <v/>
      </c>
      <c r="I297" s="559" t="str">
        <f t="shared" si="26"/>
        <v/>
      </c>
    </row>
    <row r="298" spans="2:9">
      <c r="B298" s="555" t="str">
        <f t="shared" si="21"/>
        <v/>
      </c>
      <c r="C298" s="556" t="str">
        <f t="shared" si="22"/>
        <v/>
      </c>
      <c r="D298" s="557" t="str">
        <f t="shared" si="23"/>
        <v/>
      </c>
      <c r="E298" s="560"/>
      <c r="F298" s="559"/>
      <c r="G298" s="559" t="str">
        <f t="shared" si="24"/>
        <v/>
      </c>
      <c r="H298" s="559" t="str">
        <f t="shared" si="25"/>
        <v/>
      </c>
      <c r="I298" s="559" t="str">
        <f t="shared" si="26"/>
        <v/>
      </c>
    </row>
    <row r="299" spans="2:9">
      <c r="B299" s="555" t="str">
        <f t="shared" si="21"/>
        <v/>
      </c>
      <c r="C299" s="556" t="str">
        <f t="shared" si="22"/>
        <v/>
      </c>
      <c r="D299" s="557" t="str">
        <f t="shared" si="23"/>
        <v/>
      </c>
      <c r="E299" s="560"/>
      <c r="F299" s="559"/>
      <c r="G299" s="559" t="str">
        <f t="shared" si="24"/>
        <v/>
      </c>
      <c r="H299" s="559" t="str">
        <f t="shared" si="25"/>
        <v/>
      </c>
      <c r="I299" s="559" t="str">
        <f t="shared" si="26"/>
        <v/>
      </c>
    </row>
    <row r="300" spans="2:9">
      <c r="B300" s="555" t="str">
        <f t="shared" si="21"/>
        <v/>
      </c>
      <c r="C300" s="556" t="str">
        <f t="shared" si="22"/>
        <v/>
      </c>
      <c r="D300" s="557" t="str">
        <f t="shared" si="23"/>
        <v/>
      </c>
      <c r="E300" s="560"/>
      <c r="F300" s="559"/>
      <c r="G300" s="559" t="str">
        <f t="shared" si="24"/>
        <v/>
      </c>
      <c r="H300" s="559" t="str">
        <f t="shared" si="25"/>
        <v/>
      </c>
      <c r="I300" s="559" t="str">
        <f t="shared" si="26"/>
        <v/>
      </c>
    </row>
    <row r="301" spans="2:9">
      <c r="B301" s="555" t="str">
        <f t="shared" si="21"/>
        <v/>
      </c>
      <c r="C301" s="556" t="str">
        <f t="shared" si="22"/>
        <v/>
      </c>
      <c r="D301" s="557" t="str">
        <f t="shared" si="23"/>
        <v/>
      </c>
      <c r="E301" s="560"/>
      <c r="F301" s="559"/>
      <c r="G301" s="559" t="str">
        <f t="shared" si="24"/>
        <v/>
      </c>
      <c r="H301" s="559" t="str">
        <f t="shared" si="25"/>
        <v/>
      </c>
      <c r="I301" s="559" t="str">
        <f t="shared" si="26"/>
        <v/>
      </c>
    </row>
    <row r="302" spans="2:9">
      <c r="B302" s="555" t="str">
        <f t="shared" si="21"/>
        <v/>
      </c>
      <c r="C302" s="556" t="str">
        <f t="shared" si="22"/>
        <v/>
      </c>
      <c r="D302" s="557" t="str">
        <f t="shared" si="23"/>
        <v/>
      </c>
      <c r="E302" s="560"/>
      <c r="F302" s="559"/>
      <c r="G302" s="559" t="str">
        <f t="shared" si="24"/>
        <v/>
      </c>
      <c r="H302" s="559" t="str">
        <f t="shared" si="25"/>
        <v/>
      </c>
      <c r="I302" s="559" t="str">
        <f t="shared" si="26"/>
        <v/>
      </c>
    </row>
    <row r="303" spans="2:9">
      <c r="B303" s="555" t="str">
        <f t="shared" si="21"/>
        <v/>
      </c>
      <c r="C303" s="556" t="str">
        <f t="shared" si="22"/>
        <v/>
      </c>
      <c r="D303" s="557" t="str">
        <f t="shared" si="23"/>
        <v/>
      </c>
      <c r="E303" s="560"/>
      <c r="F303" s="559"/>
      <c r="G303" s="559" t="str">
        <f t="shared" si="24"/>
        <v/>
      </c>
      <c r="H303" s="559" t="str">
        <f t="shared" si="25"/>
        <v/>
      </c>
      <c r="I303" s="559" t="str">
        <f t="shared" si="26"/>
        <v/>
      </c>
    </row>
    <row r="304" spans="2:9">
      <c r="B304" s="555" t="str">
        <f t="shared" si="21"/>
        <v/>
      </c>
      <c r="C304" s="556" t="str">
        <f t="shared" si="22"/>
        <v/>
      </c>
      <c r="D304" s="557" t="str">
        <f t="shared" si="23"/>
        <v/>
      </c>
      <c r="E304" s="560"/>
      <c r="F304" s="559"/>
      <c r="G304" s="559" t="str">
        <f t="shared" si="24"/>
        <v/>
      </c>
      <c r="H304" s="559" t="str">
        <f t="shared" si="25"/>
        <v/>
      </c>
      <c r="I304" s="559" t="str">
        <f t="shared" si="26"/>
        <v/>
      </c>
    </row>
    <row r="305" spans="2:9">
      <c r="B305" s="555" t="str">
        <f t="shared" si="21"/>
        <v/>
      </c>
      <c r="C305" s="556" t="str">
        <f t="shared" si="22"/>
        <v/>
      </c>
      <c r="D305" s="557" t="str">
        <f t="shared" si="23"/>
        <v/>
      </c>
      <c r="E305" s="560"/>
      <c r="F305" s="559"/>
      <c r="G305" s="559" t="str">
        <f t="shared" si="24"/>
        <v/>
      </c>
      <c r="H305" s="559" t="str">
        <f t="shared" si="25"/>
        <v/>
      </c>
      <c r="I305" s="559" t="str">
        <f t="shared" si="26"/>
        <v/>
      </c>
    </row>
    <row r="306" spans="2:9">
      <c r="B306" s="555" t="str">
        <f t="shared" si="21"/>
        <v/>
      </c>
      <c r="C306" s="556" t="str">
        <f t="shared" si="22"/>
        <v/>
      </c>
      <c r="D306" s="557" t="str">
        <f t="shared" si="23"/>
        <v/>
      </c>
      <c r="E306" s="560"/>
      <c r="F306" s="559"/>
      <c r="G306" s="559" t="str">
        <f t="shared" si="24"/>
        <v/>
      </c>
      <c r="H306" s="559" t="str">
        <f t="shared" si="25"/>
        <v/>
      </c>
      <c r="I306" s="559" t="str">
        <f t="shared" si="26"/>
        <v/>
      </c>
    </row>
    <row r="307" spans="2:9">
      <c r="B307" s="555" t="str">
        <f t="shared" si="21"/>
        <v/>
      </c>
      <c r="C307" s="556" t="str">
        <f t="shared" si="22"/>
        <v/>
      </c>
      <c r="D307" s="557" t="str">
        <f t="shared" si="23"/>
        <v/>
      </c>
      <c r="E307" s="560"/>
      <c r="F307" s="559"/>
      <c r="G307" s="559" t="str">
        <f t="shared" si="24"/>
        <v/>
      </c>
      <c r="H307" s="559" t="str">
        <f t="shared" si="25"/>
        <v/>
      </c>
      <c r="I307" s="559" t="str">
        <f t="shared" si="26"/>
        <v/>
      </c>
    </row>
    <row r="308" spans="2:9">
      <c r="B308" s="555" t="str">
        <f t="shared" si="21"/>
        <v/>
      </c>
      <c r="C308" s="556" t="str">
        <f t="shared" si="22"/>
        <v/>
      </c>
      <c r="D308" s="557" t="str">
        <f t="shared" si="23"/>
        <v/>
      </c>
      <c r="E308" s="560"/>
      <c r="F308" s="559"/>
      <c r="G308" s="559" t="str">
        <f t="shared" si="24"/>
        <v/>
      </c>
      <c r="H308" s="559" t="str">
        <f t="shared" si="25"/>
        <v/>
      </c>
      <c r="I308" s="559" t="str">
        <f t="shared" si="26"/>
        <v/>
      </c>
    </row>
    <row r="309" spans="2:9">
      <c r="B309" s="555" t="str">
        <f t="shared" si="21"/>
        <v/>
      </c>
      <c r="C309" s="556" t="str">
        <f t="shared" si="22"/>
        <v/>
      </c>
      <c r="D309" s="557" t="str">
        <f t="shared" si="23"/>
        <v/>
      </c>
      <c r="E309" s="560"/>
      <c r="F309" s="559"/>
      <c r="G309" s="559" t="str">
        <f t="shared" si="24"/>
        <v/>
      </c>
      <c r="H309" s="559" t="str">
        <f t="shared" si="25"/>
        <v/>
      </c>
      <c r="I309" s="559" t="str">
        <f t="shared" si="26"/>
        <v/>
      </c>
    </row>
    <row r="310" spans="2:9">
      <c r="B310" s="555" t="str">
        <f t="shared" si="21"/>
        <v/>
      </c>
      <c r="C310" s="556" t="str">
        <f t="shared" si="22"/>
        <v/>
      </c>
      <c r="D310" s="557" t="str">
        <f t="shared" si="23"/>
        <v/>
      </c>
      <c r="E310" s="560"/>
      <c r="F310" s="559"/>
      <c r="G310" s="559" t="str">
        <f t="shared" si="24"/>
        <v/>
      </c>
      <c r="H310" s="559" t="str">
        <f t="shared" si="25"/>
        <v/>
      </c>
      <c r="I310" s="559" t="str">
        <f t="shared" si="26"/>
        <v/>
      </c>
    </row>
    <row r="311" spans="2:9">
      <c r="B311" s="555" t="str">
        <f t="shared" si="21"/>
        <v/>
      </c>
      <c r="C311" s="556" t="str">
        <f t="shared" si="22"/>
        <v/>
      </c>
      <c r="D311" s="557" t="str">
        <f t="shared" si="23"/>
        <v/>
      </c>
      <c r="E311" s="560"/>
      <c r="F311" s="559"/>
      <c r="G311" s="559" t="str">
        <f t="shared" si="24"/>
        <v/>
      </c>
      <c r="H311" s="559" t="str">
        <f t="shared" si="25"/>
        <v/>
      </c>
      <c r="I311" s="559" t="str">
        <f t="shared" si="26"/>
        <v/>
      </c>
    </row>
    <row r="312" spans="2:9">
      <c r="B312" s="555" t="str">
        <f t="shared" si="21"/>
        <v/>
      </c>
      <c r="C312" s="556" t="str">
        <f t="shared" si="22"/>
        <v/>
      </c>
      <c r="D312" s="557" t="str">
        <f t="shared" si="23"/>
        <v/>
      </c>
      <c r="E312" s="560"/>
      <c r="F312" s="559"/>
      <c r="G312" s="559" t="str">
        <f t="shared" si="24"/>
        <v/>
      </c>
      <c r="H312" s="559" t="str">
        <f t="shared" si="25"/>
        <v/>
      </c>
      <c r="I312" s="559" t="str">
        <f t="shared" si="26"/>
        <v/>
      </c>
    </row>
    <row r="313" spans="2:9">
      <c r="B313" s="555" t="str">
        <f t="shared" si="21"/>
        <v/>
      </c>
      <c r="C313" s="556" t="str">
        <f t="shared" si="22"/>
        <v/>
      </c>
      <c r="D313" s="557" t="str">
        <f t="shared" si="23"/>
        <v/>
      </c>
      <c r="E313" s="560"/>
      <c r="F313" s="559"/>
      <c r="G313" s="559" t="str">
        <f t="shared" si="24"/>
        <v/>
      </c>
      <c r="H313" s="559" t="str">
        <f t="shared" si="25"/>
        <v/>
      </c>
      <c r="I313" s="559" t="str">
        <f t="shared" si="26"/>
        <v/>
      </c>
    </row>
    <row r="314" spans="2:9">
      <c r="B314" s="555" t="str">
        <f t="shared" si="21"/>
        <v/>
      </c>
      <c r="C314" s="556" t="str">
        <f t="shared" si="22"/>
        <v/>
      </c>
      <c r="D314" s="557" t="str">
        <f t="shared" si="23"/>
        <v/>
      </c>
      <c r="E314" s="560"/>
      <c r="F314" s="559"/>
      <c r="G314" s="559" t="str">
        <f t="shared" si="24"/>
        <v/>
      </c>
      <c r="H314" s="559" t="str">
        <f t="shared" si="25"/>
        <v/>
      </c>
      <c r="I314" s="559" t="str">
        <f t="shared" si="26"/>
        <v/>
      </c>
    </row>
    <row r="315" spans="2:9">
      <c r="B315" s="555" t="str">
        <f t="shared" si="21"/>
        <v/>
      </c>
      <c r="C315" s="556" t="str">
        <f t="shared" si="22"/>
        <v/>
      </c>
      <c r="D315" s="557" t="str">
        <f t="shared" si="23"/>
        <v/>
      </c>
      <c r="E315" s="560"/>
      <c r="F315" s="559"/>
      <c r="G315" s="559" t="str">
        <f t="shared" si="24"/>
        <v/>
      </c>
      <c r="H315" s="559" t="str">
        <f t="shared" si="25"/>
        <v/>
      </c>
      <c r="I315" s="559" t="str">
        <f t="shared" si="26"/>
        <v/>
      </c>
    </row>
    <row r="316" spans="2:9">
      <c r="B316" s="555" t="str">
        <f t="shared" si="21"/>
        <v/>
      </c>
      <c r="C316" s="556" t="str">
        <f t="shared" si="22"/>
        <v/>
      </c>
      <c r="D316" s="557" t="str">
        <f t="shared" si="23"/>
        <v/>
      </c>
      <c r="E316" s="560"/>
      <c r="F316" s="559"/>
      <c r="G316" s="559" t="str">
        <f t="shared" si="24"/>
        <v/>
      </c>
      <c r="H316" s="559" t="str">
        <f t="shared" si="25"/>
        <v/>
      </c>
      <c r="I316" s="559" t="str">
        <f t="shared" si="26"/>
        <v/>
      </c>
    </row>
    <row r="317" spans="2:9">
      <c r="B317" s="555" t="str">
        <f t="shared" ref="B317:B380" si="27">IF(I316="","",IF(roundOpt,IF(OR(B316&gt;=nper,ROUND(I316,2)&lt;=0),"",B316+1),IF(OR(B316&gt;=nper,I316&lt;=0),"",B316+1)))</f>
        <v/>
      </c>
      <c r="C317" s="556" t="str">
        <f t="shared" ref="C317:C380" si="28">IF(B317="","",IF(OR(periods_per_year=26,periods_per_year=52),IF(periods_per_year=26,IF(B317=1,fpdate,C316+14),IF(periods_per_year=52,IF(B317=1,fpdate,C316+7),"n/a")),IF(periods_per_year=24,DATE(YEAR(fpdate),MONTH(fpdate)+(B317-1)/2+IF(AND(DAY(fpdate)&gt;=15,MOD(B317,2)=0),1,0),IF(MOD(B317,2)=0,IF(DAY(fpdate)&gt;=15,DAY(fpdate)-14,DAY(fpdate)+14),DAY(fpdate))),IF(DAY(DATE(YEAR(fpdate),MONTH(fpdate)+(B317-1)*months_per_period,DAY(fpdate)))&lt;&gt;DAY(fpdate),DATE(YEAR(fpdate),MONTH(fpdate)+(B317-1)*months_per_period+1,0),DATE(YEAR(fpdate),MONTH(fpdate)+(B317-1)*months_per_period,DAY(fpdate))))))</f>
        <v/>
      </c>
      <c r="D317" s="557" t="str">
        <f t="shared" ref="D317:D380" si="29">IF(B317="","",IF(roundOpt,IF(OR(B317=nper,payment&gt;ROUND((1+rate)*I316,2)),ROUND((1+rate)*I316,2),payment),IF(OR(B317=nper,payment&gt;(1+rate)*I316),(1+rate)*I316,payment)))</f>
        <v/>
      </c>
      <c r="E317" s="560"/>
      <c r="F317" s="559"/>
      <c r="G317" s="559" t="str">
        <f t="shared" ref="G317:G380" si="30">IF(B317="","",IF(AND(B317=1,pmtType=1),0,IF(roundOpt,ROUND(rate*I316,2),rate*I316)))</f>
        <v/>
      </c>
      <c r="H317" s="559" t="str">
        <f t="shared" ref="H317:H380" si="31">IF(B317="","",D317-G317+E317)</f>
        <v/>
      </c>
      <c r="I317" s="559" t="str">
        <f t="shared" ref="I317:I380" si="32">IF(B317="","",I316-H317)</f>
        <v/>
      </c>
    </row>
    <row r="318" spans="2:9">
      <c r="B318" s="555" t="str">
        <f t="shared" si="27"/>
        <v/>
      </c>
      <c r="C318" s="556" t="str">
        <f t="shared" si="28"/>
        <v/>
      </c>
      <c r="D318" s="557" t="str">
        <f t="shared" si="29"/>
        <v/>
      </c>
      <c r="E318" s="560"/>
      <c r="F318" s="559"/>
      <c r="G318" s="559" t="str">
        <f t="shared" si="30"/>
        <v/>
      </c>
      <c r="H318" s="559" t="str">
        <f t="shared" si="31"/>
        <v/>
      </c>
      <c r="I318" s="559" t="str">
        <f t="shared" si="32"/>
        <v/>
      </c>
    </row>
    <row r="319" spans="2:9">
      <c r="B319" s="555" t="str">
        <f t="shared" si="27"/>
        <v/>
      </c>
      <c r="C319" s="556" t="str">
        <f t="shared" si="28"/>
        <v/>
      </c>
      <c r="D319" s="557" t="str">
        <f t="shared" si="29"/>
        <v/>
      </c>
      <c r="E319" s="560"/>
      <c r="F319" s="559"/>
      <c r="G319" s="559" t="str">
        <f t="shared" si="30"/>
        <v/>
      </c>
      <c r="H319" s="559" t="str">
        <f t="shared" si="31"/>
        <v/>
      </c>
      <c r="I319" s="559" t="str">
        <f t="shared" si="32"/>
        <v/>
      </c>
    </row>
    <row r="320" spans="2:9">
      <c r="B320" s="555" t="str">
        <f t="shared" si="27"/>
        <v/>
      </c>
      <c r="C320" s="556" t="str">
        <f t="shared" si="28"/>
        <v/>
      </c>
      <c r="D320" s="557" t="str">
        <f t="shared" si="29"/>
        <v/>
      </c>
      <c r="E320" s="560"/>
      <c r="F320" s="559"/>
      <c r="G320" s="559" t="str">
        <f t="shared" si="30"/>
        <v/>
      </c>
      <c r="H320" s="559" t="str">
        <f t="shared" si="31"/>
        <v/>
      </c>
      <c r="I320" s="559" t="str">
        <f t="shared" si="32"/>
        <v/>
      </c>
    </row>
    <row r="321" spans="2:9">
      <c r="B321" s="555" t="str">
        <f t="shared" si="27"/>
        <v/>
      </c>
      <c r="C321" s="556" t="str">
        <f t="shared" si="28"/>
        <v/>
      </c>
      <c r="D321" s="557" t="str">
        <f t="shared" si="29"/>
        <v/>
      </c>
      <c r="E321" s="560"/>
      <c r="F321" s="559"/>
      <c r="G321" s="559" t="str">
        <f t="shared" si="30"/>
        <v/>
      </c>
      <c r="H321" s="559" t="str">
        <f t="shared" si="31"/>
        <v/>
      </c>
      <c r="I321" s="559" t="str">
        <f t="shared" si="32"/>
        <v/>
      </c>
    </row>
    <row r="322" spans="2:9">
      <c r="B322" s="555" t="str">
        <f t="shared" si="27"/>
        <v/>
      </c>
      <c r="C322" s="556" t="str">
        <f t="shared" si="28"/>
        <v/>
      </c>
      <c r="D322" s="557" t="str">
        <f t="shared" si="29"/>
        <v/>
      </c>
      <c r="E322" s="560"/>
      <c r="F322" s="559"/>
      <c r="G322" s="559" t="str">
        <f t="shared" si="30"/>
        <v/>
      </c>
      <c r="H322" s="559" t="str">
        <f t="shared" si="31"/>
        <v/>
      </c>
      <c r="I322" s="559" t="str">
        <f t="shared" si="32"/>
        <v/>
      </c>
    </row>
    <row r="323" spans="2:9">
      <c r="B323" s="555" t="str">
        <f t="shared" si="27"/>
        <v/>
      </c>
      <c r="C323" s="556" t="str">
        <f t="shared" si="28"/>
        <v/>
      </c>
      <c r="D323" s="557" t="str">
        <f t="shared" si="29"/>
        <v/>
      </c>
      <c r="E323" s="560"/>
      <c r="F323" s="559"/>
      <c r="G323" s="559" t="str">
        <f t="shared" si="30"/>
        <v/>
      </c>
      <c r="H323" s="559" t="str">
        <f t="shared" si="31"/>
        <v/>
      </c>
      <c r="I323" s="559" t="str">
        <f t="shared" si="32"/>
        <v/>
      </c>
    </row>
    <row r="324" spans="2:9">
      <c r="B324" s="555" t="str">
        <f t="shared" si="27"/>
        <v/>
      </c>
      <c r="C324" s="556" t="str">
        <f t="shared" si="28"/>
        <v/>
      </c>
      <c r="D324" s="557" t="str">
        <f t="shared" si="29"/>
        <v/>
      </c>
      <c r="E324" s="560"/>
      <c r="F324" s="559"/>
      <c r="G324" s="559" t="str">
        <f t="shared" si="30"/>
        <v/>
      </c>
      <c r="H324" s="559" t="str">
        <f t="shared" si="31"/>
        <v/>
      </c>
      <c r="I324" s="559" t="str">
        <f t="shared" si="32"/>
        <v/>
      </c>
    </row>
    <row r="325" spans="2:9">
      <c r="B325" s="555" t="str">
        <f t="shared" si="27"/>
        <v/>
      </c>
      <c r="C325" s="556" t="str">
        <f t="shared" si="28"/>
        <v/>
      </c>
      <c r="D325" s="557" t="str">
        <f t="shared" si="29"/>
        <v/>
      </c>
      <c r="E325" s="560"/>
      <c r="F325" s="559"/>
      <c r="G325" s="559" t="str">
        <f t="shared" si="30"/>
        <v/>
      </c>
      <c r="H325" s="559" t="str">
        <f t="shared" si="31"/>
        <v/>
      </c>
      <c r="I325" s="559" t="str">
        <f t="shared" si="32"/>
        <v/>
      </c>
    </row>
    <row r="326" spans="2:9">
      <c r="B326" s="555" t="str">
        <f t="shared" si="27"/>
        <v/>
      </c>
      <c r="C326" s="556" t="str">
        <f t="shared" si="28"/>
        <v/>
      </c>
      <c r="D326" s="557" t="str">
        <f t="shared" si="29"/>
        <v/>
      </c>
      <c r="E326" s="560"/>
      <c r="F326" s="559"/>
      <c r="G326" s="559" t="str">
        <f t="shared" si="30"/>
        <v/>
      </c>
      <c r="H326" s="559" t="str">
        <f t="shared" si="31"/>
        <v/>
      </c>
      <c r="I326" s="559" t="str">
        <f t="shared" si="32"/>
        <v/>
      </c>
    </row>
    <row r="327" spans="2:9">
      <c r="B327" s="555" t="str">
        <f t="shared" si="27"/>
        <v/>
      </c>
      <c r="C327" s="556" t="str">
        <f t="shared" si="28"/>
        <v/>
      </c>
      <c r="D327" s="557" t="str">
        <f t="shared" si="29"/>
        <v/>
      </c>
      <c r="E327" s="560"/>
      <c r="F327" s="559"/>
      <c r="G327" s="559" t="str">
        <f t="shared" si="30"/>
        <v/>
      </c>
      <c r="H327" s="559" t="str">
        <f t="shared" si="31"/>
        <v/>
      </c>
      <c r="I327" s="559" t="str">
        <f t="shared" si="32"/>
        <v/>
      </c>
    </row>
    <row r="328" spans="2:9">
      <c r="B328" s="555" t="str">
        <f t="shared" si="27"/>
        <v/>
      </c>
      <c r="C328" s="556" t="str">
        <f t="shared" si="28"/>
        <v/>
      </c>
      <c r="D328" s="557" t="str">
        <f t="shared" si="29"/>
        <v/>
      </c>
      <c r="E328" s="560"/>
      <c r="F328" s="559"/>
      <c r="G328" s="559" t="str">
        <f t="shared" si="30"/>
        <v/>
      </c>
      <c r="H328" s="559" t="str">
        <f t="shared" si="31"/>
        <v/>
      </c>
      <c r="I328" s="559" t="str">
        <f t="shared" si="32"/>
        <v/>
      </c>
    </row>
    <row r="329" spans="2:9">
      <c r="B329" s="555" t="str">
        <f t="shared" si="27"/>
        <v/>
      </c>
      <c r="C329" s="556" t="str">
        <f t="shared" si="28"/>
        <v/>
      </c>
      <c r="D329" s="557" t="str">
        <f t="shared" si="29"/>
        <v/>
      </c>
      <c r="E329" s="560"/>
      <c r="F329" s="559"/>
      <c r="G329" s="559" t="str">
        <f t="shared" si="30"/>
        <v/>
      </c>
      <c r="H329" s="559" t="str">
        <f t="shared" si="31"/>
        <v/>
      </c>
      <c r="I329" s="559" t="str">
        <f t="shared" si="32"/>
        <v/>
      </c>
    </row>
    <row r="330" spans="2:9">
      <c r="B330" s="555" t="str">
        <f t="shared" si="27"/>
        <v/>
      </c>
      <c r="C330" s="556" t="str">
        <f t="shared" si="28"/>
        <v/>
      </c>
      <c r="D330" s="557" t="str">
        <f t="shared" si="29"/>
        <v/>
      </c>
      <c r="E330" s="560"/>
      <c r="F330" s="559"/>
      <c r="G330" s="559" t="str">
        <f t="shared" si="30"/>
        <v/>
      </c>
      <c r="H330" s="559" t="str">
        <f t="shared" si="31"/>
        <v/>
      </c>
      <c r="I330" s="559" t="str">
        <f t="shared" si="32"/>
        <v/>
      </c>
    </row>
    <row r="331" spans="2:9">
      <c r="B331" s="555" t="str">
        <f t="shared" si="27"/>
        <v/>
      </c>
      <c r="C331" s="556" t="str">
        <f t="shared" si="28"/>
        <v/>
      </c>
      <c r="D331" s="557" t="str">
        <f t="shared" si="29"/>
        <v/>
      </c>
      <c r="E331" s="560"/>
      <c r="F331" s="559"/>
      <c r="G331" s="559" t="str">
        <f t="shared" si="30"/>
        <v/>
      </c>
      <c r="H331" s="559" t="str">
        <f t="shared" si="31"/>
        <v/>
      </c>
      <c r="I331" s="559" t="str">
        <f t="shared" si="32"/>
        <v/>
      </c>
    </row>
    <row r="332" spans="2:9">
      <c r="B332" s="555" t="str">
        <f t="shared" si="27"/>
        <v/>
      </c>
      <c r="C332" s="556" t="str">
        <f t="shared" si="28"/>
        <v/>
      </c>
      <c r="D332" s="557" t="str">
        <f t="shared" si="29"/>
        <v/>
      </c>
      <c r="E332" s="560"/>
      <c r="F332" s="559"/>
      <c r="G332" s="559" t="str">
        <f t="shared" si="30"/>
        <v/>
      </c>
      <c r="H332" s="559" t="str">
        <f t="shared" si="31"/>
        <v/>
      </c>
      <c r="I332" s="559" t="str">
        <f t="shared" si="32"/>
        <v/>
      </c>
    </row>
    <row r="333" spans="2:9">
      <c r="B333" s="555" t="str">
        <f t="shared" si="27"/>
        <v/>
      </c>
      <c r="C333" s="556" t="str">
        <f t="shared" si="28"/>
        <v/>
      </c>
      <c r="D333" s="557" t="str">
        <f t="shared" si="29"/>
        <v/>
      </c>
      <c r="E333" s="560"/>
      <c r="F333" s="559"/>
      <c r="G333" s="559" t="str">
        <f t="shared" si="30"/>
        <v/>
      </c>
      <c r="H333" s="559" t="str">
        <f t="shared" si="31"/>
        <v/>
      </c>
      <c r="I333" s="559" t="str">
        <f t="shared" si="32"/>
        <v/>
      </c>
    </row>
    <row r="334" spans="2:9">
      <c r="B334" s="555" t="str">
        <f t="shared" si="27"/>
        <v/>
      </c>
      <c r="C334" s="556" t="str">
        <f t="shared" si="28"/>
        <v/>
      </c>
      <c r="D334" s="557" t="str">
        <f t="shared" si="29"/>
        <v/>
      </c>
      <c r="E334" s="560"/>
      <c r="F334" s="559"/>
      <c r="G334" s="559" t="str">
        <f t="shared" si="30"/>
        <v/>
      </c>
      <c r="H334" s="559" t="str">
        <f t="shared" si="31"/>
        <v/>
      </c>
      <c r="I334" s="559" t="str">
        <f t="shared" si="32"/>
        <v/>
      </c>
    </row>
    <row r="335" spans="2:9">
      <c r="B335" s="555" t="str">
        <f t="shared" si="27"/>
        <v/>
      </c>
      <c r="C335" s="556" t="str">
        <f t="shared" si="28"/>
        <v/>
      </c>
      <c r="D335" s="557" t="str">
        <f t="shared" si="29"/>
        <v/>
      </c>
      <c r="E335" s="560"/>
      <c r="F335" s="559"/>
      <c r="G335" s="559" t="str">
        <f t="shared" si="30"/>
        <v/>
      </c>
      <c r="H335" s="559" t="str">
        <f t="shared" si="31"/>
        <v/>
      </c>
      <c r="I335" s="559" t="str">
        <f t="shared" si="32"/>
        <v/>
      </c>
    </row>
    <row r="336" spans="2:9">
      <c r="B336" s="555" t="str">
        <f t="shared" si="27"/>
        <v/>
      </c>
      <c r="C336" s="556" t="str">
        <f t="shared" si="28"/>
        <v/>
      </c>
      <c r="D336" s="557" t="str">
        <f t="shared" si="29"/>
        <v/>
      </c>
      <c r="E336" s="560"/>
      <c r="F336" s="559"/>
      <c r="G336" s="559" t="str">
        <f t="shared" si="30"/>
        <v/>
      </c>
      <c r="H336" s="559" t="str">
        <f t="shared" si="31"/>
        <v/>
      </c>
      <c r="I336" s="559" t="str">
        <f t="shared" si="32"/>
        <v/>
      </c>
    </row>
    <row r="337" spans="2:9">
      <c r="B337" s="555" t="str">
        <f t="shared" si="27"/>
        <v/>
      </c>
      <c r="C337" s="556" t="str">
        <f t="shared" si="28"/>
        <v/>
      </c>
      <c r="D337" s="557" t="str">
        <f t="shared" si="29"/>
        <v/>
      </c>
      <c r="E337" s="560"/>
      <c r="F337" s="559"/>
      <c r="G337" s="559" t="str">
        <f t="shared" si="30"/>
        <v/>
      </c>
      <c r="H337" s="559" t="str">
        <f t="shared" si="31"/>
        <v/>
      </c>
      <c r="I337" s="559" t="str">
        <f t="shared" si="32"/>
        <v/>
      </c>
    </row>
    <row r="338" spans="2:9">
      <c r="B338" s="555" t="str">
        <f t="shared" si="27"/>
        <v/>
      </c>
      <c r="C338" s="556" t="str">
        <f t="shared" si="28"/>
        <v/>
      </c>
      <c r="D338" s="557" t="str">
        <f t="shared" si="29"/>
        <v/>
      </c>
      <c r="E338" s="560"/>
      <c r="F338" s="559"/>
      <c r="G338" s="559" t="str">
        <f t="shared" si="30"/>
        <v/>
      </c>
      <c r="H338" s="559" t="str">
        <f t="shared" si="31"/>
        <v/>
      </c>
      <c r="I338" s="559" t="str">
        <f t="shared" si="32"/>
        <v/>
      </c>
    </row>
    <row r="339" spans="2:9">
      <c r="B339" s="555" t="str">
        <f t="shared" si="27"/>
        <v/>
      </c>
      <c r="C339" s="556" t="str">
        <f t="shared" si="28"/>
        <v/>
      </c>
      <c r="D339" s="557" t="str">
        <f t="shared" si="29"/>
        <v/>
      </c>
      <c r="E339" s="560"/>
      <c r="F339" s="559"/>
      <c r="G339" s="559" t="str">
        <f t="shared" si="30"/>
        <v/>
      </c>
      <c r="H339" s="559" t="str">
        <f t="shared" si="31"/>
        <v/>
      </c>
      <c r="I339" s="559" t="str">
        <f t="shared" si="32"/>
        <v/>
      </c>
    </row>
    <row r="340" spans="2:9">
      <c r="B340" s="555" t="str">
        <f t="shared" si="27"/>
        <v/>
      </c>
      <c r="C340" s="556" t="str">
        <f t="shared" si="28"/>
        <v/>
      </c>
      <c r="D340" s="557" t="str">
        <f t="shared" si="29"/>
        <v/>
      </c>
      <c r="E340" s="560"/>
      <c r="F340" s="559"/>
      <c r="G340" s="559" t="str">
        <f t="shared" si="30"/>
        <v/>
      </c>
      <c r="H340" s="559" t="str">
        <f t="shared" si="31"/>
        <v/>
      </c>
      <c r="I340" s="559" t="str">
        <f t="shared" si="32"/>
        <v/>
      </c>
    </row>
    <row r="341" spans="2:9">
      <c r="B341" s="555" t="str">
        <f t="shared" si="27"/>
        <v/>
      </c>
      <c r="C341" s="556" t="str">
        <f t="shared" si="28"/>
        <v/>
      </c>
      <c r="D341" s="557" t="str">
        <f t="shared" si="29"/>
        <v/>
      </c>
      <c r="E341" s="560"/>
      <c r="F341" s="559"/>
      <c r="G341" s="559" t="str">
        <f t="shared" si="30"/>
        <v/>
      </c>
      <c r="H341" s="559" t="str">
        <f t="shared" si="31"/>
        <v/>
      </c>
      <c r="I341" s="559" t="str">
        <f t="shared" si="32"/>
        <v/>
      </c>
    </row>
    <row r="342" spans="2:9">
      <c r="B342" s="555" t="str">
        <f t="shared" si="27"/>
        <v/>
      </c>
      <c r="C342" s="556" t="str">
        <f t="shared" si="28"/>
        <v/>
      </c>
      <c r="D342" s="557" t="str">
        <f t="shared" si="29"/>
        <v/>
      </c>
      <c r="E342" s="560"/>
      <c r="F342" s="559"/>
      <c r="G342" s="559" t="str">
        <f t="shared" si="30"/>
        <v/>
      </c>
      <c r="H342" s="559" t="str">
        <f t="shared" si="31"/>
        <v/>
      </c>
      <c r="I342" s="559" t="str">
        <f t="shared" si="32"/>
        <v/>
      </c>
    </row>
    <row r="343" spans="2:9">
      <c r="B343" s="555" t="str">
        <f t="shared" si="27"/>
        <v/>
      </c>
      <c r="C343" s="556" t="str">
        <f t="shared" si="28"/>
        <v/>
      </c>
      <c r="D343" s="557" t="str">
        <f t="shared" si="29"/>
        <v/>
      </c>
      <c r="E343" s="560"/>
      <c r="F343" s="559"/>
      <c r="G343" s="559" t="str">
        <f t="shared" si="30"/>
        <v/>
      </c>
      <c r="H343" s="559" t="str">
        <f t="shared" si="31"/>
        <v/>
      </c>
      <c r="I343" s="559" t="str">
        <f t="shared" si="32"/>
        <v/>
      </c>
    </row>
    <row r="344" spans="2:9">
      <c r="B344" s="555" t="str">
        <f t="shared" si="27"/>
        <v/>
      </c>
      <c r="C344" s="556" t="str">
        <f t="shared" si="28"/>
        <v/>
      </c>
      <c r="D344" s="557" t="str">
        <f t="shared" si="29"/>
        <v/>
      </c>
      <c r="E344" s="560"/>
      <c r="F344" s="559"/>
      <c r="G344" s="559" t="str">
        <f t="shared" si="30"/>
        <v/>
      </c>
      <c r="H344" s="559" t="str">
        <f t="shared" si="31"/>
        <v/>
      </c>
      <c r="I344" s="559" t="str">
        <f t="shared" si="32"/>
        <v/>
      </c>
    </row>
    <row r="345" spans="2:9">
      <c r="B345" s="555" t="str">
        <f t="shared" si="27"/>
        <v/>
      </c>
      <c r="C345" s="556" t="str">
        <f t="shared" si="28"/>
        <v/>
      </c>
      <c r="D345" s="557" t="str">
        <f t="shared" si="29"/>
        <v/>
      </c>
      <c r="E345" s="560"/>
      <c r="F345" s="559"/>
      <c r="G345" s="559" t="str">
        <f t="shared" si="30"/>
        <v/>
      </c>
      <c r="H345" s="559" t="str">
        <f t="shared" si="31"/>
        <v/>
      </c>
      <c r="I345" s="559" t="str">
        <f t="shared" si="32"/>
        <v/>
      </c>
    </row>
    <row r="346" spans="2:9">
      <c r="B346" s="555" t="str">
        <f t="shared" si="27"/>
        <v/>
      </c>
      <c r="C346" s="556" t="str">
        <f t="shared" si="28"/>
        <v/>
      </c>
      <c r="D346" s="557" t="str">
        <f t="shared" si="29"/>
        <v/>
      </c>
      <c r="E346" s="560"/>
      <c r="F346" s="559"/>
      <c r="G346" s="559" t="str">
        <f t="shared" si="30"/>
        <v/>
      </c>
      <c r="H346" s="559" t="str">
        <f t="shared" si="31"/>
        <v/>
      </c>
      <c r="I346" s="559" t="str">
        <f t="shared" si="32"/>
        <v/>
      </c>
    </row>
    <row r="347" spans="2:9">
      <c r="B347" s="555" t="str">
        <f t="shared" si="27"/>
        <v/>
      </c>
      <c r="C347" s="556" t="str">
        <f t="shared" si="28"/>
        <v/>
      </c>
      <c r="D347" s="557" t="str">
        <f t="shared" si="29"/>
        <v/>
      </c>
      <c r="E347" s="560"/>
      <c r="F347" s="559"/>
      <c r="G347" s="559" t="str">
        <f t="shared" si="30"/>
        <v/>
      </c>
      <c r="H347" s="559" t="str">
        <f t="shared" si="31"/>
        <v/>
      </c>
      <c r="I347" s="559" t="str">
        <f t="shared" si="32"/>
        <v/>
      </c>
    </row>
    <row r="348" spans="2:9">
      <c r="B348" s="555" t="str">
        <f t="shared" si="27"/>
        <v/>
      </c>
      <c r="C348" s="556" t="str">
        <f t="shared" si="28"/>
        <v/>
      </c>
      <c r="D348" s="557" t="str">
        <f t="shared" si="29"/>
        <v/>
      </c>
      <c r="E348" s="560"/>
      <c r="F348" s="559"/>
      <c r="G348" s="559" t="str">
        <f t="shared" si="30"/>
        <v/>
      </c>
      <c r="H348" s="559" t="str">
        <f t="shared" si="31"/>
        <v/>
      </c>
      <c r="I348" s="559" t="str">
        <f t="shared" si="32"/>
        <v/>
      </c>
    </row>
    <row r="349" spans="2:9">
      <c r="B349" s="555" t="str">
        <f t="shared" si="27"/>
        <v/>
      </c>
      <c r="C349" s="556" t="str">
        <f t="shared" si="28"/>
        <v/>
      </c>
      <c r="D349" s="557" t="str">
        <f t="shared" si="29"/>
        <v/>
      </c>
      <c r="E349" s="560"/>
      <c r="F349" s="559"/>
      <c r="G349" s="559" t="str">
        <f t="shared" si="30"/>
        <v/>
      </c>
      <c r="H349" s="559" t="str">
        <f t="shared" si="31"/>
        <v/>
      </c>
      <c r="I349" s="559" t="str">
        <f t="shared" si="32"/>
        <v/>
      </c>
    </row>
    <row r="350" spans="2:9">
      <c r="B350" s="555" t="str">
        <f t="shared" si="27"/>
        <v/>
      </c>
      <c r="C350" s="556" t="str">
        <f t="shared" si="28"/>
        <v/>
      </c>
      <c r="D350" s="557" t="str">
        <f t="shared" si="29"/>
        <v/>
      </c>
      <c r="E350" s="560"/>
      <c r="F350" s="559"/>
      <c r="G350" s="559" t="str">
        <f t="shared" si="30"/>
        <v/>
      </c>
      <c r="H350" s="559" t="str">
        <f t="shared" si="31"/>
        <v/>
      </c>
      <c r="I350" s="559" t="str">
        <f t="shared" si="32"/>
        <v/>
      </c>
    </row>
    <row r="351" spans="2:9">
      <c r="B351" s="555" t="str">
        <f t="shared" si="27"/>
        <v/>
      </c>
      <c r="C351" s="556" t="str">
        <f t="shared" si="28"/>
        <v/>
      </c>
      <c r="D351" s="557" t="str">
        <f t="shared" si="29"/>
        <v/>
      </c>
      <c r="E351" s="560"/>
      <c r="F351" s="559"/>
      <c r="G351" s="559" t="str">
        <f t="shared" si="30"/>
        <v/>
      </c>
      <c r="H351" s="559" t="str">
        <f t="shared" si="31"/>
        <v/>
      </c>
      <c r="I351" s="559" t="str">
        <f t="shared" si="32"/>
        <v/>
      </c>
    </row>
    <row r="352" spans="2:9">
      <c r="B352" s="555" t="str">
        <f t="shared" si="27"/>
        <v/>
      </c>
      <c r="C352" s="556" t="str">
        <f t="shared" si="28"/>
        <v/>
      </c>
      <c r="D352" s="557" t="str">
        <f t="shared" si="29"/>
        <v/>
      </c>
      <c r="E352" s="560"/>
      <c r="F352" s="559"/>
      <c r="G352" s="559" t="str">
        <f t="shared" si="30"/>
        <v/>
      </c>
      <c r="H352" s="559" t="str">
        <f t="shared" si="31"/>
        <v/>
      </c>
      <c r="I352" s="559" t="str">
        <f t="shared" si="32"/>
        <v/>
      </c>
    </row>
    <row r="353" spans="2:9">
      <c r="B353" s="555" t="str">
        <f t="shared" si="27"/>
        <v/>
      </c>
      <c r="C353" s="556" t="str">
        <f t="shared" si="28"/>
        <v/>
      </c>
      <c r="D353" s="557" t="str">
        <f t="shared" si="29"/>
        <v/>
      </c>
      <c r="E353" s="560"/>
      <c r="F353" s="559"/>
      <c r="G353" s="559" t="str">
        <f t="shared" si="30"/>
        <v/>
      </c>
      <c r="H353" s="559" t="str">
        <f t="shared" si="31"/>
        <v/>
      </c>
      <c r="I353" s="559" t="str">
        <f t="shared" si="32"/>
        <v/>
      </c>
    </row>
    <row r="354" spans="2:9">
      <c r="B354" s="555" t="str">
        <f t="shared" si="27"/>
        <v/>
      </c>
      <c r="C354" s="556" t="str">
        <f t="shared" si="28"/>
        <v/>
      </c>
      <c r="D354" s="557" t="str">
        <f t="shared" si="29"/>
        <v/>
      </c>
      <c r="E354" s="560"/>
      <c r="F354" s="559"/>
      <c r="G354" s="559" t="str">
        <f t="shared" si="30"/>
        <v/>
      </c>
      <c r="H354" s="559" t="str">
        <f t="shared" si="31"/>
        <v/>
      </c>
      <c r="I354" s="559" t="str">
        <f t="shared" si="32"/>
        <v/>
      </c>
    </row>
    <row r="355" spans="2:9">
      <c r="B355" s="555" t="str">
        <f t="shared" si="27"/>
        <v/>
      </c>
      <c r="C355" s="556" t="str">
        <f t="shared" si="28"/>
        <v/>
      </c>
      <c r="D355" s="557" t="str">
        <f t="shared" si="29"/>
        <v/>
      </c>
      <c r="E355" s="560"/>
      <c r="F355" s="559"/>
      <c r="G355" s="559" t="str">
        <f t="shared" si="30"/>
        <v/>
      </c>
      <c r="H355" s="559" t="str">
        <f t="shared" si="31"/>
        <v/>
      </c>
      <c r="I355" s="559" t="str">
        <f t="shared" si="32"/>
        <v/>
      </c>
    </row>
    <row r="356" spans="2:9">
      <c r="B356" s="555" t="str">
        <f t="shared" si="27"/>
        <v/>
      </c>
      <c r="C356" s="556" t="str">
        <f t="shared" si="28"/>
        <v/>
      </c>
      <c r="D356" s="557" t="str">
        <f t="shared" si="29"/>
        <v/>
      </c>
      <c r="E356" s="560"/>
      <c r="F356" s="559"/>
      <c r="G356" s="559" t="str">
        <f t="shared" si="30"/>
        <v/>
      </c>
      <c r="H356" s="559" t="str">
        <f t="shared" si="31"/>
        <v/>
      </c>
      <c r="I356" s="559" t="str">
        <f t="shared" si="32"/>
        <v/>
      </c>
    </row>
    <row r="357" spans="2:9">
      <c r="B357" s="555" t="str">
        <f t="shared" si="27"/>
        <v/>
      </c>
      <c r="C357" s="556" t="str">
        <f t="shared" si="28"/>
        <v/>
      </c>
      <c r="D357" s="557" t="str">
        <f t="shared" si="29"/>
        <v/>
      </c>
      <c r="E357" s="560"/>
      <c r="F357" s="559"/>
      <c r="G357" s="559" t="str">
        <f t="shared" si="30"/>
        <v/>
      </c>
      <c r="H357" s="559" t="str">
        <f t="shared" si="31"/>
        <v/>
      </c>
      <c r="I357" s="559" t="str">
        <f t="shared" si="32"/>
        <v/>
      </c>
    </row>
    <row r="358" spans="2:9">
      <c r="B358" s="555" t="str">
        <f t="shared" si="27"/>
        <v/>
      </c>
      <c r="C358" s="556" t="str">
        <f t="shared" si="28"/>
        <v/>
      </c>
      <c r="D358" s="557" t="str">
        <f t="shared" si="29"/>
        <v/>
      </c>
      <c r="E358" s="560"/>
      <c r="F358" s="559"/>
      <c r="G358" s="559" t="str">
        <f t="shared" si="30"/>
        <v/>
      </c>
      <c r="H358" s="559" t="str">
        <f t="shared" si="31"/>
        <v/>
      </c>
      <c r="I358" s="559" t="str">
        <f t="shared" si="32"/>
        <v/>
      </c>
    </row>
    <row r="359" spans="2:9">
      <c r="B359" s="555" t="str">
        <f t="shared" si="27"/>
        <v/>
      </c>
      <c r="C359" s="556" t="str">
        <f t="shared" si="28"/>
        <v/>
      </c>
      <c r="D359" s="557" t="str">
        <f t="shared" si="29"/>
        <v/>
      </c>
      <c r="E359" s="560"/>
      <c r="F359" s="559"/>
      <c r="G359" s="559" t="str">
        <f t="shared" si="30"/>
        <v/>
      </c>
      <c r="H359" s="559" t="str">
        <f t="shared" si="31"/>
        <v/>
      </c>
      <c r="I359" s="559" t="str">
        <f t="shared" si="32"/>
        <v/>
      </c>
    </row>
    <row r="360" spans="2:9">
      <c r="B360" s="555" t="str">
        <f t="shared" si="27"/>
        <v/>
      </c>
      <c r="C360" s="556" t="str">
        <f t="shared" si="28"/>
        <v/>
      </c>
      <c r="D360" s="557" t="str">
        <f t="shared" si="29"/>
        <v/>
      </c>
      <c r="E360" s="560"/>
      <c r="F360" s="559"/>
      <c r="G360" s="559" t="str">
        <f t="shared" si="30"/>
        <v/>
      </c>
      <c r="H360" s="559" t="str">
        <f t="shared" si="31"/>
        <v/>
      </c>
      <c r="I360" s="559" t="str">
        <f t="shared" si="32"/>
        <v/>
      </c>
    </row>
    <row r="361" spans="2:9">
      <c r="B361" s="555" t="str">
        <f t="shared" si="27"/>
        <v/>
      </c>
      <c r="C361" s="556" t="str">
        <f t="shared" si="28"/>
        <v/>
      </c>
      <c r="D361" s="557" t="str">
        <f t="shared" si="29"/>
        <v/>
      </c>
      <c r="E361" s="560"/>
      <c r="F361" s="559"/>
      <c r="G361" s="559" t="str">
        <f t="shared" si="30"/>
        <v/>
      </c>
      <c r="H361" s="559" t="str">
        <f t="shared" si="31"/>
        <v/>
      </c>
      <c r="I361" s="559" t="str">
        <f t="shared" si="32"/>
        <v/>
      </c>
    </row>
    <row r="362" spans="2:9">
      <c r="B362" s="555" t="str">
        <f t="shared" si="27"/>
        <v/>
      </c>
      <c r="C362" s="556" t="str">
        <f t="shared" si="28"/>
        <v/>
      </c>
      <c r="D362" s="557" t="str">
        <f t="shared" si="29"/>
        <v/>
      </c>
      <c r="E362" s="560"/>
      <c r="F362" s="559"/>
      <c r="G362" s="559" t="str">
        <f t="shared" si="30"/>
        <v/>
      </c>
      <c r="H362" s="559" t="str">
        <f t="shared" si="31"/>
        <v/>
      </c>
      <c r="I362" s="559" t="str">
        <f t="shared" si="32"/>
        <v/>
      </c>
    </row>
    <row r="363" spans="2:9">
      <c r="B363" s="555" t="str">
        <f t="shared" si="27"/>
        <v/>
      </c>
      <c r="C363" s="556" t="str">
        <f t="shared" si="28"/>
        <v/>
      </c>
      <c r="D363" s="557" t="str">
        <f t="shared" si="29"/>
        <v/>
      </c>
      <c r="E363" s="560"/>
      <c r="F363" s="559"/>
      <c r="G363" s="559" t="str">
        <f t="shared" si="30"/>
        <v/>
      </c>
      <c r="H363" s="559" t="str">
        <f t="shared" si="31"/>
        <v/>
      </c>
      <c r="I363" s="559" t="str">
        <f t="shared" si="32"/>
        <v/>
      </c>
    </row>
    <row r="364" spans="2:9">
      <c r="B364" s="555" t="str">
        <f t="shared" si="27"/>
        <v/>
      </c>
      <c r="C364" s="556" t="str">
        <f t="shared" si="28"/>
        <v/>
      </c>
      <c r="D364" s="557" t="str">
        <f t="shared" si="29"/>
        <v/>
      </c>
      <c r="E364" s="560"/>
      <c r="F364" s="559"/>
      <c r="G364" s="559" t="str">
        <f t="shared" si="30"/>
        <v/>
      </c>
      <c r="H364" s="559" t="str">
        <f t="shared" si="31"/>
        <v/>
      </c>
      <c r="I364" s="559" t="str">
        <f t="shared" si="32"/>
        <v/>
      </c>
    </row>
    <row r="365" spans="2:9">
      <c r="B365" s="555" t="str">
        <f t="shared" si="27"/>
        <v/>
      </c>
      <c r="C365" s="556" t="str">
        <f t="shared" si="28"/>
        <v/>
      </c>
      <c r="D365" s="557" t="str">
        <f t="shared" si="29"/>
        <v/>
      </c>
      <c r="E365" s="560"/>
      <c r="F365" s="559"/>
      <c r="G365" s="559" t="str">
        <f t="shared" si="30"/>
        <v/>
      </c>
      <c r="H365" s="559" t="str">
        <f t="shared" si="31"/>
        <v/>
      </c>
      <c r="I365" s="559" t="str">
        <f t="shared" si="32"/>
        <v/>
      </c>
    </row>
    <row r="366" spans="2:9">
      <c r="B366" s="555" t="str">
        <f t="shared" si="27"/>
        <v/>
      </c>
      <c r="C366" s="556" t="str">
        <f t="shared" si="28"/>
        <v/>
      </c>
      <c r="D366" s="557" t="str">
        <f t="shared" si="29"/>
        <v/>
      </c>
      <c r="E366" s="560"/>
      <c r="F366" s="559"/>
      <c r="G366" s="559" t="str">
        <f t="shared" si="30"/>
        <v/>
      </c>
      <c r="H366" s="559" t="str">
        <f t="shared" si="31"/>
        <v/>
      </c>
      <c r="I366" s="559" t="str">
        <f t="shared" si="32"/>
        <v/>
      </c>
    </row>
    <row r="367" spans="2:9">
      <c r="B367" s="555" t="str">
        <f t="shared" si="27"/>
        <v/>
      </c>
      <c r="C367" s="556" t="str">
        <f t="shared" si="28"/>
        <v/>
      </c>
      <c r="D367" s="557" t="str">
        <f t="shared" si="29"/>
        <v/>
      </c>
      <c r="E367" s="560"/>
      <c r="F367" s="559"/>
      <c r="G367" s="559" t="str">
        <f t="shared" si="30"/>
        <v/>
      </c>
      <c r="H367" s="559" t="str">
        <f t="shared" si="31"/>
        <v/>
      </c>
      <c r="I367" s="559" t="str">
        <f t="shared" si="32"/>
        <v/>
      </c>
    </row>
    <row r="368" spans="2:9">
      <c r="B368" s="555" t="str">
        <f t="shared" si="27"/>
        <v/>
      </c>
      <c r="C368" s="556" t="str">
        <f t="shared" si="28"/>
        <v/>
      </c>
      <c r="D368" s="557" t="str">
        <f t="shared" si="29"/>
        <v/>
      </c>
      <c r="E368" s="560"/>
      <c r="F368" s="559"/>
      <c r="G368" s="559" t="str">
        <f t="shared" si="30"/>
        <v/>
      </c>
      <c r="H368" s="559" t="str">
        <f t="shared" si="31"/>
        <v/>
      </c>
      <c r="I368" s="559" t="str">
        <f t="shared" si="32"/>
        <v/>
      </c>
    </row>
    <row r="369" spans="2:9">
      <c r="B369" s="555" t="str">
        <f t="shared" si="27"/>
        <v/>
      </c>
      <c r="C369" s="556" t="str">
        <f t="shared" si="28"/>
        <v/>
      </c>
      <c r="D369" s="557" t="str">
        <f t="shared" si="29"/>
        <v/>
      </c>
      <c r="E369" s="560"/>
      <c r="F369" s="559"/>
      <c r="G369" s="559" t="str">
        <f t="shared" si="30"/>
        <v/>
      </c>
      <c r="H369" s="559" t="str">
        <f t="shared" si="31"/>
        <v/>
      </c>
      <c r="I369" s="559" t="str">
        <f t="shared" si="32"/>
        <v/>
      </c>
    </row>
    <row r="370" spans="2:9">
      <c r="B370" s="555" t="str">
        <f t="shared" si="27"/>
        <v/>
      </c>
      <c r="C370" s="556" t="str">
        <f t="shared" si="28"/>
        <v/>
      </c>
      <c r="D370" s="557" t="str">
        <f t="shared" si="29"/>
        <v/>
      </c>
      <c r="E370" s="560"/>
      <c r="F370" s="559"/>
      <c r="G370" s="559" t="str">
        <f t="shared" si="30"/>
        <v/>
      </c>
      <c r="H370" s="559" t="str">
        <f t="shared" si="31"/>
        <v/>
      </c>
      <c r="I370" s="559" t="str">
        <f t="shared" si="32"/>
        <v/>
      </c>
    </row>
    <row r="371" spans="2:9">
      <c r="B371" s="555" t="str">
        <f t="shared" si="27"/>
        <v/>
      </c>
      <c r="C371" s="556" t="str">
        <f t="shared" si="28"/>
        <v/>
      </c>
      <c r="D371" s="557" t="str">
        <f t="shared" si="29"/>
        <v/>
      </c>
      <c r="E371" s="560"/>
      <c r="F371" s="559"/>
      <c r="G371" s="559" t="str">
        <f t="shared" si="30"/>
        <v/>
      </c>
      <c r="H371" s="559" t="str">
        <f t="shared" si="31"/>
        <v/>
      </c>
      <c r="I371" s="559" t="str">
        <f t="shared" si="32"/>
        <v/>
      </c>
    </row>
    <row r="372" spans="2:9">
      <c r="B372" s="555" t="str">
        <f t="shared" si="27"/>
        <v/>
      </c>
      <c r="C372" s="556" t="str">
        <f t="shared" si="28"/>
        <v/>
      </c>
      <c r="D372" s="557" t="str">
        <f t="shared" si="29"/>
        <v/>
      </c>
      <c r="E372" s="560"/>
      <c r="F372" s="559"/>
      <c r="G372" s="559" t="str">
        <f t="shared" si="30"/>
        <v/>
      </c>
      <c r="H372" s="559" t="str">
        <f t="shared" si="31"/>
        <v/>
      </c>
      <c r="I372" s="559" t="str">
        <f t="shared" si="32"/>
        <v/>
      </c>
    </row>
    <row r="373" spans="2:9">
      <c r="B373" s="555" t="str">
        <f t="shared" si="27"/>
        <v/>
      </c>
      <c r="C373" s="556" t="str">
        <f t="shared" si="28"/>
        <v/>
      </c>
      <c r="D373" s="557" t="str">
        <f t="shared" si="29"/>
        <v/>
      </c>
      <c r="E373" s="560"/>
      <c r="F373" s="559"/>
      <c r="G373" s="559" t="str">
        <f t="shared" si="30"/>
        <v/>
      </c>
      <c r="H373" s="559" t="str">
        <f t="shared" si="31"/>
        <v/>
      </c>
      <c r="I373" s="559" t="str">
        <f t="shared" si="32"/>
        <v/>
      </c>
    </row>
    <row r="374" spans="2:9">
      <c r="B374" s="555" t="str">
        <f t="shared" si="27"/>
        <v/>
      </c>
      <c r="C374" s="556" t="str">
        <f t="shared" si="28"/>
        <v/>
      </c>
      <c r="D374" s="557" t="str">
        <f t="shared" si="29"/>
        <v/>
      </c>
      <c r="E374" s="560"/>
      <c r="F374" s="559"/>
      <c r="G374" s="559" t="str">
        <f t="shared" si="30"/>
        <v/>
      </c>
      <c r="H374" s="559" t="str">
        <f t="shared" si="31"/>
        <v/>
      </c>
      <c r="I374" s="559" t="str">
        <f t="shared" si="32"/>
        <v/>
      </c>
    </row>
    <row r="375" spans="2:9">
      <c r="B375" s="555" t="str">
        <f t="shared" si="27"/>
        <v/>
      </c>
      <c r="C375" s="556" t="str">
        <f t="shared" si="28"/>
        <v/>
      </c>
      <c r="D375" s="557" t="str">
        <f t="shared" si="29"/>
        <v/>
      </c>
      <c r="E375" s="560"/>
      <c r="F375" s="559"/>
      <c r="G375" s="559" t="str">
        <f t="shared" si="30"/>
        <v/>
      </c>
      <c r="H375" s="559" t="str">
        <f t="shared" si="31"/>
        <v/>
      </c>
      <c r="I375" s="559" t="str">
        <f t="shared" si="32"/>
        <v/>
      </c>
    </row>
    <row r="376" spans="2:9">
      <c r="B376" s="555" t="str">
        <f t="shared" si="27"/>
        <v/>
      </c>
      <c r="C376" s="556" t="str">
        <f t="shared" si="28"/>
        <v/>
      </c>
      <c r="D376" s="557" t="str">
        <f t="shared" si="29"/>
        <v/>
      </c>
      <c r="E376" s="560"/>
      <c r="F376" s="559"/>
      <c r="G376" s="559" t="str">
        <f t="shared" si="30"/>
        <v/>
      </c>
      <c r="H376" s="559" t="str">
        <f t="shared" si="31"/>
        <v/>
      </c>
      <c r="I376" s="559" t="str">
        <f t="shared" si="32"/>
        <v/>
      </c>
    </row>
    <row r="377" spans="2:9">
      <c r="B377" s="555" t="str">
        <f t="shared" si="27"/>
        <v/>
      </c>
      <c r="C377" s="556" t="str">
        <f t="shared" si="28"/>
        <v/>
      </c>
      <c r="D377" s="557" t="str">
        <f t="shared" si="29"/>
        <v/>
      </c>
      <c r="E377" s="560"/>
      <c r="F377" s="559"/>
      <c r="G377" s="559" t="str">
        <f t="shared" si="30"/>
        <v/>
      </c>
      <c r="H377" s="559" t="str">
        <f t="shared" si="31"/>
        <v/>
      </c>
      <c r="I377" s="559" t="str">
        <f t="shared" si="32"/>
        <v/>
      </c>
    </row>
    <row r="378" spans="2:9">
      <c r="B378" s="555" t="str">
        <f t="shared" si="27"/>
        <v/>
      </c>
      <c r="C378" s="556" t="str">
        <f t="shared" si="28"/>
        <v/>
      </c>
      <c r="D378" s="557" t="str">
        <f t="shared" si="29"/>
        <v/>
      </c>
      <c r="E378" s="560"/>
      <c r="F378" s="559"/>
      <c r="G378" s="559" t="str">
        <f t="shared" si="30"/>
        <v/>
      </c>
      <c r="H378" s="559" t="str">
        <f t="shared" si="31"/>
        <v/>
      </c>
      <c r="I378" s="559" t="str">
        <f t="shared" si="32"/>
        <v/>
      </c>
    </row>
    <row r="379" spans="2:9">
      <c r="B379" s="555" t="str">
        <f t="shared" si="27"/>
        <v/>
      </c>
      <c r="C379" s="556" t="str">
        <f t="shared" si="28"/>
        <v/>
      </c>
      <c r="D379" s="557" t="str">
        <f t="shared" si="29"/>
        <v/>
      </c>
      <c r="E379" s="560"/>
      <c r="F379" s="559"/>
      <c r="G379" s="559" t="str">
        <f t="shared" si="30"/>
        <v/>
      </c>
      <c r="H379" s="559" t="str">
        <f t="shared" si="31"/>
        <v/>
      </c>
      <c r="I379" s="559" t="str">
        <f t="shared" si="32"/>
        <v/>
      </c>
    </row>
    <row r="380" spans="2:9">
      <c r="B380" s="555" t="str">
        <f t="shared" si="27"/>
        <v/>
      </c>
      <c r="C380" s="556" t="str">
        <f t="shared" si="28"/>
        <v/>
      </c>
      <c r="D380" s="557" t="str">
        <f t="shared" si="29"/>
        <v/>
      </c>
      <c r="E380" s="560"/>
      <c r="F380" s="559"/>
      <c r="G380" s="559" t="str">
        <f t="shared" si="30"/>
        <v/>
      </c>
      <c r="H380" s="559" t="str">
        <f t="shared" si="31"/>
        <v/>
      </c>
      <c r="I380" s="559" t="str">
        <f t="shared" si="32"/>
        <v/>
      </c>
    </row>
    <row r="381" spans="2:9">
      <c r="B381" s="555" t="str">
        <f t="shared" ref="B381:B444" si="33">IF(I380="","",IF(roundOpt,IF(OR(B380&gt;=nper,ROUND(I380,2)&lt;=0),"",B380+1),IF(OR(B380&gt;=nper,I380&lt;=0),"",B380+1)))</f>
        <v/>
      </c>
      <c r="C381" s="556" t="str">
        <f t="shared" ref="C381:C444" si="34">IF(B381="","",IF(OR(periods_per_year=26,periods_per_year=52),IF(periods_per_year=26,IF(B381=1,fpdate,C380+14),IF(periods_per_year=52,IF(B381=1,fpdate,C380+7),"n/a")),IF(periods_per_year=24,DATE(YEAR(fpdate),MONTH(fpdate)+(B381-1)/2+IF(AND(DAY(fpdate)&gt;=15,MOD(B381,2)=0),1,0),IF(MOD(B381,2)=0,IF(DAY(fpdate)&gt;=15,DAY(fpdate)-14,DAY(fpdate)+14),DAY(fpdate))),IF(DAY(DATE(YEAR(fpdate),MONTH(fpdate)+(B381-1)*months_per_period,DAY(fpdate)))&lt;&gt;DAY(fpdate),DATE(YEAR(fpdate),MONTH(fpdate)+(B381-1)*months_per_period+1,0),DATE(YEAR(fpdate),MONTH(fpdate)+(B381-1)*months_per_period,DAY(fpdate))))))</f>
        <v/>
      </c>
      <c r="D381" s="557" t="str">
        <f t="shared" ref="D381:D444" si="35">IF(B381="","",IF(roundOpt,IF(OR(B381=nper,payment&gt;ROUND((1+rate)*I380,2)),ROUND((1+rate)*I380,2),payment),IF(OR(B381=nper,payment&gt;(1+rate)*I380),(1+rate)*I380,payment)))</f>
        <v/>
      </c>
      <c r="E381" s="560"/>
      <c r="F381" s="559"/>
      <c r="G381" s="559" t="str">
        <f t="shared" ref="G381:G444" si="36">IF(B381="","",IF(AND(B381=1,pmtType=1),0,IF(roundOpt,ROUND(rate*I380,2),rate*I380)))</f>
        <v/>
      </c>
      <c r="H381" s="559" t="str">
        <f t="shared" ref="H381:H444" si="37">IF(B381="","",D381-G381+E381)</f>
        <v/>
      </c>
      <c r="I381" s="559" t="str">
        <f t="shared" ref="I381:I444" si="38">IF(B381="","",I380-H381)</f>
        <v/>
      </c>
    </row>
    <row r="382" spans="2:9">
      <c r="B382" s="555" t="str">
        <f t="shared" si="33"/>
        <v/>
      </c>
      <c r="C382" s="556" t="str">
        <f t="shared" si="34"/>
        <v/>
      </c>
      <c r="D382" s="557" t="str">
        <f t="shared" si="35"/>
        <v/>
      </c>
      <c r="E382" s="560"/>
      <c r="F382" s="559"/>
      <c r="G382" s="559" t="str">
        <f t="shared" si="36"/>
        <v/>
      </c>
      <c r="H382" s="559" t="str">
        <f t="shared" si="37"/>
        <v/>
      </c>
      <c r="I382" s="559" t="str">
        <f t="shared" si="38"/>
        <v/>
      </c>
    </row>
    <row r="383" spans="2:9">
      <c r="B383" s="555" t="str">
        <f t="shared" si="33"/>
        <v/>
      </c>
      <c r="C383" s="556" t="str">
        <f t="shared" si="34"/>
        <v/>
      </c>
      <c r="D383" s="557" t="str">
        <f t="shared" si="35"/>
        <v/>
      </c>
      <c r="E383" s="560"/>
      <c r="F383" s="559"/>
      <c r="G383" s="559" t="str">
        <f t="shared" si="36"/>
        <v/>
      </c>
      <c r="H383" s="559" t="str">
        <f t="shared" si="37"/>
        <v/>
      </c>
      <c r="I383" s="559" t="str">
        <f t="shared" si="38"/>
        <v/>
      </c>
    </row>
    <row r="384" spans="2:9">
      <c r="B384" s="555" t="str">
        <f t="shared" si="33"/>
        <v/>
      </c>
      <c r="C384" s="556" t="str">
        <f t="shared" si="34"/>
        <v/>
      </c>
      <c r="D384" s="557" t="str">
        <f t="shared" si="35"/>
        <v/>
      </c>
      <c r="E384" s="560"/>
      <c r="F384" s="559"/>
      <c r="G384" s="559" t="str">
        <f t="shared" si="36"/>
        <v/>
      </c>
      <c r="H384" s="559" t="str">
        <f t="shared" si="37"/>
        <v/>
      </c>
      <c r="I384" s="559" t="str">
        <f t="shared" si="38"/>
        <v/>
      </c>
    </row>
    <row r="385" spans="2:9">
      <c r="B385" s="555" t="str">
        <f t="shared" si="33"/>
        <v/>
      </c>
      <c r="C385" s="556" t="str">
        <f t="shared" si="34"/>
        <v/>
      </c>
      <c r="D385" s="557" t="str">
        <f t="shared" si="35"/>
        <v/>
      </c>
      <c r="E385" s="560"/>
      <c r="F385" s="559"/>
      <c r="G385" s="559" t="str">
        <f t="shared" si="36"/>
        <v/>
      </c>
      <c r="H385" s="559" t="str">
        <f t="shared" si="37"/>
        <v/>
      </c>
      <c r="I385" s="559" t="str">
        <f t="shared" si="38"/>
        <v/>
      </c>
    </row>
    <row r="386" spans="2:9">
      <c r="B386" s="555" t="str">
        <f t="shared" si="33"/>
        <v/>
      </c>
      <c r="C386" s="556" t="str">
        <f t="shared" si="34"/>
        <v/>
      </c>
      <c r="D386" s="557" t="str">
        <f t="shared" si="35"/>
        <v/>
      </c>
      <c r="E386" s="560"/>
      <c r="F386" s="559"/>
      <c r="G386" s="559" t="str">
        <f t="shared" si="36"/>
        <v/>
      </c>
      <c r="H386" s="559" t="str">
        <f t="shared" si="37"/>
        <v/>
      </c>
      <c r="I386" s="559" t="str">
        <f t="shared" si="38"/>
        <v/>
      </c>
    </row>
    <row r="387" spans="2:9">
      <c r="B387" s="555" t="str">
        <f t="shared" si="33"/>
        <v/>
      </c>
      <c r="C387" s="556" t="str">
        <f t="shared" si="34"/>
        <v/>
      </c>
      <c r="D387" s="557" t="str">
        <f t="shared" si="35"/>
        <v/>
      </c>
      <c r="E387" s="560"/>
      <c r="F387" s="559"/>
      <c r="G387" s="559" t="str">
        <f t="shared" si="36"/>
        <v/>
      </c>
      <c r="H387" s="559" t="str">
        <f t="shared" si="37"/>
        <v/>
      </c>
      <c r="I387" s="559" t="str">
        <f t="shared" si="38"/>
        <v/>
      </c>
    </row>
    <row r="388" spans="2:9">
      <c r="B388" s="555" t="str">
        <f t="shared" si="33"/>
        <v/>
      </c>
      <c r="C388" s="556" t="str">
        <f t="shared" si="34"/>
        <v/>
      </c>
      <c r="D388" s="557" t="str">
        <f t="shared" si="35"/>
        <v/>
      </c>
      <c r="E388" s="560"/>
      <c r="F388" s="559"/>
      <c r="G388" s="559" t="str">
        <f t="shared" si="36"/>
        <v/>
      </c>
      <c r="H388" s="559" t="str">
        <f t="shared" si="37"/>
        <v/>
      </c>
      <c r="I388" s="559" t="str">
        <f t="shared" si="38"/>
        <v/>
      </c>
    </row>
    <row r="389" spans="2:9">
      <c r="B389" s="555" t="str">
        <f t="shared" si="33"/>
        <v/>
      </c>
      <c r="C389" s="556" t="str">
        <f t="shared" si="34"/>
        <v/>
      </c>
      <c r="D389" s="557" t="str">
        <f t="shared" si="35"/>
        <v/>
      </c>
      <c r="E389" s="560"/>
      <c r="F389" s="559"/>
      <c r="G389" s="559" t="str">
        <f t="shared" si="36"/>
        <v/>
      </c>
      <c r="H389" s="559" t="str">
        <f t="shared" si="37"/>
        <v/>
      </c>
      <c r="I389" s="559" t="str">
        <f t="shared" si="38"/>
        <v/>
      </c>
    </row>
    <row r="390" spans="2:9">
      <c r="B390" s="555" t="str">
        <f t="shared" si="33"/>
        <v/>
      </c>
      <c r="C390" s="556" t="str">
        <f t="shared" si="34"/>
        <v/>
      </c>
      <c r="D390" s="557" t="str">
        <f t="shared" si="35"/>
        <v/>
      </c>
      <c r="E390" s="560"/>
      <c r="F390" s="559"/>
      <c r="G390" s="559" t="str">
        <f t="shared" si="36"/>
        <v/>
      </c>
      <c r="H390" s="559" t="str">
        <f t="shared" si="37"/>
        <v/>
      </c>
      <c r="I390" s="559" t="str">
        <f t="shared" si="38"/>
        <v/>
      </c>
    </row>
    <row r="391" spans="2:9">
      <c r="B391" s="555" t="str">
        <f t="shared" si="33"/>
        <v/>
      </c>
      <c r="C391" s="556" t="str">
        <f t="shared" si="34"/>
        <v/>
      </c>
      <c r="D391" s="557" t="str">
        <f t="shared" si="35"/>
        <v/>
      </c>
      <c r="E391" s="560"/>
      <c r="F391" s="559"/>
      <c r="G391" s="559" t="str">
        <f t="shared" si="36"/>
        <v/>
      </c>
      <c r="H391" s="559" t="str">
        <f t="shared" si="37"/>
        <v/>
      </c>
      <c r="I391" s="559" t="str">
        <f t="shared" si="38"/>
        <v/>
      </c>
    </row>
    <row r="392" spans="2:9">
      <c r="B392" s="555" t="str">
        <f t="shared" si="33"/>
        <v/>
      </c>
      <c r="C392" s="556" t="str">
        <f t="shared" si="34"/>
        <v/>
      </c>
      <c r="D392" s="557" t="str">
        <f t="shared" si="35"/>
        <v/>
      </c>
      <c r="E392" s="560"/>
      <c r="F392" s="559"/>
      <c r="G392" s="559" t="str">
        <f t="shared" si="36"/>
        <v/>
      </c>
      <c r="H392" s="559" t="str">
        <f t="shared" si="37"/>
        <v/>
      </c>
      <c r="I392" s="559" t="str">
        <f t="shared" si="38"/>
        <v/>
      </c>
    </row>
    <row r="393" spans="2:9">
      <c r="B393" s="555" t="str">
        <f t="shared" si="33"/>
        <v/>
      </c>
      <c r="C393" s="556" t="str">
        <f t="shared" si="34"/>
        <v/>
      </c>
      <c r="D393" s="557" t="str">
        <f t="shared" si="35"/>
        <v/>
      </c>
      <c r="E393" s="560"/>
      <c r="F393" s="559"/>
      <c r="G393" s="559" t="str">
        <f t="shared" si="36"/>
        <v/>
      </c>
      <c r="H393" s="559" t="str">
        <f t="shared" si="37"/>
        <v/>
      </c>
      <c r="I393" s="559" t="str">
        <f t="shared" si="38"/>
        <v/>
      </c>
    </row>
    <row r="394" spans="2:9">
      <c r="B394" s="555" t="str">
        <f t="shared" si="33"/>
        <v/>
      </c>
      <c r="C394" s="556" t="str">
        <f t="shared" si="34"/>
        <v/>
      </c>
      <c r="D394" s="557" t="str">
        <f t="shared" si="35"/>
        <v/>
      </c>
      <c r="E394" s="560"/>
      <c r="F394" s="559"/>
      <c r="G394" s="559" t="str">
        <f t="shared" si="36"/>
        <v/>
      </c>
      <c r="H394" s="559" t="str">
        <f t="shared" si="37"/>
        <v/>
      </c>
      <c r="I394" s="559" t="str">
        <f t="shared" si="38"/>
        <v/>
      </c>
    </row>
    <row r="395" spans="2:9">
      <c r="B395" s="555" t="str">
        <f t="shared" si="33"/>
        <v/>
      </c>
      <c r="C395" s="556" t="str">
        <f t="shared" si="34"/>
        <v/>
      </c>
      <c r="D395" s="557" t="str">
        <f t="shared" si="35"/>
        <v/>
      </c>
      <c r="E395" s="560"/>
      <c r="F395" s="559"/>
      <c r="G395" s="559" t="str">
        <f t="shared" si="36"/>
        <v/>
      </c>
      <c r="H395" s="559" t="str">
        <f t="shared" si="37"/>
        <v/>
      </c>
      <c r="I395" s="559" t="str">
        <f t="shared" si="38"/>
        <v/>
      </c>
    </row>
    <row r="396" spans="2:9">
      <c r="B396" s="555" t="str">
        <f t="shared" si="33"/>
        <v/>
      </c>
      <c r="C396" s="556" t="str">
        <f t="shared" si="34"/>
        <v/>
      </c>
      <c r="D396" s="557" t="str">
        <f t="shared" si="35"/>
        <v/>
      </c>
      <c r="E396" s="560"/>
      <c r="F396" s="559"/>
      <c r="G396" s="559" t="str">
        <f t="shared" si="36"/>
        <v/>
      </c>
      <c r="H396" s="559" t="str">
        <f t="shared" si="37"/>
        <v/>
      </c>
      <c r="I396" s="559" t="str">
        <f t="shared" si="38"/>
        <v/>
      </c>
    </row>
    <row r="397" spans="2:9">
      <c r="B397" s="555" t="str">
        <f t="shared" si="33"/>
        <v/>
      </c>
      <c r="C397" s="556" t="str">
        <f t="shared" si="34"/>
        <v/>
      </c>
      <c r="D397" s="557" t="str">
        <f t="shared" si="35"/>
        <v/>
      </c>
      <c r="E397" s="560"/>
      <c r="F397" s="559"/>
      <c r="G397" s="559" t="str">
        <f t="shared" si="36"/>
        <v/>
      </c>
      <c r="H397" s="559" t="str">
        <f t="shared" si="37"/>
        <v/>
      </c>
      <c r="I397" s="559" t="str">
        <f t="shared" si="38"/>
        <v/>
      </c>
    </row>
    <row r="398" spans="2:9">
      <c r="B398" s="555" t="str">
        <f t="shared" si="33"/>
        <v/>
      </c>
      <c r="C398" s="556" t="str">
        <f t="shared" si="34"/>
        <v/>
      </c>
      <c r="D398" s="557" t="str">
        <f t="shared" si="35"/>
        <v/>
      </c>
      <c r="E398" s="560"/>
      <c r="F398" s="559"/>
      <c r="G398" s="559" t="str">
        <f t="shared" si="36"/>
        <v/>
      </c>
      <c r="H398" s="559" t="str">
        <f t="shared" si="37"/>
        <v/>
      </c>
      <c r="I398" s="559" t="str">
        <f t="shared" si="38"/>
        <v/>
      </c>
    </row>
    <row r="399" spans="2:9">
      <c r="B399" s="555" t="str">
        <f t="shared" si="33"/>
        <v/>
      </c>
      <c r="C399" s="556" t="str">
        <f t="shared" si="34"/>
        <v/>
      </c>
      <c r="D399" s="557" t="str">
        <f t="shared" si="35"/>
        <v/>
      </c>
      <c r="E399" s="560"/>
      <c r="F399" s="559"/>
      <c r="G399" s="559" t="str">
        <f t="shared" si="36"/>
        <v/>
      </c>
      <c r="H399" s="559" t="str">
        <f t="shared" si="37"/>
        <v/>
      </c>
      <c r="I399" s="559" t="str">
        <f t="shared" si="38"/>
        <v/>
      </c>
    </row>
    <row r="400" spans="2:9">
      <c r="B400" s="555" t="str">
        <f t="shared" si="33"/>
        <v/>
      </c>
      <c r="C400" s="556" t="str">
        <f t="shared" si="34"/>
        <v/>
      </c>
      <c r="D400" s="557" t="str">
        <f t="shared" si="35"/>
        <v/>
      </c>
      <c r="E400" s="560"/>
      <c r="F400" s="559"/>
      <c r="G400" s="559" t="str">
        <f t="shared" si="36"/>
        <v/>
      </c>
      <c r="H400" s="559" t="str">
        <f t="shared" si="37"/>
        <v/>
      </c>
      <c r="I400" s="559" t="str">
        <f t="shared" si="38"/>
        <v/>
      </c>
    </row>
    <row r="401" spans="2:9">
      <c r="B401" s="555" t="str">
        <f t="shared" si="33"/>
        <v/>
      </c>
      <c r="C401" s="556" t="str">
        <f t="shared" si="34"/>
        <v/>
      </c>
      <c r="D401" s="557" t="str">
        <f t="shared" si="35"/>
        <v/>
      </c>
      <c r="E401" s="560"/>
      <c r="F401" s="559"/>
      <c r="G401" s="559" t="str">
        <f t="shared" si="36"/>
        <v/>
      </c>
      <c r="H401" s="559" t="str">
        <f t="shared" si="37"/>
        <v/>
      </c>
      <c r="I401" s="559" t="str">
        <f t="shared" si="38"/>
        <v/>
      </c>
    </row>
    <row r="402" spans="2:9">
      <c r="B402" s="555" t="str">
        <f t="shared" si="33"/>
        <v/>
      </c>
      <c r="C402" s="556" t="str">
        <f t="shared" si="34"/>
        <v/>
      </c>
      <c r="D402" s="557" t="str">
        <f t="shared" si="35"/>
        <v/>
      </c>
      <c r="E402" s="560"/>
      <c r="F402" s="559"/>
      <c r="G402" s="559" t="str">
        <f t="shared" si="36"/>
        <v/>
      </c>
      <c r="H402" s="559" t="str">
        <f t="shared" si="37"/>
        <v/>
      </c>
      <c r="I402" s="559" t="str">
        <f t="shared" si="38"/>
        <v/>
      </c>
    </row>
    <row r="403" spans="2:9">
      <c r="B403" s="555" t="str">
        <f t="shared" si="33"/>
        <v/>
      </c>
      <c r="C403" s="556" t="str">
        <f t="shared" si="34"/>
        <v/>
      </c>
      <c r="D403" s="557" t="str">
        <f t="shared" si="35"/>
        <v/>
      </c>
      <c r="E403" s="560"/>
      <c r="F403" s="559"/>
      <c r="G403" s="559" t="str">
        <f t="shared" si="36"/>
        <v/>
      </c>
      <c r="H403" s="559" t="str">
        <f t="shared" si="37"/>
        <v/>
      </c>
      <c r="I403" s="559" t="str">
        <f t="shared" si="38"/>
        <v/>
      </c>
    </row>
    <row r="404" spans="2:9">
      <c r="B404" s="555" t="str">
        <f t="shared" si="33"/>
        <v/>
      </c>
      <c r="C404" s="556" t="str">
        <f t="shared" si="34"/>
        <v/>
      </c>
      <c r="D404" s="557" t="str">
        <f t="shared" si="35"/>
        <v/>
      </c>
      <c r="E404" s="560"/>
      <c r="F404" s="559"/>
      <c r="G404" s="559" t="str">
        <f t="shared" si="36"/>
        <v/>
      </c>
      <c r="H404" s="559" t="str">
        <f t="shared" si="37"/>
        <v/>
      </c>
      <c r="I404" s="559" t="str">
        <f t="shared" si="38"/>
        <v/>
      </c>
    </row>
    <row r="405" spans="2:9">
      <c r="B405" s="555" t="str">
        <f t="shared" si="33"/>
        <v/>
      </c>
      <c r="C405" s="556" t="str">
        <f t="shared" si="34"/>
        <v/>
      </c>
      <c r="D405" s="557" t="str">
        <f t="shared" si="35"/>
        <v/>
      </c>
      <c r="E405" s="560"/>
      <c r="F405" s="559"/>
      <c r="G405" s="559" t="str">
        <f t="shared" si="36"/>
        <v/>
      </c>
      <c r="H405" s="559" t="str">
        <f t="shared" si="37"/>
        <v/>
      </c>
      <c r="I405" s="559" t="str">
        <f t="shared" si="38"/>
        <v/>
      </c>
    </row>
    <row r="406" spans="2:9">
      <c r="B406" s="555" t="str">
        <f t="shared" si="33"/>
        <v/>
      </c>
      <c r="C406" s="556" t="str">
        <f t="shared" si="34"/>
        <v/>
      </c>
      <c r="D406" s="557" t="str">
        <f t="shared" si="35"/>
        <v/>
      </c>
      <c r="E406" s="560"/>
      <c r="F406" s="559"/>
      <c r="G406" s="559" t="str">
        <f t="shared" si="36"/>
        <v/>
      </c>
      <c r="H406" s="559" t="str">
        <f t="shared" si="37"/>
        <v/>
      </c>
      <c r="I406" s="559" t="str">
        <f t="shared" si="38"/>
        <v/>
      </c>
    </row>
    <row r="407" spans="2:9">
      <c r="B407" s="555" t="str">
        <f t="shared" si="33"/>
        <v/>
      </c>
      <c r="C407" s="556" t="str">
        <f t="shared" si="34"/>
        <v/>
      </c>
      <c r="D407" s="557" t="str">
        <f t="shared" si="35"/>
        <v/>
      </c>
      <c r="E407" s="560"/>
      <c r="F407" s="559"/>
      <c r="G407" s="559" t="str">
        <f t="shared" si="36"/>
        <v/>
      </c>
      <c r="H407" s="559" t="str">
        <f t="shared" si="37"/>
        <v/>
      </c>
      <c r="I407" s="559" t="str">
        <f t="shared" si="38"/>
        <v/>
      </c>
    </row>
    <row r="408" spans="2:9">
      <c r="B408" s="555" t="str">
        <f t="shared" si="33"/>
        <v/>
      </c>
      <c r="C408" s="556" t="str">
        <f t="shared" si="34"/>
        <v/>
      </c>
      <c r="D408" s="557" t="str">
        <f t="shared" si="35"/>
        <v/>
      </c>
      <c r="E408" s="560"/>
      <c r="F408" s="559"/>
      <c r="G408" s="559" t="str">
        <f t="shared" si="36"/>
        <v/>
      </c>
      <c r="H408" s="559" t="str">
        <f t="shared" si="37"/>
        <v/>
      </c>
      <c r="I408" s="559" t="str">
        <f t="shared" si="38"/>
        <v/>
      </c>
    </row>
    <row r="409" spans="2:9">
      <c r="B409" s="555" t="str">
        <f t="shared" si="33"/>
        <v/>
      </c>
      <c r="C409" s="556" t="str">
        <f t="shared" si="34"/>
        <v/>
      </c>
      <c r="D409" s="557" t="str">
        <f t="shared" si="35"/>
        <v/>
      </c>
      <c r="E409" s="560"/>
      <c r="F409" s="559"/>
      <c r="G409" s="559" t="str">
        <f t="shared" si="36"/>
        <v/>
      </c>
      <c r="H409" s="559" t="str">
        <f t="shared" si="37"/>
        <v/>
      </c>
      <c r="I409" s="559" t="str">
        <f t="shared" si="38"/>
        <v/>
      </c>
    </row>
    <row r="410" spans="2:9">
      <c r="B410" s="555" t="str">
        <f t="shared" si="33"/>
        <v/>
      </c>
      <c r="C410" s="556" t="str">
        <f t="shared" si="34"/>
        <v/>
      </c>
      <c r="D410" s="557" t="str">
        <f t="shared" si="35"/>
        <v/>
      </c>
      <c r="E410" s="560"/>
      <c r="F410" s="559"/>
      <c r="G410" s="559" t="str">
        <f t="shared" si="36"/>
        <v/>
      </c>
      <c r="H410" s="559" t="str">
        <f t="shared" si="37"/>
        <v/>
      </c>
      <c r="I410" s="559" t="str">
        <f t="shared" si="38"/>
        <v/>
      </c>
    </row>
    <row r="411" spans="2:9">
      <c r="B411" s="555" t="str">
        <f t="shared" si="33"/>
        <v/>
      </c>
      <c r="C411" s="556" t="str">
        <f t="shared" si="34"/>
        <v/>
      </c>
      <c r="D411" s="557" t="str">
        <f t="shared" si="35"/>
        <v/>
      </c>
      <c r="E411" s="560"/>
      <c r="F411" s="559"/>
      <c r="G411" s="559" t="str">
        <f t="shared" si="36"/>
        <v/>
      </c>
      <c r="H411" s="559" t="str">
        <f t="shared" si="37"/>
        <v/>
      </c>
      <c r="I411" s="559" t="str">
        <f t="shared" si="38"/>
        <v/>
      </c>
    </row>
    <row r="412" spans="2:9">
      <c r="B412" s="555" t="str">
        <f t="shared" si="33"/>
        <v/>
      </c>
      <c r="C412" s="556" t="str">
        <f t="shared" si="34"/>
        <v/>
      </c>
      <c r="D412" s="557" t="str">
        <f t="shared" si="35"/>
        <v/>
      </c>
      <c r="E412" s="560"/>
      <c r="F412" s="559"/>
      <c r="G412" s="559" t="str">
        <f t="shared" si="36"/>
        <v/>
      </c>
      <c r="H412" s="559" t="str">
        <f t="shared" si="37"/>
        <v/>
      </c>
      <c r="I412" s="559" t="str">
        <f t="shared" si="38"/>
        <v/>
      </c>
    </row>
    <row r="413" spans="2:9">
      <c r="B413" s="555" t="str">
        <f t="shared" si="33"/>
        <v/>
      </c>
      <c r="C413" s="556" t="str">
        <f t="shared" si="34"/>
        <v/>
      </c>
      <c r="D413" s="557" t="str">
        <f t="shared" si="35"/>
        <v/>
      </c>
      <c r="E413" s="560"/>
      <c r="F413" s="559"/>
      <c r="G413" s="559" t="str">
        <f t="shared" si="36"/>
        <v/>
      </c>
      <c r="H413" s="559" t="str">
        <f t="shared" si="37"/>
        <v/>
      </c>
      <c r="I413" s="559" t="str">
        <f t="shared" si="38"/>
        <v/>
      </c>
    </row>
    <row r="414" spans="2:9">
      <c r="B414" s="555" t="str">
        <f t="shared" si="33"/>
        <v/>
      </c>
      <c r="C414" s="556" t="str">
        <f t="shared" si="34"/>
        <v/>
      </c>
      <c r="D414" s="557" t="str">
        <f t="shared" si="35"/>
        <v/>
      </c>
      <c r="E414" s="560"/>
      <c r="F414" s="559"/>
      <c r="G414" s="559" t="str">
        <f t="shared" si="36"/>
        <v/>
      </c>
      <c r="H414" s="559" t="str">
        <f t="shared" si="37"/>
        <v/>
      </c>
      <c r="I414" s="559" t="str">
        <f t="shared" si="38"/>
        <v/>
      </c>
    </row>
    <row r="415" spans="2:9">
      <c r="B415" s="555" t="str">
        <f t="shared" si="33"/>
        <v/>
      </c>
      <c r="C415" s="556" t="str">
        <f t="shared" si="34"/>
        <v/>
      </c>
      <c r="D415" s="557" t="str">
        <f t="shared" si="35"/>
        <v/>
      </c>
      <c r="E415" s="560"/>
      <c r="F415" s="559"/>
      <c r="G415" s="559" t="str">
        <f t="shared" si="36"/>
        <v/>
      </c>
      <c r="H415" s="559" t="str">
        <f t="shared" si="37"/>
        <v/>
      </c>
      <c r="I415" s="559" t="str">
        <f t="shared" si="38"/>
        <v/>
      </c>
    </row>
    <row r="416" spans="2:9">
      <c r="B416" s="555" t="str">
        <f t="shared" si="33"/>
        <v/>
      </c>
      <c r="C416" s="556" t="str">
        <f t="shared" si="34"/>
        <v/>
      </c>
      <c r="D416" s="557" t="str">
        <f t="shared" si="35"/>
        <v/>
      </c>
      <c r="E416" s="560"/>
      <c r="F416" s="559"/>
      <c r="G416" s="559" t="str">
        <f t="shared" si="36"/>
        <v/>
      </c>
      <c r="H416" s="559" t="str">
        <f t="shared" si="37"/>
        <v/>
      </c>
      <c r="I416" s="559" t="str">
        <f t="shared" si="38"/>
        <v/>
      </c>
    </row>
    <row r="417" spans="2:9">
      <c r="B417" s="555" t="str">
        <f t="shared" si="33"/>
        <v/>
      </c>
      <c r="C417" s="556" t="str">
        <f t="shared" si="34"/>
        <v/>
      </c>
      <c r="D417" s="557" t="str">
        <f t="shared" si="35"/>
        <v/>
      </c>
      <c r="E417" s="560"/>
      <c r="F417" s="559"/>
      <c r="G417" s="559" t="str">
        <f t="shared" si="36"/>
        <v/>
      </c>
      <c r="H417" s="559" t="str">
        <f t="shared" si="37"/>
        <v/>
      </c>
      <c r="I417" s="559" t="str">
        <f t="shared" si="38"/>
        <v/>
      </c>
    </row>
    <row r="418" spans="2:9">
      <c r="B418" s="555" t="str">
        <f t="shared" si="33"/>
        <v/>
      </c>
      <c r="C418" s="556" t="str">
        <f t="shared" si="34"/>
        <v/>
      </c>
      <c r="D418" s="557" t="str">
        <f t="shared" si="35"/>
        <v/>
      </c>
      <c r="E418" s="560"/>
      <c r="F418" s="559"/>
      <c r="G418" s="559" t="str">
        <f t="shared" si="36"/>
        <v/>
      </c>
      <c r="H418" s="559" t="str">
        <f t="shared" si="37"/>
        <v/>
      </c>
      <c r="I418" s="559" t="str">
        <f t="shared" si="38"/>
        <v/>
      </c>
    </row>
    <row r="419" spans="2:9">
      <c r="B419" s="555" t="str">
        <f t="shared" si="33"/>
        <v/>
      </c>
      <c r="C419" s="556" t="str">
        <f t="shared" si="34"/>
        <v/>
      </c>
      <c r="D419" s="557" t="str">
        <f t="shared" si="35"/>
        <v/>
      </c>
      <c r="E419" s="560"/>
      <c r="F419" s="559"/>
      <c r="G419" s="559" t="str">
        <f t="shared" si="36"/>
        <v/>
      </c>
      <c r="H419" s="559" t="str">
        <f t="shared" si="37"/>
        <v/>
      </c>
      <c r="I419" s="559" t="str">
        <f t="shared" si="38"/>
        <v/>
      </c>
    </row>
    <row r="420" spans="2:9">
      <c r="B420" s="555" t="str">
        <f t="shared" si="33"/>
        <v/>
      </c>
      <c r="C420" s="556" t="str">
        <f t="shared" si="34"/>
        <v/>
      </c>
      <c r="D420" s="557" t="str">
        <f t="shared" si="35"/>
        <v/>
      </c>
      <c r="E420" s="560"/>
      <c r="F420" s="559"/>
      <c r="G420" s="559" t="str">
        <f t="shared" si="36"/>
        <v/>
      </c>
      <c r="H420" s="559" t="str">
        <f t="shared" si="37"/>
        <v/>
      </c>
      <c r="I420" s="559" t="str">
        <f t="shared" si="38"/>
        <v/>
      </c>
    </row>
    <row r="421" spans="2:9">
      <c r="B421" s="555" t="str">
        <f t="shared" si="33"/>
        <v/>
      </c>
      <c r="C421" s="556" t="str">
        <f t="shared" si="34"/>
        <v/>
      </c>
      <c r="D421" s="557" t="str">
        <f t="shared" si="35"/>
        <v/>
      </c>
      <c r="E421" s="560"/>
      <c r="F421" s="559"/>
      <c r="G421" s="559" t="str">
        <f t="shared" si="36"/>
        <v/>
      </c>
      <c r="H421" s="559" t="str">
        <f t="shared" si="37"/>
        <v/>
      </c>
      <c r="I421" s="559" t="str">
        <f t="shared" si="38"/>
        <v/>
      </c>
    </row>
    <row r="422" spans="2:9">
      <c r="B422" s="555" t="str">
        <f t="shared" si="33"/>
        <v/>
      </c>
      <c r="C422" s="556" t="str">
        <f t="shared" si="34"/>
        <v/>
      </c>
      <c r="D422" s="557" t="str">
        <f t="shared" si="35"/>
        <v/>
      </c>
      <c r="E422" s="560"/>
      <c r="F422" s="559"/>
      <c r="G422" s="559" t="str">
        <f t="shared" si="36"/>
        <v/>
      </c>
      <c r="H422" s="559" t="str">
        <f t="shared" si="37"/>
        <v/>
      </c>
      <c r="I422" s="559" t="str">
        <f t="shared" si="38"/>
        <v/>
      </c>
    </row>
    <row r="423" spans="2:9">
      <c r="B423" s="555" t="str">
        <f t="shared" si="33"/>
        <v/>
      </c>
      <c r="C423" s="556" t="str">
        <f t="shared" si="34"/>
        <v/>
      </c>
      <c r="D423" s="557" t="str">
        <f t="shared" si="35"/>
        <v/>
      </c>
      <c r="E423" s="560"/>
      <c r="F423" s="559"/>
      <c r="G423" s="559" t="str">
        <f t="shared" si="36"/>
        <v/>
      </c>
      <c r="H423" s="559" t="str">
        <f t="shared" si="37"/>
        <v/>
      </c>
      <c r="I423" s="559" t="str">
        <f t="shared" si="38"/>
        <v/>
      </c>
    </row>
    <row r="424" spans="2:9">
      <c r="B424" s="555" t="str">
        <f t="shared" si="33"/>
        <v/>
      </c>
      <c r="C424" s="556" t="str">
        <f t="shared" si="34"/>
        <v/>
      </c>
      <c r="D424" s="557" t="str">
        <f t="shared" si="35"/>
        <v/>
      </c>
      <c r="E424" s="560"/>
      <c r="F424" s="559"/>
      <c r="G424" s="559" t="str">
        <f t="shared" si="36"/>
        <v/>
      </c>
      <c r="H424" s="559" t="str">
        <f t="shared" si="37"/>
        <v/>
      </c>
      <c r="I424" s="559" t="str">
        <f t="shared" si="38"/>
        <v/>
      </c>
    </row>
    <row r="425" spans="2:9">
      <c r="B425" s="555" t="str">
        <f t="shared" si="33"/>
        <v/>
      </c>
      <c r="C425" s="556" t="str">
        <f t="shared" si="34"/>
        <v/>
      </c>
      <c r="D425" s="557" t="str">
        <f t="shared" si="35"/>
        <v/>
      </c>
      <c r="E425" s="560"/>
      <c r="F425" s="559"/>
      <c r="G425" s="559" t="str">
        <f t="shared" si="36"/>
        <v/>
      </c>
      <c r="H425" s="559" t="str">
        <f t="shared" si="37"/>
        <v/>
      </c>
      <c r="I425" s="559" t="str">
        <f t="shared" si="38"/>
        <v/>
      </c>
    </row>
    <row r="426" spans="2:9">
      <c r="B426" s="555" t="str">
        <f t="shared" si="33"/>
        <v/>
      </c>
      <c r="C426" s="556" t="str">
        <f t="shared" si="34"/>
        <v/>
      </c>
      <c r="D426" s="557" t="str">
        <f t="shared" si="35"/>
        <v/>
      </c>
      <c r="E426" s="560"/>
      <c r="F426" s="559"/>
      <c r="G426" s="559" t="str">
        <f t="shared" si="36"/>
        <v/>
      </c>
      <c r="H426" s="559" t="str">
        <f t="shared" si="37"/>
        <v/>
      </c>
      <c r="I426" s="559" t="str">
        <f t="shared" si="38"/>
        <v/>
      </c>
    </row>
    <row r="427" spans="2:9">
      <c r="B427" s="555" t="str">
        <f t="shared" si="33"/>
        <v/>
      </c>
      <c r="C427" s="556" t="str">
        <f t="shared" si="34"/>
        <v/>
      </c>
      <c r="D427" s="557" t="str">
        <f t="shared" si="35"/>
        <v/>
      </c>
      <c r="E427" s="560"/>
      <c r="F427" s="559"/>
      <c r="G427" s="559" t="str">
        <f t="shared" si="36"/>
        <v/>
      </c>
      <c r="H427" s="559" t="str">
        <f t="shared" si="37"/>
        <v/>
      </c>
      <c r="I427" s="559" t="str">
        <f t="shared" si="38"/>
        <v/>
      </c>
    </row>
    <row r="428" spans="2:9">
      <c r="B428" s="555" t="str">
        <f t="shared" si="33"/>
        <v/>
      </c>
      <c r="C428" s="556" t="str">
        <f t="shared" si="34"/>
        <v/>
      </c>
      <c r="D428" s="557" t="str">
        <f t="shared" si="35"/>
        <v/>
      </c>
      <c r="E428" s="560"/>
      <c r="F428" s="559"/>
      <c r="G428" s="559" t="str">
        <f t="shared" si="36"/>
        <v/>
      </c>
      <c r="H428" s="559" t="str">
        <f t="shared" si="37"/>
        <v/>
      </c>
      <c r="I428" s="559" t="str">
        <f t="shared" si="38"/>
        <v/>
      </c>
    </row>
    <row r="429" spans="2:9">
      <c r="B429" s="555" t="str">
        <f t="shared" si="33"/>
        <v/>
      </c>
      <c r="C429" s="556" t="str">
        <f t="shared" si="34"/>
        <v/>
      </c>
      <c r="D429" s="557" t="str">
        <f t="shared" si="35"/>
        <v/>
      </c>
      <c r="E429" s="560"/>
      <c r="F429" s="559"/>
      <c r="G429" s="559" t="str">
        <f t="shared" si="36"/>
        <v/>
      </c>
      <c r="H429" s="559" t="str">
        <f t="shared" si="37"/>
        <v/>
      </c>
      <c r="I429" s="559" t="str">
        <f t="shared" si="38"/>
        <v/>
      </c>
    </row>
    <row r="430" spans="2:9">
      <c r="B430" s="555" t="str">
        <f t="shared" si="33"/>
        <v/>
      </c>
      <c r="C430" s="556" t="str">
        <f t="shared" si="34"/>
        <v/>
      </c>
      <c r="D430" s="557" t="str">
        <f t="shared" si="35"/>
        <v/>
      </c>
      <c r="E430" s="560"/>
      <c r="F430" s="559"/>
      <c r="G430" s="559" t="str">
        <f t="shared" si="36"/>
        <v/>
      </c>
      <c r="H430" s="559" t="str">
        <f t="shared" si="37"/>
        <v/>
      </c>
      <c r="I430" s="559" t="str">
        <f t="shared" si="38"/>
        <v/>
      </c>
    </row>
    <row r="431" spans="2:9">
      <c r="B431" s="555" t="str">
        <f t="shared" si="33"/>
        <v/>
      </c>
      <c r="C431" s="556" t="str">
        <f t="shared" si="34"/>
        <v/>
      </c>
      <c r="D431" s="557" t="str">
        <f t="shared" si="35"/>
        <v/>
      </c>
      <c r="E431" s="560"/>
      <c r="F431" s="559"/>
      <c r="G431" s="559" t="str">
        <f t="shared" si="36"/>
        <v/>
      </c>
      <c r="H431" s="559" t="str">
        <f t="shared" si="37"/>
        <v/>
      </c>
      <c r="I431" s="559" t="str">
        <f t="shared" si="38"/>
        <v/>
      </c>
    </row>
    <row r="432" spans="2:9">
      <c r="B432" s="555" t="str">
        <f t="shared" si="33"/>
        <v/>
      </c>
      <c r="C432" s="556" t="str">
        <f t="shared" si="34"/>
        <v/>
      </c>
      <c r="D432" s="557" t="str">
        <f t="shared" si="35"/>
        <v/>
      </c>
      <c r="E432" s="560"/>
      <c r="F432" s="559"/>
      <c r="G432" s="559" t="str">
        <f t="shared" si="36"/>
        <v/>
      </c>
      <c r="H432" s="559" t="str">
        <f t="shared" si="37"/>
        <v/>
      </c>
      <c r="I432" s="559" t="str">
        <f t="shared" si="38"/>
        <v/>
      </c>
    </row>
    <row r="433" spans="2:9">
      <c r="B433" s="555" t="str">
        <f t="shared" si="33"/>
        <v/>
      </c>
      <c r="C433" s="556" t="str">
        <f t="shared" si="34"/>
        <v/>
      </c>
      <c r="D433" s="557" t="str">
        <f t="shared" si="35"/>
        <v/>
      </c>
      <c r="E433" s="560"/>
      <c r="F433" s="559"/>
      <c r="G433" s="559" t="str">
        <f t="shared" si="36"/>
        <v/>
      </c>
      <c r="H433" s="559" t="str">
        <f t="shared" si="37"/>
        <v/>
      </c>
      <c r="I433" s="559" t="str">
        <f t="shared" si="38"/>
        <v/>
      </c>
    </row>
    <row r="434" spans="2:9">
      <c r="B434" s="555" t="str">
        <f t="shared" si="33"/>
        <v/>
      </c>
      <c r="C434" s="556" t="str">
        <f t="shared" si="34"/>
        <v/>
      </c>
      <c r="D434" s="557" t="str">
        <f t="shared" si="35"/>
        <v/>
      </c>
      <c r="E434" s="560"/>
      <c r="F434" s="559"/>
      <c r="G434" s="559" t="str">
        <f t="shared" si="36"/>
        <v/>
      </c>
      <c r="H434" s="559" t="str">
        <f t="shared" si="37"/>
        <v/>
      </c>
      <c r="I434" s="559" t="str">
        <f t="shared" si="38"/>
        <v/>
      </c>
    </row>
    <row r="435" spans="2:9">
      <c r="B435" s="555" t="str">
        <f t="shared" si="33"/>
        <v/>
      </c>
      <c r="C435" s="556" t="str">
        <f t="shared" si="34"/>
        <v/>
      </c>
      <c r="D435" s="557" t="str">
        <f t="shared" si="35"/>
        <v/>
      </c>
      <c r="E435" s="560"/>
      <c r="F435" s="559"/>
      <c r="G435" s="559" t="str">
        <f t="shared" si="36"/>
        <v/>
      </c>
      <c r="H435" s="559" t="str">
        <f t="shared" si="37"/>
        <v/>
      </c>
      <c r="I435" s="559" t="str">
        <f t="shared" si="38"/>
        <v/>
      </c>
    </row>
    <row r="436" spans="2:9">
      <c r="B436" s="555" t="str">
        <f t="shared" si="33"/>
        <v/>
      </c>
      <c r="C436" s="556" t="str">
        <f t="shared" si="34"/>
        <v/>
      </c>
      <c r="D436" s="557" t="str">
        <f t="shared" si="35"/>
        <v/>
      </c>
      <c r="E436" s="560"/>
      <c r="F436" s="559"/>
      <c r="G436" s="559" t="str">
        <f t="shared" si="36"/>
        <v/>
      </c>
      <c r="H436" s="559" t="str">
        <f t="shared" si="37"/>
        <v/>
      </c>
      <c r="I436" s="559" t="str">
        <f t="shared" si="38"/>
        <v/>
      </c>
    </row>
    <row r="437" spans="2:9">
      <c r="B437" s="555" t="str">
        <f t="shared" si="33"/>
        <v/>
      </c>
      <c r="C437" s="556" t="str">
        <f t="shared" si="34"/>
        <v/>
      </c>
      <c r="D437" s="557" t="str">
        <f t="shared" si="35"/>
        <v/>
      </c>
      <c r="E437" s="560"/>
      <c r="F437" s="559"/>
      <c r="G437" s="559" t="str">
        <f t="shared" si="36"/>
        <v/>
      </c>
      <c r="H437" s="559" t="str">
        <f t="shared" si="37"/>
        <v/>
      </c>
      <c r="I437" s="559" t="str">
        <f t="shared" si="38"/>
        <v/>
      </c>
    </row>
    <row r="438" spans="2:9">
      <c r="B438" s="555" t="str">
        <f t="shared" si="33"/>
        <v/>
      </c>
      <c r="C438" s="556" t="str">
        <f t="shared" si="34"/>
        <v/>
      </c>
      <c r="D438" s="557" t="str">
        <f t="shared" si="35"/>
        <v/>
      </c>
      <c r="E438" s="560"/>
      <c r="F438" s="559"/>
      <c r="G438" s="559" t="str">
        <f t="shared" si="36"/>
        <v/>
      </c>
      <c r="H438" s="559" t="str">
        <f t="shared" si="37"/>
        <v/>
      </c>
      <c r="I438" s="559" t="str">
        <f t="shared" si="38"/>
        <v/>
      </c>
    </row>
    <row r="439" spans="2:9">
      <c r="B439" s="555" t="str">
        <f t="shared" si="33"/>
        <v/>
      </c>
      <c r="C439" s="556" t="str">
        <f t="shared" si="34"/>
        <v/>
      </c>
      <c r="D439" s="557" t="str">
        <f t="shared" si="35"/>
        <v/>
      </c>
      <c r="E439" s="560"/>
      <c r="F439" s="559"/>
      <c r="G439" s="559" t="str">
        <f t="shared" si="36"/>
        <v/>
      </c>
      <c r="H439" s="559" t="str">
        <f t="shared" si="37"/>
        <v/>
      </c>
      <c r="I439" s="559" t="str">
        <f t="shared" si="38"/>
        <v/>
      </c>
    </row>
    <row r="440" spans="2:9">
      <c r="B440" s="555" t="str">
        <f t="shared" si="33"/>
        <v/>
      </c>
      <c r="C440" s="556" t="str">
        <f t="shared" si="34"/>
        <v/>
      </c>
      <c r="D440" s="557" t="str">
        <f t="shared" si="35"/>
        <v/>
      </c>
      <c r="E440" s="560"/>
      <c r="F440" s="559"/>
      <c r="G440" s="559" t="str">
        <f t="shared" si="36"/>
        <v/>
      </c>
      <c r="H440" s="559" t="str">
        <f t="shared" si="37"/>
        <v/>
      </c>
      <c r="I440" s="559" t="str">
        <f t="shared" si="38"/>
        <v/>
      </c>
    </row>
    <row r="441" spans="2:9">
      <c r="B441" s="555" t="str">
        <f t="shared" si="33"/>
        <v/>
      </c>
      <c r="C441" s="556" t="str">
        <f t="shared" si="34"/>
        <v/>
      </c>
      <c r="D441" s="557" t="str">
        <f t="shared" si="35"/>
        <v/>
      </c>
      <c r="E441" s="560"/>
      <c r="F441" s="559"/>
      <c r="G441" s="559" t="str">
        <f t="shared" si="36"/>
        <v/>
      </c>
      <c r="H441" s="559" t="str">
        <f t="shared" si="37"/>
        <v/>
      </c>
      <c r="I441" s="559" t="str">
        <f t="shared" si="38"/>
        <v/>
      </c>
    </row>
    <row r="442" spans="2:9">
      <c r="B442" s="555" t="str">
        <f t="shared" si="33"/>
        <v/>
      </c>
      <c r="C442" s="556" t="str">
        <f t="shared" si="34"/>
        <v/>
      </c>
      <c r="D442" s="557" t="str">
        <f t="shared" si="35"/>
        <v/>
      </c>
      <c r="E442" s="560"/>
      <c r="F442" s="559"/>
      <c r="G442" s="559" t="str">
        <f t="shared" si="36"/>
        <v/>
      </c>
      <c r="H442" s="559" t="str">
        <f t="shared" si="37"/>
        <v/>
      </c>
      <c r="I442" s="559" t="str">
        <f t="shared" si="38"/>
        <v/>
      </c>
    </row>
    <row r="443" spans="2:9">
      <c r="B443" s="555" t="str">
        <f t="shared" si="33"/>
        <v/>
      </c>
      <c r="C443" s="556" t="str">
        <f t="shared" si="34"/>
        <v/>
      </c>
      <c r="D443" s="557" t="str">
        <f t="shared" si="35"/>
        <v/>
      </c>
      <c r="E443" s="560"/>
      <c r="F443" s="559"/>
      <c r="G443" s="559" t="str">
        <f t="shared" si="36"/>
        <v/>
      </c>
      <c r="H443" s="559" t="str">
        <f t="shared" si="37"/>
        <v/>
      </c>
      <c r="I443" s="559" t="str">
        <f t="shared" si="38"/>
        <v/>
      </c>
    </row>
    <row r="444" spans="2:9">
      <c r="B444" s="555" t="str">
        <f t="shared" si="33"/>
        <v/>
      </c>
      <c r="C444" s="556" t="str">
        <f t="shared" si="34"/>
        <v/>
      </c>
      <c r="D444" s="557" t="str">
        <f t="shared" si="35"/>
        <v/>
      </c>
      <c r="E444" s="560"/>
      <c r="F444" s="559"/>
      <c r="G444" s="559" t="str">
        <f t="shared" si="36"/>
        <v/>
      </c>
      <c r="H444" s="559" t="str">
        <f t="shared" si="37"/>
        <v/>
      </c>
      <c r="I444" s="559" t="str">
        <f t="shared" si="38"/>
        <v/>
      </c>
    </row>
    <row r="445" spans="2:9">
      <c r="B445" s="555" t="str">
        <f t="shared" ref="B445:B508" si="39">IF(I444="","",IF(roundOpt,IF(OR(B444&gt;=nper,ROUND(I444,2)&lt;=0),"",B444+1),IF(OR(B444&gt;=nper,I444&lt;=0),"",B444+1)))</f>
        <v/>
      </c>
      <c r="C445" s="556" t="str">
        <f t="shared" ref="C445:C508" si="40">IF(B445="","",IF(OR(periods_per_year=26,periods_per_year=52),IF(periods_per_year=26,IF(B445=1,fpdate,C444+14),IF(periods_per_year=52,IF(B445=1,fpdate,C444+7),"n/a")),IF(periods_per_year=24,DATE(YEAR(fpdate),MONTH(fpdate)+(B445-1)/2+IF(AND(DAY(fpdate)&gt;=15,MOD(B445,2)=0),1,0),IF(MOD(B445,2)=0,IF(DAY(fpdate)&gt;=15,DAY(fpdate)-14,DAY(fpdate)+14),DAY(fpdate))),IF(DAY(DATE(YEAR(fpdate),MONTH(fpdate)+(B445-1)*months_per_period,DAY(fpdate)))&lt;&gt;DAY(fpdate),DATE(YEAR(fpdate),MONTH(fpdate)+(B445-1)*months_per_period+1,0),DATE(YEAR(fpdate),MONTH(fpdate)+(B445-1)*months_per_period,DAY(fpdate))))))</f>
        <v/>
      </c>
      <c r="D445" s="557" t="str">
        <f t="shared" ref="D445:D508" si="41">IF(B445="","",IF(roundOpt,IF(OR(B445=nper,payment&gt;ROUND((1+rate)*I444,2)),ROUND((1+rate)*I444,2),payment),IF(OR(B445=nper,payment&gt;(1+rate)*I444),(1+rate)*I444,payment)))</f>
        <v/>
      </c>
      <c r="E445" s="560"/>
      <c r="F445" s="559"/>
      <c r="G445" s="559" t="str">
        <f t="shared" ref="G445:G508" si="42">IF(B445="","",IF(AND(B445=1,pmtType=1),0,IF(roundOpt,ROUND(rate*I444,2),rate*I444)))</f>
        <v/>
      </c>
      <c r="H445" s="559" t="str">
        <f t="shared" ref="H445:H508" si="43">IF(B445="","",D445-G445+E445)</f>
        <v/>
      </c>
      <c r="I445" s="559" t="str">
        <f t="shared" ref="I445:I508" si="44">IF(B445="","",I444-H445)</f>
        <v/>
      </c>
    </row>
    <row r="446" spans="2:9">
      <c r="B446" s="555" t="str">
        <f t="shared" si="39"/>
        <v/>
      </c>
      <c r="C446" s="556" t="str">
        <f t="shared" si="40"/>
        <v/>
      </c>
      <c r="D446" s="557" t="str">
        <f t="shared" si="41"/>
        <v/>
      </c>
      <c r="E446" s="560"/>
      <c r="F446" s="559"/>
      <c r="G446" s="559" t="str">
        <f t="shared" si="42"/>
        <v/>
      </c>
      <c r="H446" s="559" t="str">
        <f t="shared" si="43"/>
        <v/>
      </c>
      <c r="I446" s="559" t="str">
        <f t="shared" si="44"/>
        <v/>
      </c>
    </row>
    <row r="447" spans="2:9">
      <c r="B447" s="555" t="str">
        <f t="shared" si="39"/>
        <v/>
      </c>
      <c r="C447" s="556" t="str">
        <f t="shared" si="40"/>
        <v/>
      </c>
      <c r="D447" s="557" t="str">
        <f t="shared" si="41"/>
        <v/>
      </c>
      <c r="E447" s="560"/>
      <c r="F447" s="559"/>
      <c r="G447" s="559" t="str">
        <f t="shared" si="42"/>
        <v/>
      </c>
      <c r="H447" s="559" t="str">
        <f t="shared" si="43"/>
        <v/>
      </c>
      <c r="I447" s="559" t="str">
        <f t="shared" si="44"/>
        <v/>
      </c>
    </row>
    <row r="448" spans="2:9">
      <c r="B448" s="555" t="str">
        <f t="shared" si="39"/>
        <v/>
      </c>
      <c r="C448" s="556" t="str">
        <f t="shared" si="40"/>
        <v/>
      </c>
      <c r="D448" s="557" t="str">
        <f t="shared" si="41"/>
        <v/>
      </c>
      <c r="E448" s="560"/>
      <c r="F448" s="559"/>
      <c r="G448" s="559" t="str">
        <f t="shared" si="42"/>
        <v/>
      </c>
      <c r="H448" s="559" t="str">
        <f t="shared" si="43"/>
        <v/>
      </c>
      <c r="I448" s="559" t="str">
        <f t="shared" si="44"/>
        <v/>
      </c>
    </row>
    <row r="449" spans="2:9">
      <c r="B449" s="555" t="str">
        <f t="shared" si="39"/>
        <v/>
      </c>
      <c r="C449" s="556" t="str">
        <f t="shared" si="40"/>
        <v/>
      </c>
      <c r="D449" s="557" t="str">
        <f t="shared" si="41"/>
        <v/>
      </c>
      <c r="E449" s="560"/>
      <c r="F449" s="559"/>
      <c r="G449" s="559" t="str">
        <f t="shared" si="42"/>
        <v/>
      </c>
      <c r="H449" s="559" t="str">
        <f t="shared" si="43"/>
        <v/>
      </c>
      <c r="I449" s="559" t="str">
        <f t="shared" si="44"/>
        <v/>
      </c>
    </row>
    <row r="450" spans="2:9">
      <c r="B450" s="555" t="str">
        <f t="shared" si="39"/>
        <v/>
      </c>
      <c r="C450" s="556" t="str">
        <f t="shared" si="40"/>
        <v/>
      </c>
      <c r="D450" s="557" t="str">
        <f t="shared" si="41"/>
        <v/>
      </c>
      <c r="E450" s="560"/>
      <c r="F450" s="559"/>
      <c r="G450" s="559" t="str">
        <f t="shared" si="42"/>
        <v/>
      </c>
      <c r="H450" s="559" t="str">
        <f t="shared" si="43"/>
        <v/>
      </c>
      <c r="I450" s="559" t="str">
        <f t="shared" si="44"/>
        <v/>
      </c>
    </row>
    <row r="451" spans="2:9">
      <c r="B451" s="555" t="str">
        <f t="shared" si="39"/>
        <v/>
      </c>
      <c r="C451" s="556" t="str">
        <f t="shared" si="40"/>
        <v/>
      </c>
      <c r="D451" s="557" t="str">
        <f t="shared" si="41"/>
        <v/>
      </c>
      <c r="E451" s="560"/>
      <c r="F451" s="559"/>
      <c r="G451" s="559" t="str">
        <f t="shared" si="42"/>
        <v/>
      </c>
      <c r="H451" s="559" t="str">
        <f t="shared" si="43"/>
        <v/>
      </c>
      <c r="I451" s="559" t="str">
        <f t="shared" si="44"/>
        <v/>
      </c>
    </row>
    <row r="452" spans="2:9">
      <c r="B452" s="555" t="str">
        <f t="shared" si="39"/>
        <v/>
      </c>
      <c r="C452" s="556" t="str">
        <f t="shared" si="40"/>
        <v/>
      </c>
      <c r="D452" s="557" t="str">
        <f t="shared" si="41"/>
        <v/>
      </c>
      <c r="E452" s="560"/>
      <c r="F452" s="559"/>
      <c r="G452" s="559" t="str">
        <f t="shared" si="42"/>
        <v/>
      </c>
      <c r="H452" s="559" t="str">
        <f t="shared" si="43"/>
        <v/>
      </c>
      <c r="I452" s="559" t="str">
        <f t="shared" si="44"/>
        <v/>
      </c>
    </row>
    <row r="453" spans="2:9">
      <c r="B453" s="555" t="str">
        <f t="shared" si="39"/>
        <v/>
      </c>
      <c r="C453" s="556" t="str">
        <f t="shared" si="40"/>
        <v/>
      </c>
      <c r="D453" s="557" t="str">
        <f t="shared" si="41"/>
        <v/>
      </c>
      <c r="E453" s="560"/>
      <c r="F453" s="559"/>
      <c r="G453" s="559" t="str">
        <f t="shared" si="42"/>
        <v/>
      </c>
      <c r="H453" s="559" t="str">
        <f t="shared" si="43"/>
        <v/>
      </c>
      <c r="I453" s="559" t="str">
        <f t="shared" si="44"/>
        <v/>
      </c>
    </row>
    <row r="454" spans="2:9">
      <c r="B454" s="555" t="str">
        <f t="shared" si="39"/>
        <v/>
      </c>
      <c r="C454" s="556" t="str">
        <f t="shared" si="40"/>
        <v/>
      </c>
      <c r="D454" s="557" t="str">
        <f t="shared" si="41"/>
        <v/>
      </c>
      <c r="E454" s="560"/>
      <c r="F454" s="559"/>
      <c r="G454" s="559" t="str">
        <f t="shared" si="42"/>
        <v/>
      </c>
      <c r="H454" s="559" t="str">
        <f t="shared" si="43"/>
        <v/>
      </c>
      <c r="I454" s="559" t="str">
        <f t="shared" si="44"/>
        <v/>
      </c>
    </row>
    <row r="455" spans="2:9">
      <c r="B455" s="555" t="str">
        <f t="shared" si="39"/>
        <v/>
      </c>
      <c r="C455" s="556" t="str">
        <f t="shared" si="40"/>
        <v/>
      </c>
      <c r="D455" s="557" t="str">
        <f t="shared" si="41"/>
        <v/>
      </c>
      <c r="E455" s="560"/>
      <c r="F455" s="559"/>
      <c r="G455" s="559" t="str">
        <f t="shared" si="42"/>
        <v/>
      </c>
      <c r="H455" s="559" t="str">
        <f t="shared" si="43"/>
        <v/>
      </c>
      <c r="I455" s="559" t="str">
        <f t="shared" si="44"/>
        <v/>
      </c>
    </row>
    <row r="456" spans="2:9">
      <c r="B456" s="555" t="str">
        <f t="shared" si="39"/>
        <v/>
      </c>
      <c r="C456" s="556" t="str">
        <f t="shared" si="40"/>
        <v/>
      </c>
      <c r="D456" s="557" t="str">
        <f t="shared" si="41"/>
        <v/>
      </c>
      <c r="E456" s="560"/>
      <c r="F456" s="559"/>
      <c r="G456" s="559" t="str">
        <f t="shared" si="42"/>
        <v/>
      </c>
      <c r="H456" s="559" t="str">
        <f t="shared" si="43"/>
        <v/>
      </c>
      <c r="I456" s="559" t="str">
        <f t="shared" si="44"/>
        <v/>
      </c>
    </row>
    <row r="457" spans="2:9">
      <c r="B457" s="555" t="str">
        <f t="shared" si="39"/>
        <v/>
      </c>
      <c r="C457" s="556" t="str">
        <f t="shared" si="40"/>
        <v/>
      </c>
      <c r="D457" s="557" t="str">
        <f t="shared" si="41"/>
        <v/>
      </c>
      <c r="E457" s="560"/>
      <c r="F457" s="559"/>
      <c r="G457" s="559" t="str">
        <f t="shared" si="42"/>
        <v/>
      </c>
      <c r="H457" s="559" t="str">
        <f t="shared" si="43"/>
        <v/>
      </c>
      <c r="I457" s="559" t="str">
        <f t="shared" si="44"/>
        <v/>
      </c>
    </row>
    <row r="458" spans="2:9">
      <c r="B458" s="555" t="str">
        <f t="shared" si="39"/>
        <v/>
      </c>
      <c r="C458" s="556" t="str">
        <f t="shared" si="40"/>
        <v/>
      </c>
      <c r="D458" s="557" t="str">
        <f t="shared" si="41"/>
        <v/>
      </c>
      <c r="E458" s="560"/>
      <c r="F458" s="559"/>
      <c r="G458" s="559" t="str">
        <f t="shared" si="42"/>
        <v/>
      </c>
      <c r="H458" s="559" t="str">
        <f t="shared" si="43"/>
        <v/>
      </c>
      <c r="I458" s="559" t="str">
        <f t="shared" si="44"/>
        <v/>
      </c>
    </row>
    <row r="459" spans="2:9">
      <c r="B459" s="555" t="str">
        <f t="shared" si="39"/>
        <v/>
      </c>
      <c r="C459" s="556" t="str">
        <f t="shared" si="40"/>
        <v/>
      </c>
      <c r="D459" s="557" t="str">
        <f t="shared" si="41"/>
        <v/>
      </c>
      <c r="E459" s="560"/>
      <c r="F459" s="559"/>
      <c r="G459" s="559" t="str">
        <f t="shared" si="42"/>
        <v/>
      </c>
      <c r="H459" s="559" t="str">
        <f t="shared" si="43"/>
        <v/>
      </c>
      <c r="I459" s="559" t="str">
        <f t="shared" si="44"/>
        <v/>
      </c>
    </row>
    <row r="460" spans="2:9">
      <c r="B460" s="555" t="str">
        <f t="shared" si="39"/>
        <v/>
      </c>
      <c r="C460" s="556" t="str">
        <f t="shared" si="40"/>
        <v/>
      </c>
      <c r="D460" s="557" t="str">
        <f t="shared" si="41"/>
        <v/>
      </c>
      <c r="E460" s="560"/>
      <c r="F460" s="559"/>
      <c r="G460" s="559" t="str">
        <f t="shared" si="42"/>
        <v/>
      </c>
      <c r="H460" s="559" t="str">
        <f t="shared" si="43"/>
        <v/>
      </c>
      <c r="I460" s="559" t="str">
        <f t="shared" si="44"/>
        <v/>
      </c>
    </row>
    <row r="461" spans="2:9">
      <c r="B461" s="555" t="str">
        <f t="shared" si="39"/>
        <v/>
      </c>
      <c r="C461" s="556" t="str">
        <f t="shared" si="40"/>
        <v/>
      </c>
      <c r="D461" s="557" t="str">
        <f t="shared" si="41"/>
        <v/>
      </c>
      <c r="E461" s="560"/>
      <c r="F461" s="559"/>
      <c r="G461" s="559" t="str">
        <f t="shared" si="42"/>
        <v/>
      </c>
      <c r="H461" s="559" t="str">
        <f t="shared" si="43"/>
        <v/>
      </c>
      <c r="I461" s="559" t="str">
        <f t="shared" si="44"/>
        <v/>
      </c>
    </row>
    <row r="462" spans="2:9">
      <c r="B462" s="555" t="str">
        <f t="shared" si="39"/>
        <v/>
      </c>
      <c r="C462" s="556" t="str">
        <f t="shared" si="40"/>
        <v/>
      </c>
      <c r="D462" s="557" t="str">
        <f t="shared" si="41"/>
        <v/>
      </c>
      <c r="E462" s="560"/>
      <c r="F462" s="559"/>
      <c r="G462" s="559" t="str">
        <f t="shared" si="42"/>
        <v/>
      </c>
      <c r="H462" s="559" t="str">
        <f t="shared" si="43"/>
        <v/>
      </c>
      <c r="I462" s="559" t="str">
        <f t="shared" si="44"/>
        <v/>
      </c>
    </row>
    <row r="463" spans="2:9">
      <c r="B463" s="555" t="str">
        <f t="shared" si="39"/>
        <v/>
      </c>
      <c r="C463" s="556" t="str">
        <f t="shared" si="40"/>
        <v/>
      </c>
      <c r="D463" s="557" t="str">
        <f t="shared" si="41"/>
        <v/>
      </c>
      <c r="E463" s="560"/>
      <c r="F463" s="559"/>
      <c r="G463" s="559" t="str">
        <f t="shared" si="42"/>
        <v/>
      </c>
      <c r="H463" s="559" t="str">
        <f t="shared" si="43"/>
        <v/>
      </c>
      <c r="I463" s="559" t="str">
        <f t="shared" si="44"/>
        <v/>
      </c>
    </row>
    <row r="464" spans="2:9">
      <c r="B464" s="555" t="str">
        <f t="shared" si="39"/>
        <v/>
      </c>
      <c r="C464" s="556" t="str">
        <f t="shared" si="40"/>
        <v/>
      </c>
      <c r="D464" s="557" t="str">
        <f t="shared" si="41"/>
        <v/>
      </c>
      <c r="E464" s="560"/>
      <c r="F464" s="559"/>
      <c r="G464" s="559" t="str">
        <f t="shared" si="42"/>
        <v/>
      </c>
      <c r="H464" s="559" t="str">
        <f t="shared" si="43"/>
        <v/>
      </c>
      <c r="I464" s="559" t="str">
        <f t="shared" si="44"/>
        <v/>
      </c>
    </row>
    <row r="465" spans="2:9">
      <c r="B465" s="555" t="str">
        <f t="shared" si="39"/>
        <v/>
      </c>
      <c r="C465" s="556" t="str">
        <f t="shared" si="40"/>
        <v/>
      </c>
      <c r="D465" s="557" t="str">
        <f t="shared" si="41"/>
        <v/>
      </c>
      <c r="E465" s="560"/>
      <c r="F465" s="559"/>
      <c r="G465" s="559" t="str">
        <f t="shared" si="42"/>
        <v/>
      </c>
      <c r="H465" s="559" t="str">
        <f t="shared" si="43"/>
        <v/>
      </c>
      <c r="I465" s="559" t="str">
        <f t="shared" si="44"/>
        <v/>
      </c>
    </row>
    <row r="466" spans="2:9">
      <c r="B466" s="555" t="str">
        <f t="shared" si="39"/>
        <v/>
      </c>
      <c r="C466" s="556" t="str">
        <f t="shared" si="40"/>
        <v/>
      </c>
      <c r="D466" s="557" t="str">
        <f t="shared" si="41"/>
        <v/>
      </c>
      <c r="E466" s="560"/>
      <c r="F466" s="559"/>
      <c r="G466" s="559" t="str">
        <f t="shared" si="42"/>
        <v/>
      </c>
      <c r="H466" s="559" t="str">
        <f t="shared" si="43"/>
        <v/>
      </c>
      <c r="I466" s="559" t="str">
        <f t="shared" si="44"/>
        <v/>
      </c>
    </row>
    <row r="467" spans="2:9">
      <c r="B467" s="555" t="str">
        <f t="shared" si="39"/>
        <v/>
      </c>
      <c r="C467" s="556" t="str">
        <f t="shared" si="40"/>
        <v/>
      </c>
      <c r="D467" s="557" t="str">
        <f t="shared" si="41"/>
        <v/>
      </c>
      <c r="E467" s="560"/>
      <c r="F467" s="559"/>
      <c r="G467" s="559" t="str">
        <f t="shared" si="42"/>
        <v/>
      </c>
      <c r="H467" s="559" t="str">
        <f t="shared" si="43"/>
        <v/>
      </c>
      <c r="I467" s="559" t="str">
        <f t="shared" si="44"/>
        <v/>
      </c>
    </row>
    <row r="468" spans="2:9">
      <c r="B468" s="555" t="str">
        <f t="shared" si="39"/>
        <v/>
      </c>
      <c r="C468" s="556" t="str">
        <f t="shared" si="40"/>
        <v/>
      </c>
      <c r="D468" s="557" t="str">
        <f t="shared" si="41"/>
        <v/>
      </c>
      <c r="E468" s="560"/>
      <c r="F468" s="559"/>
      <c r="G468" s="559" t="str">
        <f t="shared" si="42"/>
        <v/>
      </c>
      <c r="H468" s="559" t="str">
        <f t="shared" si="43"/>
        <v/>
      </c>
      <c r="I468" s="559" t="str">
        <f t="shared" si="44"/>
        <v/>
      </c>
    </row>
    <row r="469" spans="2:9">
      <c r="B469" s="555" t="str">
        <f t="shared" si="39"/>
        <v/>
      </c>
      <c r="C469" s="556" t="str">
        <f t="shared" si="40"/>
        <v/>
      </c>
      <c r="D469" s="557" t="str">
        <f t="shared" si="41"/>
        <v/>
      </c>
      <c r="E469" s="560"/>
      <c r="F469" s="559"/>
      <c r="G469" s="559" t="str">
        <f t="shared" si="42"/>
        <v/>
      </c>
      <c r="H469" s="559" t="str">
        <f t="shared" si="43"/>
        <v/>
      </c>
      <c r="I469" s="559" t="str">
        <f t="shared" si="44"/>
        <v/>
      </c>
    </row>
    <row r="470" spans="2:9">
      <c r="B470" s="555" t="str">
        <f t="shared" si="39"/>
        <v/>
      </c>
      <c r="C470" s="556" t="str">
        <f t="shared" si="40"/>
        <v/>
      </c>
      <c r="D470" s="557" t="str">
        <f t="shared" si="41"/>
        <v/>
      </c>
      <c r="E470" s="560"/>
      <c r="F470" s="559"/>
      <c r="G470" s="559" t="str">
        <f t="shared" si="42"/>
        <v/>
      </c>
      <c r="H470" s="559" t="str">
        <f t="shared" si="43"/>
        <v/>
      </c>
      <c r="I470" s="559" t="str">
        <f t="shared" si="44"/>
        <v/>
      </c>
    </row>
    <row r="471" spans="2:9">
      <c r="B471" s="555" t="str">
        <f t="shared" si="39"/>
        <v/>
      </c>
      <c r="C471" s="556" t="str">
        <f t="shared" si="40"/>
        <v/>
      </c>
      <c r="D471" s="557" t="str">
        <f t="shared" si="41"/>
        <v/>
      </c>
      <c r="E471" s="560"/>
      <c r="F471" s="559"/>
      <c r="G471" s="559" t="str">
        <f t="shared" si="42"/>
        <v/>
      </c>
      <c r="H471" s="559" t="str">
        <f t="shared" si="43"/>
        <v/>
      </c>
      <c r="I471" s="559" t="str">
        <f t="shared" si="44"/>
        <v/>
      </c>
    </row>
    <row r="472" spans="2:9">
      <c r="B472" s="555" t="str">
        <f t="shared" si="39"/>
        <v/>
      </c>
      <c r="C472" s="556" t="str">
        <f t="shared" si="40"/>
        <v/>
      </c>
      <c r="D472" s="557" t="str">
        <f t="shared" si="41"/>
        <v/>
      </c>
      <c r="E472" s="560"/>
      <c r="F472" s="559"/>
      <c r="G472" s="559" t="str">
        <f t="shared" si="42"/>
        <v/>
      </c>
      <c r="H472" s="559" t="str">
        <f t="shared" si="43"/>
        <v/>
      </c>
      <c r="I472" s="559" t="str">
        <f t="shared" si="44"/>
        <v/>
      </c>
    </row>
    <row r="473" spans="2:9">
      <c r="B473" s="555" t="str">
        <f t="shared" si="39"/>
        <v/>
      </c>
      <c r="C473" s="556" t="str">
        <f t="shared" si="40"/>
        <v/>
      </c>
      <c r="D473" s="557" t="str">
        <f t="shared" si="41"/>
        <v/>
      </c>
      <c r="E473" s="560"/>
      <c r="F473" s="559"/>
      <c r="G473" s="559" t="str">
        <f t="shared" si="42"/>
        <v/>
      </c>
      <c r="H473" s="559" t="str">
        <f t="shared" si="43"/>
        <v/>
      </c>
      <c r="I473" s="559" t="str">
        <f t="shared" si="44"/>
        <v/>
      </c>
    </row>
    <row r="474" spans="2:9">
      <c r="B474" s="555" t="str">
        <f t="shared" si="39"/>
        <v/>
      </c>
      <c r="C474" s="556" t="str">
        <f t="shared" si="40"/>
        <v/>
      </c>
      <c r="D474" s="557" t="str">
        <f t="shared" si="41"/>
        <v/>
      </c>
      <c r="E474" s="560"/>
      <c r="F474" s="559"/>
      <c r="G474" s="559" t="str">
        <f t="shared" si="42"/>
        <v/>
      </c>
      <c r="H474" s="559" t="str">
        <f t="shared" si="43"/>
        <v/>
      </c>
      <c r="I474" s="559" t="str">
        <f t="shared" si="44"/>
        <v/>
      </c>
    </row>
    <row r="475" spans="2:9">
      <c r="B475" s="555" t="str">
        <f t="shared" si="39"/>
        <v/>
      </c>
      <c r="C475" s="556" t="str">
        <f t="shared" si="40"/>
        <v/>
      </c>
      <c r="D475" s="557" t="str">
        <f t="shared" si="41"/>
        <v/>
      </c>
      <c r="E475" s="560"/>
      <c r="F475" s="559"/>
      <c r="G475" s="559" t="str">
        <f t="shared" si="42"/>
        <v/>
      </c>
      <c r="H475" s="559" t="str">
        <f t="shared" si="43"/>
        <v/>
      </c>
      <c r="I475" s="559" t="str">
        <f t="shared" si="44"/>
        <v/>
      </c>
    </row>
    <row r="476" spans="2:9">
      <c r="B476" s="555" t="str">
        <f t="shared" si="39"/>
        <v/>
      </c>
      <c r="C476" s="556" t="str">
        <f t="shared" si="40"/>
        <v/>
      </c>
      <c r="D476" s="557" t="str">
        <f t="shared" si="41"/>
        <v/>
      </c>
      <c r="E476" s="560"/>
      <c r="F476" s="559"/>
      <c r="G476" s="559" t="str">
        <f t="shared" si="42"/>
        <v/>
      </c>
      <c r="H476" s="559" t="str">
        <f t="shared" si="43"/>
        <v/>
      </c>
      <c r="I476" s="559" t="str">
        <f t="shared" si="44"/>
        <v/>
      </c>
    </row>
    <row r="477" spans="2:9">
      <c r="B477" s="555" t="str">
        <f t="shared" si="39"/>
        <v/>
      </c>
      <c r="C477" s="556" t="str">
        <f t="shared" si="40"/>
        <v/>
      </c>
      <c r="D477" s="557" t="str">
        <f t="shared" si="41"/>
        <v/>
      </c>
      <c r="E477" s="560"/>
      <c r="F477" s="559"/>
      <c r="G477" s="559" t="str">
        <f t="shared" si="42"/>
        <v/>
      </c>
      <c r="H477" s="559" t="str">
        <f t="shared" si="43"/>
        <v/>
      </c>
      <c r="I477" s="559" t="str">
        <f t="shared" si="44"/>
        <v/>
      </c>
    </row>
    <row r="478" spans="2:9">
      <c r="B478" s="555" t="str">
        <f t="shared" si="39"/>
        <v/>
      </c>
      <c r="C478" s="556" t="str">
        <f t="shared" si="40"/>
        <v/>
      </c>
      <c r="D478" s="557" t="str">
        <f t="shared" si="41"/>
        <v/>
      </c>
      <c r="E478" s="560"/>
      <c r="F478" s="559"/>
      <c r="G478" s="559" t="str">
        <f t="shared" si="42"/>
        <v/>
      </c>
      <c r="H478" s="559" t="str">
        <f t="shared" si="43"/>
        <v/>
      </c>
      <c r="I478" s="559" t="str">
        <f t="shared" si="44"/>
        <v/>
      </c>
    </row>
    <row r="479" spans="2:9">
      <c r="B479" s="555" t="str">
        <f t="shared" si="39"/>
        <v/>
      </c>
      <c r="C479" s="556" t="str">
        <f t="shared" si="40"/>
        <v/>
      </c>
      <c r="D479" s="557" t="str">
        <f t="shared" si="41"/>
        <v/>
      </c>
      <c r="E479" s="560"/>
      <c r="F479" s="559"/>
      <c r="G479" s="559" t="str">
        <f t="shared" si="42"/>
        <v/>
      </c>
      <c r="H479" s="559" t="str">
        <f t="shared" si="43"/>
        <v/>
      </c>
      <c r="I479" s="559" t="str">
        <f t="shared" si="44"/>
        <v/>
      </c>
    </row>
    <row r="480" spans="2:9">
      <c r="B480" s="555" t="str">
        <f t="shared" si="39"/>
        <v/>
      </c>
      <c r="C480" s="556" t="str">
        <f t="shared" si="40"/>
        <v/>
      </c>
      <c r="D480" s="557" t="str">
        <f t="shared" si="41"/>
        <v/>
      </c>
      <c r="E480" s="560"/>
      <c r="F480" s="559"/>
      <c r="G480" s="559" t="str">
        <f t="shared" si="42"/>
        <v/>
      </c>
      <c r="H480" s="559" t="str">
        <f t="shared" si="43"/>
        <v/>
      </c>
      <c r="I480" s="559" t="str">
        <f t="shared" si="44"/>
        <v/>
      </c>
    </row>
    <row r="481" spans="2:9">
      <c r="B481" s="555" t="str">
        <f t="shared" si="39"/>
        <v/>
      </c>
      <c r="C481" s="556" t="str">
        <f t="shared" si="40"/>
        <v/>
      </c>
      <c r="D481" s="557" t="str">
        <f t="shared" si="41"/>
        <v/>
      </c>
      <c r="E481" s="560"/>
      <c r="F481" s="559"/>
      <c r="G481" s="559" t="str">
        <f t="shared" si="42"/>
        <v/>
      </c>
      <c r="H481" s="559" t="str">
        <f t="shared" si="43"/>
        <v/>
      </c>
      <c r="I481" s="559" t="str">
        <f t="shared" si="44"/>
        <v/>
      </c>
    </row>
    <row r="482" spans="2:9">
      <c r="B482" s="555" t="str">
        <f t="shared" si="39"/>
        <v/>
      </c>
      <c r="C482" s="556" t="str">
        <f t="shared" si="40"/>
        <v/>
      </c>
      <c r="D482" s="557" t="str">
        <f t="shared" si="41"/>
        <v/>
      </c>
      <c r="E482" s="560"/>
      <c r="F482" s="559"/>
      <c r="G482" s="559" t="str">
        <f t="shared" si="42"/>
        <v/>
      </c>
      <c r="H482" s="559" t="str">
        <f t="shared" si="43"/>
        <v/>
      </c>
      <c r="I482" s="559" t="str">
        <f t="shared" si="44"/>
        <v/>
      </c>
    </row>
    <row r="483" spans="2:9">
      <c r="B483" s="555" t="str">
        <f t="shared" si="39"/>
        <v/>
      </c>
      <c r="C483" s="556" t="str">
        <f t="shared" si="40"/>
        <v/>
      </c>
      <c r="D483" s="557" t="str">
        <f t="shared" si="41"/>
        <v/>
      </c>
      <c r="E483" s="560"/>
      <c r="F483" s="559"/>
      <c r="G483" s="559" t="str">
        <f t="shared" si="42"/>
        <v/>
      </c>
      <c r="H483" s="559" t="str">
        <f t="shared" si="43"/>
        <v/>
      </c>
      <c r="I483" s="559" t="str">
        <f t="shared" si="44"/>
        <v/>
      </c>
    </row>
    <row r="484" spans="2:9">
      <c r="B484" s="555" t="str">
        <f t="shared" si="39"/>
        <v/>
      </c>
      <c r="C484" s="556" t="str">
        <f t="shared" si="40"/>
        <v/>
      </c>
      <c r="D484" s="557" t="str">
        <f t="shared" si="41"/>
        <v/>
      </c>
      <c r="E484" s="560"/>
      <c r="F484" s="559"/>
      <c r="G484" s="559" t="str">
        <f t="shared" si="42"/>
        <v/>
      </c>
      <c r="H484" s="559" t="str">
        <f t="shared" si="43"/>
        <v/>
      </c>
      <c r="I484" s="559" t="str">
        <f t="shared" si="44"/>
        <v/>
      </c>
    </row>
    <row r="485" spans="2:9">
      <c r="B485" s="555" t="str">
        <f t="shared" si="39"/>
        <v/>
      </c>
      <c r="C485" s="556" t="str">
        <f t="shared" si="40"/>
        <v/>
      </c>
      <c r="D485" s="557" t="str">
        <f t="shared" si="41"/>
        <v/>
      </c>
      <c r="E485" s="560"/>
      <c r="F485" s="559"/>
      <c r="G485" s="559" t="str">
        <f t="shared" si="42"/>
        <v/>
      </c>
      <c r="H485" s="559" t="str">
        <f t="shared" si="43"/>
        <v/>
      </c>
      <c r="I485" s="559" t="str">
        <f t="shared" si="44"/>
        <v/>
      </c>
    </row>
    <row r="486" spans="2:9">
      <c r="B486" s="555" t="str">
        <f t="shared" si="39"/>
        <v/>
      </c>
      <c r="C486" s="556" t="str">
        <f t="shared" si="40"/>
        <v/>
      </c>
      <c r="D486" s="557" t="str">
        <f t="shared" si="41"/>
        <v/>
      </c>
      <c r="E486" s="560"/>
      <c r="F486" s="559"/>
      <c r="G486" s="559" t="str">
        <f t="shared" si="42"/>
        <v/>
      </c>
      <c r="H486" s="559" t="str">
        <f t="shared" si="43"/>
        <v/>
      </c>
      <c r="I486" s="559" t="str">
        <f t="shared" si="44"/>
        <v/>
      </c>
    </row>
    <row r="487" spans="2:9">
      <c r="B487" s="555" t="str">
        <f t="shared" si="39"/>
        <v/>
      </c>
      <c r="C487" s="556" t="str">
        <f t="shared" si="40"/>
        <v/>
      </c>
      <c r="D487" s="557" t="str">
        <f t="shared" si="41"/>
        <v/>
      </c>
      <c r="E487" s="560"/>
      <c r="F487" s="559"/>
      <c r="G487" s="559" t="str">
        <f t="shared" si="42"/>
        <v/>
      </c>
      <c r="H487" s="559" t="str">
        <f t="shared" si="43"/>
        <v/>
      </c>
      <c r="I487" s="559" t="str">
        <f t="shared" si="44"/>
        <v/>
      </c>
    </row>
    <row r="488" spans="2:9">
      <c r="B488" s="555" t="str">
        <f t="shared" si="39"/>
        <v/>
      </c>
      <c r="C488" s="556" t="str">
        <f t="shared" si="40"/>
        <v/>
      </c>
      <c r="D488" s="557" t="str">
        <f t="shared" si="41"/>
        <v/>
      </c>
      <c r="E488" s="560"/>
      <c r="F488" s="559"/>
      <c r="G488" s="559" t="str">
        <f t="shared" si="42"/>
        <v/>
      </c>
      <c r="H488" s="559" t="str">
        <f t="shared" si="43"/>
        <v/>
      </c>
      <c r="I488" s="559" t="str">
        <f t="shared" si="44"/>
        <v/>
      </c>
    </row>
    <row r="489" spans="2:9">
      <c r="B489" s="555" t="str">
        <f t="shared" si="39"/>
        <v/>
      </c>
      <c r="C489" s="556" t="str">
        <f t="shared" si="40"/>
        <v/>
      </c>
      <c r="D489" s="557" t="str">
        <f t="shared" si="41"/>
        <v/>
      </c>
      <c r="E489" s="560"/>
      <c r="F489" s="559"/>
      <c r="G489" s="559" t="str">
        <f t="shared" si="42"/>
        <v/>
      </c>
      <c r="H489" s="559" t="str">
        <f t="shared" si="43"/>
        <v/>
      </c>
      <c r="I489" s="559" t="str">
        <f t="shared" si="44"/>
        <v/>
      </c>
    </row>
    <row r="490" spans="2:9">
      <c r="B490" s="555" t="str">
        <f t="shared" si="39"/>
        <v/>
      </c>
      <c r="C490" s="556" t="str">
        <f t="shared" si="40"/>
        <v/>
      </c>
      <c r="D490" s="557" t="str">
        <f t="shared" si="41"/>
        <v/>
      </c>
      <c r="E490" s="560"/>
      <c r="F490" s="559"/>
      <c r="G490" s="559" t="str">
        <f t="shared" si="42"/>
        <v/>
      </c>
      <c r="H490" s="559" t="str">
        <f t="shared" si="43"/>
        <v/>
      </c>
      <c r="I490" s="559" t="str">
        <f t="shared" si="44"/>
        <v/>
      </c>
    </row>
    <row r="491" spans="2:9">
      <c r="B491" s="555" t="str">
        <f t="shared" si="39"/>
        <v/>
      </c>
      <c r="C491" s="556" t="str">
        <f t="shared" si="40"/>
        <v/>
      </c>
      <c r="D491" s="557" t="str">
        <f t="shared" si="41"/>
        <v/>
      </c>
      <c r="E491" s="560"/>
      <c r="F491" s="559"/>
      <c r="G491" s="559" t="str">
        <f t="shared" si="42"/>
        <v/>
      </c>
      <c r="H491" s="559" t="str">
        <f t="shared" si="43"/>
        <v/>
      </c>
      <c r="I491" s="559" t="str">
        <f t="shared" si="44"/>
        <v/>
      </c>
    </row>
    <row r="492" spans="2:9">
      <c r="B492" s="555" t="str">
        <f t="shared" si="39"/>
        <v/>
      </c>
      <c r="C492" s="556" t="str">
        <f t="shared" si="40"/>
        <v/>
      </c>
      <c r="D492" s="557" t="str">
        <f t="shared" si="41"/>
        <v/>
      </c>
      <c r="E492" s="560"/>
      <c r="F492" s="559"/>
      <c r="G492" s="559" t="str">
        <f t="shared" si="42"/>
        <v/>
      </c>
      <c r="H492" s="559" t="str">
        <f t="shared" si="43"/>
        <v/>
      </c>
      <c r="I492" s="559" t="str">
        <f t="shared" si="44"/>
        <v/>
      </c>
    </row>
    <row r="493" spans="2:9">
      <c r="B493" s="555" t="str">
        <f t="shared" si="39"/>
        <v/>
      </c>
      <c r="C493" s="556" t="str">
        <f t="shared" si="40"/>
        <v/>
      </c>
      <c r="D493" s="557" t="str">
        <f t="shared" si="41"/>
        <v/>
      </c>
      <c r="E493" s="560"/>
      <c r="F493" s="559"/>
      <c r="G493" s="559" t="str">
        <f t="shared" si="42"/>
        <v/>
      </c>
      <c r="H493" s="559" t="str">
        <f t="shared" si="43"/>
        <v/>
      </c>
      <c r="I493" s="559" t="str">
        <f t="shared" si="44"/>
        <v/>
      </c>
    </row>
    <row r="494" spans="2:9">
      <c r="B494" s="555" t="str">
        <f t="shared" si="39"/>
        <v/>
      </c>
      <c r="C494" s="556" t="str">
        <f t="shared" si="40"/>
        <v/>
      </c>
      <c r="D494" s="557" t="str">
        <f t="shared" si="41"/>
        <v/>
      </c>
      <c r="E494" s="560"/>
      <c r="F494" s="559"/>
      <c r="G494" s="559" t="str">
        <f t="shared" si="42"/>
        <v/>
      </c>
      <c r="H494" s="559" t="str">
        <f t="shared" si="43"/>
        <v/>
      </c>
      <c r="I494" s="559" t="str">
        <f t="shared" si="44"/>
        <v/>
      </c>
    </row>
    <row r="495" spans="2:9">
      <c r="B495" s="555" t="str">
        <f t="shared" si="39"/>
        <v/>
      </c>
      <c r="C495" s="556" t="str">
        <f t="shared" si="40"/>
        <v/>
      </c>
      <c r="D495" s="557" t="str">
        <f t="shared" si="41"/>
        <v/>
      </c>
      <c r="E495" s="560"/>
      <c r="F495" s="559"/>
      <c r="G495" s="559" t="str">
        <f t="shared" si="42"/>
        <v/>
      </c>
      <c r="H495" s="559" t="str">
        <f t="shared" si="43"/>
        <v/>
      </c>
      <c r="I495" s="559" t="str">
        <f t="shared" si="44"/>
        <v/>
      </c>
    </row>
    <row r="496" spans="2:9">
      <c r="B496" s="555" t="str">
        <f t="shared" si="39"/>
        <v/>
      </c>
      <c r="C496" s="556" t="str">
        <f t="shared" si="40"/>
        <v/>
      </c>
      <c r="D496" s="557" t="str">
        <f t="shared" si="41"/>
        <v/>
      </c>
      <c r="E496" s="560"/>
      <c r="F496" s="559"/>
      <c r="G496" s="559" t="str">
        <f t="shared" si="42"/>
        <v/>
      </c>
      <c r="H496" s="559" t="str">
        <f t="shared" si="43"/>
        <v/>
      </c>
      <c r="I496" s="559" t="str">
        <f t="shared" si="44"/>
        <v/>
      </c>
    </row>
    <row r="497" spans="2:9">
      <c r="B497" s="555" t="str">
        <f t="shared" si="39"/>
        <v/>
      </c>
      <c r="C497" s="556" t="str">
        <f t="shared" si="40"/>
        <v/>
      </c>
      <c r="D497" s="557" t="str">
        <f t="shared" si="41"/>
        <v/>
      </c>
      <c r="E497" s="560"/>
      <c r="F497" s="559"/>
      <c r="G497" s="559" t="str">
        <f t="shared" si="42"/>
        <v/>
      </c>
      <c r="H497" s="559" t="str">
        <f t="shared" si="43"/>
        <v/>
      </c>
      <c r="I497" s="559" t="str">
        <f t="shared" si="44"/>
        <v/>
      </c>
    </row>
    <row r="498" spans="2:9">
      <c r="B498" s="555" t="str">
        <f t="shared" si="39"/>
        <v/>
      </c>
      <c r="C498" s="556" t="str">
        <f t="shared" si="40"/>
        <v/>
      </c>
      <c r="D498" s="557" t="str">
        <f t="shared" si="41"/>
        <v/>
      </c>
      <c r="E498" s="560"/>
      <c r="F498" s="559"/>
      <c r="G498" s="559" t="str">
        <f t="shared" si="42"/>
        <v/>
      </c>
      <c r="H498" s="559" t="str">
        <f t="shared" si="43"/>
        <v/>
      </c>
      <c r="I498" s="559" t="str">
        <f t="shared" si="44"/>
        <v/>
      </c>
    </row>
    <row r="499" spans="2:9">
      <c r="B499" s="555" t="str">
        <f t="shared" si="39"/>
        <v/>
      </c>
      <c r="C499" s="556" t="str">
        <f t="shared" si="40"/>
        <v/>
      </c>
      <c r="D499" s="557" t="str">
        <f t="shared" si="41"/>
        <v/>
      </c>
      <c r="E499" s="560"/>
      <c r="F499" s="559"/>
      <c r="G499" s="559" t="str">
        <f t="shared" si="42"/>
        <v/>
      </c>
      <c r="H499" s="559" t="str">
        <f t="shared" si="43"/>
        <v/>
      </c>
      <c r="I499" s="559" t="str">
        <f t="shared" si="44"/>
        <v/>
      </c>
    </row>
    <row r="500" spans="2:9">
      <c r="B500" s="555" t="str">
        <f t="shared" si="39"/>
        <v/>
      </c>
      <c r="C500" s="556" t="str">
        <f t="shared" si="40"/>
        <v/>
      </c>
      <c r="D500" s="557" t="str">
        <f t="shared" si="41"/>
        <v/>
      </c>
      <c r="E500" s="560"/>
      <c r="F500" s="559"/>
      <c r="G500" s="559" t="str">
        <f t="shared" si="42"/>
        <v/>
      </c>
      <c r="H500" s="559" t="str">
        <f t="shared" si="43"/>
        <v/>
      </c>
      <c r="I500" s="559" t="str">
        <f t="shared" si="44"/>
        <v/>
      </c>
    </row>
    <row r="501" spans="2:9">
      <c r="B501" s="555" t="str">
        <f t="shared" si="39"/>
        <v/>
      </c>
      <c r="C501" s="556" t="str">
        <f t="shared" si="40"/>
        <v/>
      </c>
      <c r="D501" s="557" t="str">
        <f t="shared" si="41"/>
        <v/>
      </c>
      <c r="E501" s="560"/>
      <c r="F501" s="559"/>
      <c r="G501" s="559" t="str">
        <f t="shared" si="42"/>
        <v/>
      </c>
      <c r="H501" s="559" t="str">
        <f t="shared" si="43"/>
        <v/>
      </c>
      <c r="I501" s="559" t="str">
        <f t="shared" si="44"/>
        <v/>
      </c>
    </row>
    <row r="502" spans="2:9">
      <c r="B502" s="555" t="str">
        <f t="shared" si="39"/>
        <v/>
      </c>
      <c r="C502" s="556" t="str">
        <f t="shared" si="40"/>
        <v/>
      </c>
      <c r="D502" s="557" t="str">
        <f t="shared" si="41"/>
        <v/>
      </c>
      <c r="E502" s="560"/>
      <c r="F502" s="559"/>
      <c r="G502" s="559" t="str">
        <f t="shared" si="42"/>
        <v/>
      </c>
      <c r="H502" s="559" t="str">
        <f t="shared" si="43"/>
        <v/>
      </c>
      <c r="I502" s="559" t="str">
        <f t="shared" si="44"/>
        <v/>
      </c>
    </row>
    <row r="503" spans="2:9">
      <c r="B503" s="555" t="str">
        <f t="shared" si="39"/>
        <v/>
      </c>
      <c r="C503" s="556" t="str">
        <f t="shared" si="40"/>
        <v/>
      </c>
      <c r="D503" s="557" t="str">
        <f t="shared" si="41"/>
        <v/>
      </c>
      <c r="E503" s="560"/>
      <c r="F503" s="559"/>
      <c r="G503" s="559" t="str">
        <f t="shared" si="42"/>
        <v/>
      </c>
      <c r="H503" s="559" t="str">
        <f t="shared" si="43"/>
        <v/>
      </c>
      <c r="I503" s="559" t="str">
        <f t="shared" si="44"/>
        <v/>
      </c>
    </row>
    <row r="504" spans="2:9">
      <c r="B504" s="555" t="str">
        <f t="shared" si="39"/>
        <v/>
      </c>
      <c r="C504" s="556" t="str">
        <f t="shared" si="40"/>
        <v/>
      </c>
      <c r="D504" s="557" t="str">
        <f t="shared" si="41"/>
        <v/>
      </c>
      <c r="E504" s="560"/>
      <c r="F504" s="559"/>
      <c r="G504" s="559" t="str">
        <f t="shared" si="42"/>
        <v/>
      </c>
      <c r="H504" s="559" t="str">
        <f t="shared" si="43"/>
        <v/>
      </c>
      <c r="I504" s="559" t="str">
        <f t="shared" si="44"/>
        <v/>
      </c>
    </row>
    <row r="505" spans="2:9">
      <c r="B505" s="555" t="str">
        <f t="shared" si="39"/>
        <v/>
      </c>
      <c r="C505" s="556" t="str">
        <f t="shared" si="40"/>
        <v/>
      </c>
      <c r="D505" s="557" t="str">
        <f t="shared" si="41"/>
        <v/>
      </c>
      <c r="E505" s="560"/>
      <c r="F505" s="559"/>
      <c r="G505" s="559" t="str">
        <f t="shared" si="42"/>
        <v/>
      </c>
      <c r="H505" s="559" t="str">
        <f t="shared" si="43"/>
        <v/>
      </c>
      <c r="I505" s="559" t="str">
        <f t="shared" si="44"/>
        <v/>
      </c>
    </row>
    <row r="506" spans="2:9">
      <c r="B506" s="555" t="str">
        <f t="shared" si="39"/>
        <v/>
      </c>
      <c r="C506" s="556" t="str">
        <f t="shared" si="40"/>
        <v/>
      </c>
      <c r="D506" s="557" t="str">
        <f t="shared" si="41"/>
        <v/>
      </c>
      <c r="E506" s="560"/>
      <c r="F506" s="559"/>
      <c r="G506" s="559" t="str">
        <f t="shared" si="42"/>
        <v/>
      </c>
      <c r="H506" s="559" t="str">
        <f t="shared" si="43"/>
        <v/>
      </c>
      <c r="I506" s="559" t="str">
        <f t="shared" si="44"/>
        <v/>
      </c>
    </row>
    <row r="507" spans="2:9">
      <c r="B507" s="555" t="str">
        <f t="shared" si="39"/>
        <v/>
      </c>
      <c r="C507" s="556" t="str">
        <f t="shared" si="40"/>
        <v/>
      </c>
      <c r="D507" s="557" t="str">
        <f t="shared" si="41"/>
        <v/>
      </c>
      <c r="E507" s="560"/>
      <c r="F507" s="559"/>
      <c r="G507" s="559" t="str">
        <f t="shared" si="42"/>
        <v/>
      </c>
      <c r="H507" s="559" t="str">
        <f t="shared" si="43"/>
        <v/>
      </c>
      <c r="I507" s="559" t="str">
        <f t="shared" si="44"/>
        <v/>
      </c>
    </row>
    <row r="508" spans="2:9">
      <c r="B508" s="555" t="str">
        <f t="shared" si="39"/>
        <v/>
      </c>
      <c r="C508" s="556" t="str">
        <f t="shared" si="40"/>
        <v/>
      </c>
      <c r="D508" s="557" t="str">
        <f t="shared" si="41"/>
        <v/>
      </c>
      <c r="E508" s="560"/>
      <c r="F508" s="559"/>
      <c r="G508" s="559" t="str">
        <f t="shared" si="42"/>
        <v/>
      </c>
      <c r="H508" s="559" t="str">
        <f t="shared" si="43"/>
        <v/>
      </c>
      <c r="I508" s="559" t="str">
        <f t="shared" si="44"/>
        <v/>
      </c>
    </row>
    <row r="509" spans="2:9">
      <c r="B509" s="555" t="str">
        <f t="shared" ref="B509:B572" si="45">IF(I508="","",IF(roundOpt,IF(OR(B508&gt;=nper,ROUND(I508,2)&lt;=0),"",B508+1),IF(OR(B508&gt;=nper,I508&lt;=0),"",B508+1)))</f>
        <v/>
      </c>
      <c r="C509" s="556" t="str">
        <f t="shared" ref="C509:C572" si="46">IF(B509="","",IF(OR(periods_per_year=26,periods_per_year=52),IF(periods_per_year=26,IF(B509=1,fpdate,C508+14),IF(periods_per_year=52,IF(B509=1,fpdate,C508+7),"n/a")),IF(periods_per_year=24,DATE(YEAR(fpdate),MONTH(fpdate)+(B509-1)/2+IF(AND(DAY(fpdate)&gt;=15,MOD(B509,2)=0),1,0),IF(MOD(B509,2)=0,IF(DAY(fpdate)&gt;=15,DAY(fpdate)-14,DAY(fpdate)+14),DAY(fpdate))),IF(DAY(DATE(YEAR(fpdate),MONTH(fpdate)+(B509-1)*months_per_period,DAY(fpdate)))&lt;&gt;DAY(fpdate),DATE(YEAR(fpdate),MONTH(fpdate)+(B509-1)*months_per_period+1,0),DATE(YEAR(fpdate),MONTH(fpdate)+(B509-1)*months_per_period,DAY(fpdate))))))</f>
        <v/>
      </c>
      <c r="D509" s="557" t="str">
        <f t="shared" ref="D509:D572" si="47">IF(B509="","",IF(roundOpt,IF(OR(B509=nper,payment&gt;ROUND((1+rate)*I508,2)),ROUND((1+rate)*I508,2),payment),IF(OR(B509=nper,payment&gt;(1+rate)*I508),(1+rate)*I508,payment)))</f>
        <v/>
      </c>
      <c r="E509" s="560"/>
      <c r="F509" s="559"/>
      <c r="G509" s="559" t="str">
        <f t="shared" ref="G509:G572" si="48">IF(B509="","",IF(AND(B509=1,pmtType=1),0,IF(roundOpt,ROUND(rate*I508,2),rate*I508)))</f>
        <v/>
      </c>
      <c r="H509" s="559" t="str">
        <f t="shared" ref="H509:H572" si="49">IF(B509="","",D509-G509+E509)</f>
        <v/>
      </c>
      <c r="I509" s="559" t="str">
        <f t="shared" ref="I509:I572" si="50">IF(B509="","",I508-H509)</f>
        <v/>
      </c>
    </row>
    <row r="510" spans="2:9">
      <c r="B510" s="555" t="str">
        <f t="shared" si="45"/>
        <v/>
      </c>
      <c r="C510" s="556" t="str">
        <f t="shared" si="46"/>
        <v/>
      </c>
      <c r="D510" s="557" t="str">
        <f t="shared" si="47"/>
        <v/>
      </c>
      <c r="E510" s="560"/>
      <c r="F510" s="559"/>
      <c r="G510" s="559" t="str">
        <f t="shared" si="48"/>
        <v/>
      </c>
      <c r="H510" s="559" t="str">
        <f t="shared" si="49"/>
        <v/>
      </c>
      <c r="I510" s="559" t="str">
        <f t="shared" si="50"/>
        <v/>
      </c>
    </row>
    <row r="511" spans="2:9">
      <c r="B511" s="555" t="str">
        <f t="shared" si="45"/>
        <v/>
      </c>
      <c r="C511" s="556" t="str">
        <f t="shared" si="46"/>
        <v/>
      </c>
      <c r="D511" s="557" t="str">
        <f t="shared" si="47"/>
        <v/>
      </c>
      <c r="E511" s="560"/>
      <c r="F511" s="559"/>
      <c r="G511" s="559" t="str">
        <f t="shared" si="48"/>
        <v/>
      </c>
      <c r="H511" s="559" t="str">
        <f t="shared" si="49"/>
        <v/>
      </c>
      <c r="I511" s="559" t="str">
        <f t="shared" si="50"/>
        <v/>
      </c>
    </row>
    <row r="512" spans="2:9">
      <c r="B512" s="555" t="str">
        <f t="shared" si="45"/>
        <v/>
      </c>
      <c r="C512" s="556" t="str">
        <f t="shared" si="46"/>
        <v/>
      </c>
      <c r="D512" s="557" t="str">
        <f t="shared" si="47"/>
        <v/>
      </c>
      <c r="E512" s="560"/>
      <c r="F512" s="559"/>
      <c r="G512" s="559" t="str">
        <f t="shared" si="48"/>
        <v/>
      </c>
      <c r="H512" s="559" t="str">
        <f t="shared" si="49"/>
        <v/>
      </c>
      <c r="I512" s="559" t="str">
        <f t="shared" si="50"/>
        <v/>
      </c>
    </row>
    <row r="513" spans="2:9">
      <c r="B513" s="555" t="str">
        <f t="shared" si="45"/>
        <v/>
      </c>
      <c r="C513" s="556" t="str">
        <f t="shared" si="46"/>
        <v/>
      </c>
      <c r="D513" s="557" t="str">
        <f t="shared" si="47"/>
        <v/>
      </c>
      <c r="E513" s="560"/>
      <c r="F513" s="559"/>
      <c r="G513" s="559" t="str">
        <f t="shared" si="48"/>
        <v/>
      </c>
      <c r="H513" s="559" t="str">
        <f t="shared" si="49"/>
        <v/>
      </c>
      <c r="I513" s="559" t="str">
        <f t="shared" si="50"/>
        <v/>
      </c>
    </row>
    <row r="514" spans="2:9">
      <c r="B514" s="555" t="str">
        <f t="shared" si="45"/>
        <v/>
      </c>
      <c r="C514" s="556" t="str">
        <f t="shared" si="46"/>
        <v/>
      </c>
      <c r="D514" s="557" t="str">
        <f t="shared" si="47"/>
        <v/>
      </c>
      <c r="E514" s="560"/>
      <c r="F514" s="559"/>
      <c r="G514" s="559" t="str">
        <f t="shared" si="48"/>
        <v/>
      </c>
      <c r="H514" s="559" t="str">
        <f t="shared" si="49"/>
        <v/>
      </c>
      <c r="I514" s="559" t="str">
        <f t="shared" si="50"/>
        <v/>
      </c>
    </row>
    <row r="515" spans="2:9">
      <c r="B515" s="555" t="str">
        <f t="shared" si="45"/>
        <v/>
      </c>
      <c r="C515" s="556" t="str">
        <f t="shared" si="46"/>
        <v/>
      </c>
      <c r="D515" s="557" t="str">
        <f t="shared" si="47"/>
        <v/>
      </c>
      <c r="E515" s="560"/>
      <c r="F515" s="559"/>
      <c r="G515" s="559" t="str">
        <f t="shared" si="48"/>
        <v/>
      </c>
      <c r="H515" s="559" t="str">
        <f t="shared" si="49"/>
        <v/>
      </c>
      <c r="I515" s="559" t="str">
        <f t="shared" si="50"/>
        <v/>
      </c>
    </row>
    <row r="516" spans="2:9">
      <c r="B516" s="555" t="str">
        <f t="shared" si="45"/>
        <v/>
      </c>
      <c r="C516" s="556" t="str">
        <f t="shared" si="46"/>
        <v/>
      </c>
      <c r="D516" s="557" t="str">
        <f t="shared" si="47"/>
        <v/>
      </c>
      <c r="E516" s="560"/>
      <c r="F516" s="559"/>
      <c r="G516" s="559" t="str">
        <f t="shared" si="48"/>
        <v/>
      </c>
      <c r="H516" s="559" t="str">
        <f t="shared" si="49"/>
        <v/>
      </c>
      <c r="I516" s="559" t="str">
        <f t="shared" si="50"/>
        <v/>
      </c>
    </row>
    <row r="517" spans="2:9">
      <c r="B517" s="555" t="str">
        <f t="shared" si="45"/>
        <v/>
      </c>
      <c r="C517" s="556" t="str">
        <f t="shared" si="46"/>
        <v/>
      </c>
      <c r="D517" s="557" t="str">
        <f t="shared" si="47"/>
        <v/>
      </c>
      <c r="E517" s="560"/>
      <c r="F517" s="559"/>
      <c r="G517" s="559" t="str">
        <f t="shared" si="48"/>
        <v/>
      </c>
      <c r="H517" s="559" t="str">
        <f t="shared" si="49"/>
        <v/>
      </c>
      <c r="I517" s="559" t="str">
        <f t="shared" si="50"/>
        <v/>
      </c>
    </row>
    <row r="518" spans="2:9">
      <c r="B518" s="555" t="str">
        <f t="shared" si="45"/>
        <v/>
      </c>
      <c r="C518" s="556" t="str">
        <f t="shared" si="46"/>
        <v/>
      </c>
      <c r="D518" s="557" t="str">
        <f t="shared" si="47"/>
        <v/>
      </c>
      <c r="E518" s="560"/>
      <c r="F518" s="559"/>
      <c r="G518" s="559" t="str">
        <f t="shared" si="48"/>
        <v/>
      </c>
      <c r="H518" s="559" t="str">
        <f t="shared" si="49"/>
        <v/>
      </c>
      <c r="I518" s="559" t="str">
        <f t="shared" si="50"/>
        <v/>
      </c>
    </row>
    <row r="519" spans="2:9">
      <c r="B519" s="555" t="str">
        <f t="shared" si="45"/>
        <v/>
      </c>
      <c r="C519" s="556" t="str">
        <f t="shared" si="46"/>
        <v/>
      </c>
      <c r="D519" s="557" t="str">
        <f t="shared" si="47"/>
        <v/>
      </c>
      <c r="E519" s="560"/>
      <c r="F519" s="559"/>
      <c r="G519" s="559" t="str">
        <f t="shared" si="48"/>
        <v/>
      </c>
      <c r="H519" s="559" t="str">
        <f t="shared" si="49"/>
        <v/>
      </c>
      <c r="I519" s="559" t="str">
        <f t="shared" si="50"/>
        <v/>
      </c>
    </row>
    <row r="520" spans="2:9">
      <c r="B520" s="555" t="str">
        <f t="shared" si="45"/>
        <v/>
      </c>
      <c r="C520" s="556" t="str">
        <f t="shared" si="46"/>
        <v/>
      </c>
      <c r="D520" s="557" t="str">
        <f t="shared" si="47"/>
        <v/>
      </c>
      <c r="E520" s="560"/>
      <c r="F520" s="559"/>
      <c r="G520" s="559" t="str">
        <f t="shared" si="48"/>
        <v/>
      </c>
      <c r="H520" s="559" t="str">
        <f t="shared" si="49"/>
        <v/>
      </c>
      <c r="I520" s="559" t="str">
        <f t="shared" si="50"/>
        <v/>
      </c>
    </row>
    <row r="521" spans="2:9">
      <c r="B521" s="555" t="str">
        <f t="shared" si="45"/>
        <v/>
      </c>
      <c r="C521" s="556" t="str">
        <f t="shared" si="46"/>
        <v/>
      </c>
      <c r="D521" s="557" t="str">
        <f t="shared" si="47"/>
        <v/>
      </c>
      <c r="E521" s="560"/>
      <c r="F521" s="559"/>
      <c r="G521" s="559" t="str">
        <f t="shared" si="48"/>
        <v/>
      </c>
      <c r="H521" s="559" t="str">
        <f t="shared" si="49"/>
        <v/>
      </c>
      <c r="I521" s="559" t="str">
        <f t="shared" si="50"/>
        <v/>
      </c>
    </row>
    <row r="522" spans="2:9">
      <c r="B522" s="555" t="str">
        <f t="shared" si="45"/>
        <v/>
      </c>
      <c r="C522" s="556" t="str">
        <f t="shared" si="46"/>
        <v/>
      </c>
      <c r="D522" s="557" t="str">
        <f t="shared" si="47"/>
        <v/>
      </c>
      <c r="E522" s="560"/>
      <c r="F522" s="559"/>
      <c r="G522" s="559" t="str">
        <f t="shared" si="48"/>
        <v/>
      </c>
      <c r="H522" s="559" t="str">
        <f t="shared" si="49"/>
        <v/>
      </c>
      <c r="I522" s="559" t="str">
        <f t="shared" si="50"/>
        <v/>
      </c>
    </row>
    <row r="523" spans="2:9">
      <c r="B523" s="555" t="str">
        <f t="shared" si="45"/>
        <v/>
      </c>
      <c r="C523" s="556" t="str">
        <f t="shared" si="46"/>
        <v/>
      </c>
      <c r="D523" s="557" t="str">
        <f t="shared" si="47"/>
        <v/>
      </c>
      <c r="E523" s="560"/>
      <c r="F523" s="559"/>
      <c r="G523" s="559" t="str">
        <f t="shared" si="48"/>
        <v/>
      </c>
      <c r="H523" s="559" t="str">
        <f t="shared" si="49"/>
        <v/>
      </c>
      <c r="I523" s="559" t="str">
        <f t="shared" si="50"/>
        <v/>
      </c>
    </row>
    <row r="524" spans="2:9">
      <c r="B524" s="555" t="str">
        <f t="shared" si="45"/>
        <v/>
      </c>
      <c r="C524" s="556" t="str">
        <f t="shared" si="46"/>
        <v/>
      </c>
      <c r="D524" s="557" t="str">
        <f t="shared" si="47"/>
        <v/>
      </c>
      <c r="E524" s="560"/>
      <c r="F524" s="559"/>
      <c r="G524" s="559" t="str">
        <f t="shared" si="48"/>
        <v/>
      </c>
      <c r="H524" s="559" t="str">
        <f t="shared" si="49"/>
        <v/>
      </c>
      <c r="I524" s="559" t="str">
        <f t="shared" si="50"/>
        <v/>
      </c>
    </row>
    <row r="525" spans="2:9">
      <c r="B525" s="555" t="str">
        <f t="shared" si="45"/>
        <v/>
      </c>
      <c r="C525" s="556" t="str">
        <f t="shared" si="46"/>
        <v/>
      </c>
      <c r="D525" s="557" t="str">
        <f t="shared" si="47"/>
        <v/>
      </c>
      <c r="E525" s="560"/>
      <c r="F525" s="559"/>
      <c r="G525" s="559" t="str">
        <f t="shared" si="48"/>
        <v/>
      </c>
      <c r="H525" s="559" t="str">
        <f t="shared" si="49"/>
        <v/>
      </c>
      <c r="I525" s="559" t="str">
        <f t="shared" si="50"/>
        <v/>
      </c>
    </row>
    <row r="526" spans="2:9">
      <c r="B526" s="555" t="str">
        <f t="shared" si="45"/>
        <v/>
      </c>
      <c r="C526" s="556" t="str">
        <f t="shared" si="46"/>
        <v/>
      </c>
      <c r="D526" s="557" t="str">
        <f t="shared" si="47"/>
        <v/>
      </c>
      <c r="E526" s="560"/>
      <c r="F526" s="559"/>
      <c r="G526" s="559" t="str">
        <f t="shared" si="48"/>
        <v/>
      </c>
      <c r="H526" s="559" t="str">
        <f t="shared" si="49"/>
        <v/>
      </c>
      <c r="I526" s="559" t="str">
        <f t="shared" si="50"/>
        <v/>
      </c>
    </row>
    <row r="527" spans="2:9">
      <c r="B527" s="555" t="str">
        <f t="shared" si="45"/>
        <v/>
      </c>
      <c r="C527" s="556" t="str">
        <f t="shared" si="46"/>
        <v/>
      </c>
      <c r="D527" s="557" t="str">
        <f t="shared" si="47"/>
        <v/>
      </c>
      <c r="E527" s="560"/>
      <c r="F527" s="559"/>
      <c r="G527" s="559" t="str">
        <f t="shared" si="48"/>
        <v/>
      </c>
      <c r="H527" s="559" t="str">
        <f t="shared" si="49"/>
        <v/>
      </c>
      <c r="I527" s="559" t="str">
        <f t="shared" si="50"/>
        <v/>
      </c>
    </row>
    <row r="528" spans="2:9">
      <c r="B528" s="555" t="str">
        <f t="shared" si="45"/>
        <v/>
      </c>
      <c r="C528" s="556" t="str">
        <f t="shared" si="46"/>
        <v/>
      </c>
      <c r="D528" s="557" t="str">
        <f t="shared" si="47"/>
        <v/>
      </c>
      <c r="E528" s="560"/>
      <c r="F528" s="559"/>
      <c r="G528" s="559" t="str">
        <f t="shared" si="48"/>
        <v/>
      </c>
      <c r="H528" s="559" t="str">
        <f t="shared" si="49"/>
        <v/>
      </c>
      <c r="I528" s="559" t="str">
        <f t="shared" si="50"/>
        <v/>
      </c>
    </row>
    <row r="529" spans="2:9">
      <c r="B529" s="555" t="str">
        <f t="shared" si="45"/>
        <v/>
      </c>
      <c r="C529" s="556" t="str">
        <f t="shared" si="46"/>
        <v/>
      </c>
      <c r="D529" s="557" t="str">
        <f t="shared" si="47"/>
        <v/>
      </c>
      <c r="E529" s="560"/>
      <c r="F529" s="559"/>
      <c r="G529" s="559" t="str">
        <f t="shared" si="48"/>
        <v/>
      </c>
      <c r="H529" s="559" t="str">
        <f t="shared" si="49"/>
        <v/>
      </c>
      <c r="I529" s="559" t="str">
        <f t="shared" si="50"/>
        <v/>
      </c>
    </row>
    <row r="530" spans="2:9">
      <c r="B530" s="555" t="str">
        <f t="shared" si="45"/>
        <v/>
      </c>
      <c r="C530" s="556" t="str">
        <f t="shared" si="46"/>
        <v/>
      </c>
      <c r="D530" s="557" t="str">
        <f t="shared" si="47"/>
        <v/>
      </c>
      <c r="E530" s="560"/>
      <c r="F530" s="559"/>
      <c r="G530" s="559" t="str">
        <f t="shared" si="48"/>
        <v/>
      </c>
      <c r="H530" s="559" t="str">
        <f t="shared" si="49"/>
        <v/>
      </c>
      <c r="I530" s="559" t="str">
        <f t="shared" si="50"/>
        <v/>
      </c>
    </row>
    <row r="531" spans="2:9">
      <c r="B531" s="555" t="str">
        <f t="shared" si="45"/>
        <v/>
      </c>
      <c r="C531" s="556" t="str">
        <f t="shared" si="46"/>
        <v/>
      </c>
      <c r="D531" s="557" t="str">
        <f t="shared" si="47"/>
        <v/>
      </c>
      <c r="E531" s="560"/>
      <c r="F531" s="559"/>
      <c r="G531" s="559" t="str">
        <f t="shared" si="48"/>
        <v/>
      </c>
      <c r="H531" s="559" t="str">
        <f t="shared" si="49"/>
        <v/>
      </c>
      <c r="I531" s="559" t="str">
        <f t="shared" si="50"/>
        <v/>
      </c>
    </row>
    <row r="532" spans="2:9">
      <c r="B532" s="555" t="str">
        <f t="shared" si="45"/>
        <v/>
      </c>
      <c r="C532" s="556" t="str">
        <f t="shared" si="46"/>
        <v/>
      </c>
      <c r="D532" s="557" t="str">
        <f t="shared" si="47"/>
        <v/>
      </c>
      <c r="E532" s="560"/>
      <c r="F532" s="559"/>
      <c r="G532" s="559" t="str">
        <f t="shared" si="48"/>
        <v/>
      </c>
      <c r="H532" s="559" t="str">
        <f t="shared" si="49"/>
        <v/>
      </c>
      <c r="I532" s="559" t="str">
        <f t="shared" si="50"/>
        <v/>
      </c>
    </row>
    <row r="533" spans="2:9">
      <c r="B533" s="555" t="str">
        <f t="shared" si="45"/>
        <v/>
      </c>
      <c r="C533" s="556" t="str">
        <f t="shared" si="46"/>
        <v/>
      </c>
      <c r="D533" s="557" t="str">
        <f t="shared" si="47"/>
        <v/>
      </c>
      <c r="E533" s="560"/>
      <c r="F533" s="559"/>
      <c r="G533" s="559" t="str">
        <f t="shared" si="48"/>
        <v/>
      </c>
      <c r="H533" s="559" t="str">
        <f t="shared" si="49"/>
        <v/>
      </c>
      <c r="I533" s="559" t="str">
        <f t="shared" si="50"/>
        <v/>
      </c>
    </row>
    <row r="534" spans="2:9">
      <c r="B534" s="555" t="str">
        <f t="shared" si="45"/>
        <v/>
      </c>
      <c r="C534" s="556" t="str">
        <f t="shared" si="46"/>
        <v/>
      </c>
      <c r="D534" s="557" t="str">
        <f t="shared" si="47"/>
        <v/>
      </c>
      <c r="E534" s="560"/>
      <c r="F534" s="559"/>
      <c r="G534" s="559" t="str">
        <f t="shared" si="48"/>
        <v/>
      </c>
      <c r="H534" s="559" t="str">
        <f t="shared" si="49"/>
        <v/>
      </c>
      <c r="I534" s="559" t="str">
        <f t="shared" si="50"/>
        <v/>
      </c>
    </row>
    <row r="535" spans="2:9">
      <c r="B535" s="555" t="str">
        <f t="shared" si="45"/>
        <v/>
      </c>
      <c r="C535" s="556" t="str">
        <f t="shared" si="46"/>
        <v/>
      </c>
      <c r="D535" s="557" t="str">
        <f t="shared" si="47"/>
        <v/>
      </c>
      <c r="E535" s="560"/>
      <c r="F535" s="559"/>
      <c r="G535" s="559" t="str">
        <f t="shared" si="48"/>
        <v/>
      </c>
      <c r="H535" s="559" t="str">
        <f t="shared" si="49"/>
        <v/>
      </c>
      <c r="I535" s="559" t="str">
        <f t="shared" si="50"/>
        <v/>
      </c>
    </row>
    <row r="536" spans="2:9">
      <c r="B536" s="555" t="str">
        <f t="shared" si="45"/>
        <v/>
      </c>
      <c r="C536" s="556" t="str">
        <f t="shared" si="46"/>
        <v/>
      </c>
      <c r="D536" s="557" t="str">
        <f t="shared" si="47"/>
        <v/>
      </c>
      <c r="E536" s="560"/>
      <c r="F536" s="559"/>
      <c r="G536" s="559" t="str">
        <f t="shared" si="48"/>
        <v/>
      </c>
      <c r="H536" s="559" t="str">
        <f t="shared" si="49"/>
        <v/>
      </c>
      <c r="I536" s="559" t="str">
        <f t="shared" si="50"/>
        <v/>
      </c>
    </row>
    <row r="537" spans="2:9">
      <c r="B537" s="555" t="str">
        <f t="shared" si="45"/>
        <v/>
      </c>
      <c r="C537" s="556" t="str">
        <f t="shared" si="46"/>
        <v/>
      </c>
      <c r="D537" s="557" t="str">
        <f t="shared" si="47"/>
        <v/>
      </c>
      <c r="E537" s="560"/>
      <c r="F537" s="559"/>
      <c r="G537" s="559" t="str">
        <f t="shared" si="48"/>
        <v/>
      </c>
      <c r="H537" s="559" t="str">
        <f t="shared" si="49"/>
        <v/>
      </c>
      <c r="I537" s="559" t="str">
        <f t="shared" si="50"/>
        <v/>
      </c>
    </row>
    <row r="538" spans="2:9">
      <c r="B538" s="555" t="str">
        <f t="shared" si="45"/>
        <v/>
      </c>
      <c r="C538" s="556" t="str">
        <f t="shared" si="46"/>
        <v/>
      </c>
      <c r="D538" s="557" t="str">
        <f t="shared" si="47"/>
        <v/>
      </c>
      <c r="E538" s="560"/>
      <c r="F538" s="559"/>
      <c r="G538" s="559" t="str">
        <f t="shared" si="48"/>
        <v/>
      </c>
      <c r="H538" s="559" t="str">
        <f t="shared" si="49"/>
        <v/>
      </c>
      <c r="I538" s="559" t="str">
        <f t="shared" si="50"/>
        <v/>
      </c>
    </row>
    <row r="539" spans="2:9">
      <c r="B539" s="555" t="str">
        <f t="shared" si="45"/>
        <v/>
      </c>
      <c r="C539" s="556" t="str">
        <f t="shared" si="46"/>
        <v/>
      </c>
      <c r="D539" s="557" t="str">
        <f t="shared" si="47"/>
        <v/>
      </c>
      <c r="E539" s="560"/>
      <c r="F539" s="559"/>
      <c r="G539" s="559" t="str">
        <f t="shared" si="48"/>
        <v/>
      </c>
      <c r="H539" s="559" t="str">
        <f t="shared" si="49"/>
        <v/>
      </c>
      <c r="I539" s="559" t="str">
        <f t="shared" si="50"/>
        <v/>
      </c>
    </row>
    <row r="540" spans="2:9">
      <c r="B540" s="555" t="str">
        <f t="shared" si="45"/>
        <v/>
      </c>
      <c r="C540" s="556" t="str">
        <f t="shared" si="46"/>
        <v/>
      </c>
      <c r="D540" s="557" t="str">
        <f t="shared" si="47"/>
        <v/>
      </c>
      <c r="E540" s="560"/>
      <c r="F540" s="559"/>
      <c r="G540" s="559" t="str">
        <f t="shared" si="48"/>
        <v/>
      </c>
      <c r="H540" s="559" t="str">
        <f t="shared" si="49"/>
        <v/>
      </c>
      <c r="I540" s="559" t="str">
        <f t="shared" si="50"/>
        <v/>
      </c>
    </row>
    <row r="541" spans="2:9">
      <c r="B541" s="555" t="str">
        <f t="shared" si="45"/>
        <v/>
      </c>
      <c r="C541" s="556" t="str">
        <f t="shared" si="46"/>
        <v/>
      </c>
      <c r="D541" s="557" t="str">
        <f t="shared" si="47"/>
        <v/>
      </c>
      <c r="E541" s="560"/>
      <c r="F541" s="559"/>
      <c r="G541" s="559" t="str">
        <f t="shared" si="48"/>
        <v/>
      </c>
      <c r="H541" s="559" t="str">
        <f t="shared" si="49"/>
        <v/>
      </c>
      <c r="I541" s="559" t="str">
        <f t="shared" si="50"/>
        <v/>
      </c>
    </row>
    <row r="542" spans="2:9">
      <c r="B542" s="555" t="str">
        <f t="shared" si="45"/>
        <v/>
      </c>
      <c r="C542" s="556" t="str">
        <f t="shared" si="46"/>
        <v/>
      </c>
      <c r="D542" s="557" t="str">
        <f t="shared" si="47"/>
        <v/>
      </c>
      <c r="E542" s="560"/>
      <c r="F542" s="559"/>
      <c r="G542" s="559" t="str">
        <f t="shared" si="48"/>
        <v/>
      </c>
      <c r="H542" s="559" t="str">
        <f t="shared" si="49"/>
        <v/>
      </c>
      <c r="I542" s="559" t="str">
        <f t="shared" si="50"/>
        <v/>
      </c>
    </row>
    <row r="543" spans="2:9">
      <c r="B543" s="555" t="str">
        <f t="shared" si="45"/>
        <v/>
      </c>
      <c r="C543" s="556" t="str">
        <f t="shared" si="46"/>
        <v/>
      </c>
      <c r="D543" s="557" t="str">
        <f t="shared" si="47"/>
        <v/>
      </c>
      <c r="E543" s="560"/>
      <c r="F543" s="559"/>
      <c r="G543" s="559" t="str">
        <f t="shared" si="48"/>
        <v/>
      </c>
      <c r="H543" s="559" t="str">
        <f t="shared" si="49"/>
        <v/>
      </c>
      <c r="I543" s="559" t="str">
        <f t="shared" si="50"/>
        <v/>
      </c>
    </row>
    <row r="544" spans="2:9">
      <c r="B544" s="555" t="str">
        <f t="shared" si="45"/>
        <v/>
      </c>
      <c r="C544" s="556" t="str">
        <f t="shared" si="46"/>
        <v/>
      </c>
      <c r="D544" s="557" t="str">
        <f t="shared" si="47"/>
        <v/>
      </c>
      <c r="E544" s="560"/>
      <c r="F544" s="559"/>
      <c r="G544" s="559" t="str">
        <f t="shared" si="48"/>
        <v/>
      </c>
      <c r="H544" s="559" t="str">
        <f t="shared" si="49"/>
        <v/>
      </c>
      <c r="I544" s="559" t="str">
        <f t="shared" si="50"/>
        <v/>
      </c>
    </row>
    <row r="545" spans="2:9">
      <c r="B545" s="555" t="str">
        <f t="shared" si="45"/>
        <v/>
      </c>
      <c r="C545" s="556" t="str">
        <f t="shared" si="46"/>
        <v/>
      </c>
      <c r="D545" s="557" t="str">
        <f t="shared" si="47"/>
        <v/>
      </c>
      <c r="E545" s="560"/>
      <c r="F545" s="559"/>
      <c r="G545" s="559" t="str">
        <f t="shared" si="48"/>
        <v/>
      </c>
      <c r="H545" s="559" t="str">
        <f t="shared" si="49"/>
        <v/>
      </c>
      <c r="I545" s="559" t="str">
        <f t="shared" si="50"/>
        <v/>
      </c>
    </row>
    <row r="546" spans="2:9">
      <c r="B546" s="555" t="str">
        <f t="shared" si="45"/>
        <v/>
      </c>
      <c r="C546" s="556" t="str">
        <f t="shared" si="46"/>
        <v/>
      </c>
      <c r="D546" s="557" t="str">
        <f t="shared" si="47"/>
        <v/>
      </c>
      <c r="E546" s="560"/>
      <c r="F546" s="559"/>
      <c r="G546" s="559" t="str">
        <f t="shared" si="48"/>
        <v/>
      </c>
      <c r="H546" s="559" t="str">
        <f t="shared" si="49"/>
        <v/>
      </c>
      <c r="I546" s="559" t="str">
        <f t="shared" si="50"/>
        <v/>
      </c>
    </row>
    <row r="547" spans="2:9">
      <c r="B547" s="555" t="str">
        <f t="shared" si="45"/>
        <v/>
      </c>
      <c r="C547" s="556" t="str">
        <f t="shared" si="46"/>
        <v/>
      </c>
      <c r="D547" s="557" t="str">
        <f t="shared" si="47"/>
        <v/>
      </c>
      <c r="E547" s="560"/>
      <c r="F547" s="559"/>
      <c r="G547" s="559" t="str">
        <f t="shared" si="48"/>
        <v/>
      </c>
      <c r="H547" s="559" t="str">
        <f t="shared" si="49"/>
        <v/>
      </c>
      <c r="I547" s="559" t="str">
        <f t="shared" si="50"/>
        <v/>
      </c>
    </row>
    <row r="548" spans="2:9">
      <c r="B548" s="555" t="str">
        <f t="shared" si="45"/>
        <v/>
      </c>
      <c r="C548" s="556" t="str">
        <f t="shared" si="46"/>
        <v/>
      </c>
      <c r="D548" s="557" t="str">
        <f t="shared" si="47"/>
        <v/>
      </c>
      <c r="E548" s="560"/>
      <c r="F548" s="559"/>
      <c r="G548" s="559" t="str">
        <f t="shared" si="48"/>
        <v/>
      </c>
      <c r="H548" s="559" t="str">
        <f t="shared" si="49"/>
        <v/>
      </c>
      <c r="I548" s="559" t="str">
        <f t="shared" si="50"/>
        <v/>
      </c>
    </row>
    <row r="549" spans="2:9">
      <c r="B549" s="555" t="str">
        <f t="shared" si="45"/>
        <v/>
      </c>
      <c r="C549" s="556" t="str">
        <f t="shared" si="46"/>
        <v/>
      </c>
      <c r="D549" s="557" t="str">
        <f t="shared" si="47"/>
        <v/>
      </c>
      <c r="E549" s="560"/>
      <c r="F549" s="559"/>
      <c r="G549" s="559" t="str">
        <f t="shared" si="48"/>
        <v/>
      </c>
      <c r="H549" s="559" t="str">
        <f t="shared" si="49"/>
        <v/>
      </c>
      <c r="I549" s="559" t="str">
        <f t="shared" si="50"/>
        <v/>
      </c>
    </row>
    <row r="550" spans="2:9">
      <c r="B550" s="555" t="str">
        <f t="shared" si="45"/>
        <v/>
      </c>
      <c r="C550" s="556" t="str">
        <f t="shared" si="46"/>
        <v/>
      </c>
      <c r="D550" s="557" t="str">
        <f t="shared" si="47"/>
        <v/>
      </c>
      <c r="E550" s="560"/>
      <c r="F550" s="559"/>
      <c r="G550" s="559" t="str">
        <f t="shared" si="48"/>
        <v/>
      </c>
      <c r="H550" s="559" t="str">
        <f t="shared" si="49"/>
        <v/>
      </c>
      <c r="I550" s="559" t="str">
        <f t="shared" si="50"/>
        <v/>
      </c>
    </row>
    <row r="551" spans="2:9">
      <c r="B551" s="555" t="str">
        <f t="shared" si="45"/>
        <v/>
      </c>
      <c r="C551" s="556" t="str">
        <f t="shared" si="46"/>
        <v/>
      </c>
      <c r="D551" s="557" t="str">
        <f t="shared" si="47"/>
        <v/>
      </c>
      <c r="E551" s="560"/>
      <c r="F551" s="559"/>
      <c r="G551" s="559" t="str">
        <f t="shared" si="48"/>
        <v/>
      </c>
      <c r="H551" s="559" t="str">
        <f t="shared" si="49"/>
        <v/>
      </c>
      <c r="I551" s="559" t="str">
        <f t="shared" si="50"/>
        <v/>
      </c>
    </row>
    <row r="552" spans="2:9">
      <c r="B552" s="555" t="str">
        <f t="shared" si="45"/>
        <v/>
      </c>
      <c r="C552" s="556" t="str">
        <f t="shared" si="46"/>
        <v/>
      </c>
      <c r="D552" s="557" t="str">
        <f t="shared" si="47"/>
        <v/>
      </c>
      <c r="E552" s="560"/>
      <c r="F552" s="559"/>
      <c r="G552" s="559" t="str">
        <f t="shared" si="48"/>
        <v/>
      </c>
      <c r="H552" s="559" t="str">
        <f t="shared" si="49"/>
        <v/>
      </c>
      <c r="I552" s="559" t="str">
        <f t="shared" si="50"/>
        <v/>
      </c>
    </row>
    <row r="553" spans="2:9">
      <c r="B553" s="555" t="str">
        <f t="shared" si="45"/>
        <v/>
      </c>
      <c r="C553" s="556" t="str">
        <f t="shared" si="46"/>
        <v/>
      </c>
      <c r="D553" s="557" t="str">
        <f t="shared" si="47"/>
        <v/>
      </c>
      <c r="E553" s="560"/>
      <c r="F553" s="559"/>
      <c r="G553" s="559" t="str">
        <f t="shared" si="48"/>
        <v/>
      </c>
      <c r="H553" s="559" t="str">
        <f t="shared" si="49"/>
        <v/>
      </c>
      <c r="I553" s="559" t="str">
        <f t="shared" si="50"/>
        <v/>
      </c>
    </row>
    <row r="554" spans="2:9">
      <c r="B554" s="555" t="str">
        <f t="shared" si="45"/>
        <v/>
      </c>
      <c r="C554" s="556" t="str">
        <f t="shared" si="46"/>
        <v/>
      </c>
      <c r="D554" s="557" t="str">
        <f t="shared" si="47"/>
        <v/>
      </c>
      <c r="E554" s="560"/>
      <c r="F554" s="559"/>
      <c r="G554" s="559" t="str">
        <f t="shared" si="48"/>
        <v/>
      </c>
      <c r="H554" s="559" t="str">
        <f t="shared" si="49"/>
        <v/>
      </c>
      <c r="I554" s="559" t="str">
        <f t="shared" si="50"/>
        <v/>
      </c>
    </row>
    <row r="555" spans="2:9">
      <c r="B555" s="555" t="str">
        <f t="shared" si="45"/>
        <v/>
      </c>
      <c r="C555" s="556" t="str">
        <f t="shared" si="46"/>
        <v/>
      </c>
      <c r="D555" s="557" t="str">
        <f t="shared" si="47"/>
        <v/>
      </c>
      <c r="E555" s="560"/>
      <c r="F555" s="559"/>
      <c r="G555" s="559" t="str">
        <f t="shared" si="48"/>
        <v/>
      </c>
      <c r="H555" s="559" t="str">
        <f t="shared" si="49"/>
        <v/>
      </c>
      <c r="I555" s="559" t="str">
        <f t="shared" si="50"/>
        <v/>
      </c>
    </row>
    <row r="556" spans="2:9">
      <c r="B556" s="555" t="str">
        <f t="shared" si="45"/>
        <v/>
      </c>
      <c r="C556" s="556" t="str">
        <f t="shared" si="46"/>
        <v/>
      </c>
      <c r="D556" s="557" t="str">
        <f t="shared" si="47"/>
        <v/>
      </c>
      <c r="E556" s="560"/>
      <c r="F556" s="559"/>
      <c r="G556" s="559" t="str">
        <f t="shared" si="48"/>
        <v/>
      </c>
      <c r="H556" s="559" t="str">
        <f t="shared" si="49"/>
        <v/>
      </c>
      <c r="I556" s="559" t="str">
        <f t="shared" si="50"/>
        <v/>
      </c>
    </row>
    <row r="557" spans="2:9">
      <c r="B557" s="555" t="str">
        <f t="shared" si="45"/>
        <v/>
      </c>
      <c r="C557" s="556" t="str">
        <f t="shared" si="46"/>
        <v/>
      </c>
      <c r="D557" s="557" t="str">
        <f t="shared" si="47"/>
        <v/>
      </c>
      <c r="E557" s="560"/>
      <c r="F557" s="559"/>
      <c r="G557" s="559" t="str">
        <f t="shared" si="48"/>
        <v/>
      </c>
      <c r="H557" s="559" t="str">
        <f t="shared" si="49"/>
        <v/>
      </c>
      <c r="I557" s="559" t="str">
        <f t="shared" si="50"/>
        <v/>
      </c>
    </row>
    <row r="558" spans="2:9">
      <c r="B558" s="555" t="str">
        <f t="shared" si="45"/>
        <v/>
      </c>
      <c r="C558" s="556" t="str">
        <f t="shared" si="46"/>
        <v/>
      </c>
      <c r="D558" s="557" t="str">
        <f t="shared" si="47"/>
        <v/>
      </c>
      <c r="E558" s="560"/>
      <c r="F558" s="559"/>
      <c r="G558" s="559" t="str">
        <f t="shared" si="48"/>
        <v/>
      </c>
      <c r="H558" s="559" t="str">
        <f t="shared" si="49"/>
        <v/>
      </c>
      <c r="I558" s="559" t="str">
        <f t="shared" si="50"/>
        <v/>
      </c>
    </row>
    <row r="559" spans="2:9">
      <c r="B559" s="555" t="str">
        <f t="shared" si="45"/>
        <v/>
      </c>
      <c r="C559" s="556" t="str">
        <f t="shared" si="46"/>
        <v/>
      </c>
      <c r="D559" s="557" t="str">
        <f t="shared" si="47"/>
        <v/>
      </c>
      <c r="E559" s="560"/>
      <c r="F559" s="559"/>
      <c r="G559" s="559" t="str">
        <f t="shared" si="48"/>
        <v/>
      </c>
      <c r="H559" s="559" t="str">
        <f t="shared" si="49"/>
        <v/>
      </c>
      <c r="I559" s="559" t="str">
        <f t="shared" si="50"/>
        <v/>
      </c>
    </row>
    <row r="560" spans="2:9">
      <c r="B560" s="555" t="str">
        <f t="shared" si="45"/>
        <v/>
      </c>
      <c r="C560" s="556" t="str">
        <f t="shared" si="46"/>
        <v/>
      </c>
      <c r="D560" s="557" t="str">
        <f t="shared" si="47"/>
        <v/>
      </c>
      <c r="E560" s="560"/>
      <c r="F560" s="559"/>
      <c r="G560" s="559" t="str">
        <f t="shared" si="48"/>
        <v/>
      </c>
      <c r="H560" s="559" t="str">
        <f t="shared" si="49"/>
        <v/>
      </c>
      <c r="I560" s="559" t="str">
        <f t="shared" si="50"/>
        <v/>
      </c>
    </row>
    <row r="561" spans="2:9">
      <c r="B561" s="555" t="str">
        <f t="shared" si="45"/>
        <v/>
      </c>
      <c r="C561" s="556" t="str">
        <f t="shared" si="46"/>
        <v/>
      </c>
      <c r="D561" s="557" t="str">
        <f t="shared" si="47"/>
        <v/>
      </c>
      <c r="E561" s="560"/>
      <c r="F561" s="559"/>
      <c r="G561" s="559" t="str">
        <f t="shared" si="48"/>
        <v/>
      </c>
      <c r="H561" s="559" t="str">
        <f t="shared" si="49"/>
        <v/>
      </c>
      <c r="I561" s="559" t="str">
        <f t="shared" si="50"/>
        <v/>
      </c>
    </row>
    <row r="562" spans="2:9">
      <c r="B562" s="555" t="str">
        <f t="shared" si="45"/>
        <v/>
      </c>
      <c r="C562" s="556" t="str">
        <f t="shared" si="46"/>
        <v/>
      </c>
      <c r="D562" s="557" t="str">
        <f t="shared" si="47"/>
        <v/>
      </c>
      <c r="E562" s="560"/>
      <c r="F562" s="559"/>
      <c r="G562" s="559" t="str">
        <f t="shared" si="48"/>
        <v/>
      </c>
      <c r="H562" s="559" t="str">
        <f t="shared" si="49"/>
        <v/>
      </c>
      <c r="I562" s="559" t="str">
        <f t="shared" si="50"/>
        <v/>
      </c>
    </row>
    <row r="563" spans="2:9">
      <c r="B563" s="555" t="str">
        <f t="shared" si="45"/>
        <v/>
      </c>
      <c r="C563" s="556" t="str">
        <f t="shared" si="46"/>
        <v/>
      </c>
      <c r="D563" s="557" t="str">
        <f t="shared" si="47"/>
        <v/>
      </c>
      <c r="E563" s="560"/>
      <c r="F563" s="559"/>
      <c r="G563" s="559" t="str">
        <f t="shared" si="48"/>
        <v/>
      </c>
      <c r="H563" s="559" t="str">
        <f t="shared" si="49"/>
        <v/>
      </c>
      <c r="I563" s="559" t="str">
        <f t="shared" si="50"/>
        <v/>
      </c>
    </row>
    <row r="564" spans="2:9">
      <c r="B564" s="555" t="str">
        <f t="shared" si="45"/>
        <v/>
      </c>
      <c r="C564" s="556" t="str">
        <f t="shared" si="46"/>
        <v/>
      </c>
      <c r="D564" s="557" t="str">
        <f t="shared" si="47"/>
        <v/>
      </c>
      <c r="E564" s="560"/>
      <c r="F564" s="559"/>
      <c r="G564" s="559" t="str">
        <f t="shared" si="48"/>
        <v/>
      </c>
      <c r="H564" s="559" t="str">
        <f t="shared" si="49"/>
        <v/>
      </c>
      <c r="I564" s="559" t="str">
        <f t="shared" si="50"/>
        <v/>
      </c>
    </row>
    <row r="565" spans="2:9">
      <c r="B565" s="555" t="str">
        <f t="shared" si="45"/>
        <v/>
      </c>
      <c r="C565" s="556" t="str">
        <f t="shared" si="46"/>
        <v/>
      </c>
      <c r="D565" s="557" t="str">
        <f t="shared" si="47"/>
        <v/>
      </c>
      <c r="E565" s="560"/>
      <c r="F565" s="559"/>
      <c r="G565" s="559" t="str">
        <f t="shared" si="48"/>
        <v/>
      </c>
      <c r="H565" s="559" t="str">
        <f t="shared" si="49"/>
        <v/>
      </c>
      <c r="I565" s="559" t="str">
        <f t="shared" si="50"/>
        <v/>
      </c>
    </row>
    <row r="566" spans="2:9">
      <c r="B566" s="555" t="str">
        <f t="shared" si="45"/>
        <v/>
      </c>
      <c r="C566" s="556" t="str">
        <f t="shared" si="46"/>
        <v/>
      </c>
      <c r="D566" s="557" t="str">
        <f t="shared" si="47"/>
        <v/>
      </c>
      <c r="E566" s="560"/>
      <c r="F566" s="559"/>
      <c r="G566" s="559" t="str">
        <f t="shared" si="48"/>
        <v/>
      </c>
      <c r="H566" s="559" t="str">
        <f t="shared" si="49"/>
        <v/>
      </c>
      <c r="I566" s="559" t="str">
        <f t="shared" si="50"/>
        <v/>
      </c>
    </row>
    <row r="567" spans="2:9">
      <c r="B567" s="555" t="str">
        <f t="shared" si="45"/>
        <v/>
      </c>
      <c r="C567" s="556" t="str">
        <f t="shared" si="46"/>
        <v/>
      </c>
      <c r="D567" s="557" t="str">
        <f t="shared" si="47"/>
        <v/>
      </c>
      <c r="E567" s="560"/>
      <c r="F567" s="559"/>
      <c r="G567" s="559" t="str">
        <f t="shared" si="48"/>
        <v/>
      </c>
      <c r="H567" s="559" t="str">
        <f t="shared" si="49"/>
        <v/>
      </c>
      <c r="I567" s="559" t="str">
        <f t="shared" si="50"/>
        <v/>
      </c>
    </row>
    <row r="568" spans="2:9">
      <c r="B568" s="555" t="str">
        <f t="shared" si="45"/>
        <v/>
      </c>
      <c r="C568" s="556" t="str">
        <f t="shared" si="46"/>
        <v/>
      </c>
      <c r="D568" s="557" t="str">
        <f t="shared" si="47"/>
        <v/>
      </c>
      <c r="E568" s="560"/>
      <c r="F568" s="559"/>
      <c r="G568" s="559" t="str">
        <f t="shared" si="48"/>
        <v/>
      </c>
      <c r="H568" s="559" t="str">
        <f t="shared" si="49"/>
        <v/>
      </c>
      <c r="I568" s="559" t="str">
        <f t="shared" si="50"/>
        <v/>
      </c>
    </row>
    <row r="569" spans="2:9">
      <c r="B569" s="555" t="str">
        <f t="shared" si="45"/>
        <v/>
      </c>
      <c r="C569" s="556" t="str">
        <f t="shared" si="46"/>
        <v/>
      </c>
      <c r="D569" s="557" t="str">
        <f t="shared" si="47"/>
        <v/>
      </c>
      <c r="E569" s="560"/>
      <c r="F569" s="559"/>
      <c r="G569" s="559" t="str">
        <f t="shared" si="48"/>
        <v/>
      </c>
      <c r="H569" s="559" t="str">
        <f t="shared" si="49"/>
        <v/>
      </c>
      <c r="I569" s="559" t="str">
        <f t="shared" si="50"/>
        <v/>
      </c>
    </row>
    <row r="570" spans="2:9">
      <c r="B570" s="555" t="str">
        <f t="shared" si="45"/>
        <v/>
      </c>
      <c r="C570" s="556" t="str">
        <f t="shared" si="46"/>
        <v/>
      </c>
      <c r="D570" s="557" t="str">
        <f t="shared" si="47"/>
        <v/>
      </c>
      <c r="E570" s="560"/>
      <c r="F570" s="559"/>
      <c r="G570" s="559" t="str">
        <f t="shared" si="48"/>
        <v/>
      </c>
      <c r="H570" s="559" t="str">
        <f t="shared" si="49"/>
        <v/>
      </c>
      <c r="I570" s="559" t="str">
        <f t="shared" si="50"/>
        <v/>
      </c>
    </row>
    <row r="571" spans="2:9">
      <c r="B571" s="555" t="str">
        <f t="shared" si="45"/>
        <v/>
      </c>
      <c r="C571" s="556" t="str">
        <f t="shared" si="46"/>
        <v/>
      </c>
      <c r="D571" s="557" t="str">
        <f t="shared" si="47"/>
        <v/>
      </c>
      <c r="E571" s="560"/>
      <c r="F571" s="559"/>
      <c r="G571" s="559" t="str">
        <f t="shared" si="48"/>
        <v/>
      </c>
      <c r="H571" s="559" t="str">
        <f t="shared" si="49"/>
        <v/>
      </c>
      <c r="I571" s="559" t="str">
        <f t="shared" si="50"/>
        <v/>
      </c>
    </row>
    <row r="572" spans="2:9">
      <c r="B572" s="555" t="str">
        <f t="shared" si="45"/>
        <v/>
      </c>
      <c r="C572" s="556" t="str">
        <f t="shared" si="46"/>
        <v/>
      </c>
      <c r="D572" s="557" t="str">
        <f t="shared" si="47"/>
        <v/>
      </c>
      <c r="E572" s="560"/>
      <c r="F572" s="559"/>
      <c r="G572" s="559" t="str">
        <f t="shared" si="48"/>
        <v/>
      </c>
      <c r="H572" s="559" t="str">
        <f t="shared" si="49"/>
        <v/>
      </c>
      <c r="I572" s="559" t="str">
        <f t="shared" si="50"/>
        <v/>
      </c>
    </row>
    <row r="573" spans="2:9">
      <c r="B573" s="555" t="str">
        <f t="shared" ref="B573:B636" si="51">IF(I572="","",IF(roundOpt,IF(OR(B572&gt;=nper,ROUND(I572,2)&lt;=0),"",B572+1),IF(OR(B572&gt;=nper,I572&lt;=0),"",B572+1)))</f>
        <v/>
      </c>
      <c r="C573" s="556" t="str">
        <f t="shared" ref="C573:C636" si="52">IF(B573="","",IF(OR(periods_per_year=26,periods_per_year=52),IF(periods_per_year=26,IF(B573=1,fpdate,C572+14),IF(periods_per_year=52,IF(B573=1,fpdate,C572+7),"n/a")),IF(periods_per_year=24,DATE(YEAR(fpdate),MONTH(fpdate)+(B573-1)/2+IF(AND(DAY(fpdate)&gt;=15,MOD(B573,2)=0),1,0),IF(MOD(B573,2)=0,IF(DAY(fpdate)&gt;=15,DAY(fpdate)-14,DAY(fpdate)+14),DAY(fpdate))),IF(DAY(DATE(YEAR(fpdate),MONTH(fpdate)+(B573-1)*months_per_period,DAY(fpdate)))&lt;&gt;DAY(fpdate),DATE(YEAR(fpdate),MONTH(fpdate)+(B573-1)*months_per_period+1,0),DATE(YEAR(fpdate),MONTH(fpdate)+(B573-1)*months_per_period,DAY(fpdate))))))</f>
        <v/>
      </c>
      <c r="D573" s="557" t="str">
        <f t="shared" ref="D573:D636" si="53">IF(B573="","",IF(roundOpt,IF(OR(B573=nper,payment&gt;ROUND((1+rate)*I572,2)),ROUND((1+rate)*I572,2),payment),IF(OR(B573=nper,payment&gt;(1+rate)*I572),(1+rate)*I572,payment)))</f>
        <v/>
      </c>
      <c r="E573" s="560"/>
      <c r="F573" s="559"/>
      <c r="G573" s="559" t="str">
        <f t="shared" ref="G573:G636" si="54">IF(B573="","",IF(AND(B573=1,pmtType=1),0,IF(roundOpt,ROUND(rate*I572,2),rate*I572)))</f>
        <v/>
      </c>
      <c r="H573" s="559" t="str">
        <f t="shared" ref="H573:H636" si="55">IF(B573="","",D573-G573+E573)</f>
        <v/>
      </c>
      <c r="I573" s="559" t="str">
        <f t="shared" ref="I573:I636" si="56">IF(B573="","",I572-H573)</f>
        <v/>
      </c>
    </row>
    <row r="574" spans="2:9">
      <c r="B574" s="555" t="str">
        <f t="shared" si="51"/>
        <v/>
      </c>
      <c r="C574" s="556" t="str">
        <f t="shared" si="52"/>
        <v/>
      </c>
      <c r="D574" s="557" t="str">
        <f t="shared" si="53"/>
        <v/>
      </c>
      <c r="E574" s="560"/>
      <c r="F574" s="559"/>
      <c r="G574" s="559" t="str">
        <f t="shared" si="54"/>
        <v/>
      </c>
      <c r="H574" s="559" t="str">
        <f t="shared" si="55"/>
        <v/>
      </c>
      <c r="I574" s="559" t="str">
        <f t="shared" si="56"/>
        <v/>
      </c>
    </row>
    <row r="575" spans="2:9">
      <c r="B575" s="555" t="str">
        <f t="shared" si="51"/>
        <v/>
      </c>
      <c r="C575" s="556" t="str">
        <f t="shared" si="52"/>
        <v/>
      </c>
      <c r="D575" s="557" t="str">
        <f t="shared" si="53"/>
        <v/>
      </c>
      <c r="E575" s="560"/>
      <c r="F575" s="559"/>
      <c r="G575" s="559" t="str">
        <f t="shared" si="54"/>
        <v/>
      </c>
      <c r="H575" s="559" t="str">
        <f t="shared" si="55"/>
        <v/>
      </c>
      <c r="I575" s="559" t="str">
        <f t="shared" si="56"/>
        <v/>
      </c>
    </row>
    <row r="576" spans="2:9">
      <c r="B576" s="555" t="str">
        <f t="shared" si="51"/>
        <v/>
      </c>
      <c r="C576" s="556" t="str">
        <f t="shared" si="52"/>
        <v/>
      </c>
      <c r="D576" s="557" t="str">
        <f t="shared" si="53"/>
        <v/>
      </c>
      <c r="E576" s="560"/>
      <c r="F576" s="559"/>
      <c r="G576" s="559" t="str">
        <f t="shared" si="54"/>
        <v/>
      </c>
      <c r="H576" s="559" t="str">
        <f t="shared" si="55"/>
        <v/>
      </c>
      <c r="I576" s="559" t="str">
        <f t="shared" si="56"/>
        <v/>
      </c>
    </row>
    <row r="577" spans="2:9">
      <c r="B577" s="555" t="str">
        <f t="shared" si="51"/>
        <v/>
      </c>
      <c r="C577" s="556" t="str">
        <f t="shared" si="52"/>
        <v/>
      </c>
      <c r="D577" s="557" t="str">
        <f t="shared" si="53"/>
        <v/>
      </c>
      <c r="E577" s="560"/>
      <c r="F577" s="559"/>
      <c r="G577" s="559" t="str">
        <f t="shared" si="54"/>
        <v/>
      </c>
      <c r="H577" s="559" t="str">
        <f t="shared" si="55"/>
        <v/>
      </c>
      <c r="I577" s="559" t="str">
        <f t="shared" si="56"/>
        <v/>
      </c>
    </row>
    <row r="578" spans="2:9">
      <c r="B578" s="555" t="str">
        <f t="shared" si="51"/>
        <v/>
      </c>
      <c r="C578" s="556" t="str">
        <f t="shared" si="52"/>
        <v/>
      </c>
      <c r="D578" s="557" t="str">
        <f t="shared" si="53"/>
        <v/>
      </c>
      <c r="E578" s="560"/>
      <c r="F578" s="559"/>
      <c r="G578" s="559" t="str">
        <f t="shared" si="54"/>
        <v/>
      </c>
      <c r="H578" s="559" t="str">
        <f t="shared" si="55"/>
        <v/>
      </c>
      <c r="I578" s="559" t="str">
        <f t="shared" si="56"/>
        <v/>
      </c>
    </row>
    <row r="579" spans="2:9">
      <c r="B579" s="555" t="str">
        <f t="shared" si="51"/>
        <v/>
      </c>
      <c r="C579" s="556" t="str">
        <f t="shared" si="52"/>
        <v/>
      </c>
      <c r="D579" s="557" t="str">
        <f t="shared" si="53"/>
        <v/>
      </c>
      <c r="E579" s="560"/>
      <c r="F579" s="559"/>
      <c r="G579" s="559" t="str">
        <f t="shared" si="54"/>
        <v/>
      </c>
      <c r="H579" s="559" t="str">
        <f t="shared" si="55"/>
        <v/>
      </c>
      <c r="I579" s="559" t="str">
        <f t="shared" si="56"/>
        <v/>
      </c>
    </row>
    <row r="580" spans="2:9">
      <c r="B580" s="555" t="str">
        <f t="shared" si="51"/>
        <v/>
      </c>
      <c r="C580" s="556" t="str">
        <f t="shared" si="52"/>
        <v/>
      </c>
      <c r="D580" s="557" t="str">
        <f t="shared" si="53"/>
        <v/>
      </c>
      <c r="E580" s="560"/>
      <c r="F580" s="559"/>
      <c r="G580" s="559" t="str">
        <f t="shared" si="54"/>
        <v/>
      </c>
      <c r="H580" s="559" t="str">
        <f t="shared" si="55"/>
        <v/>
      </c>
      <c r="I580" s="559" t="str">
        <f t="shared" si="56"/>
        <v/>
      </c>
    </row>
    <row r="581" spans="2:9">
      <c r="B581" s="555" t="str">
        <f t="shared" si="51"/>
        <v/>
      </c>
      <c r="C581" s="556" t="str">
        <f t="shared" si="52"/>
        <v/>
      </c>
      <c r="D581" s="557" t="str">
        <f t="shared" si="53"/>
        <v/>
      </c>
      <c r="E581" s="560"/>
      <c r="F581" s="559"/>
      <c r="G581" s="559" t="str">
        <f t="shared" si="54"/>
        <v/>
      </c>
      <c r="H581" s="559" t="str">
        <f t="shared" si="55"/>
        <v/>
      </c>
      <c r="I581" s="559" t="str">
        <f t="shared" si="56"/>
        <v/>
      </c>
    </row>
    <row r="582" spans="2:9">
      <c r="B582" s="555" t="str">
        <f t="shared" si="51"/>
        <v/>
      </c>
      <c r="C582" s="556" t="str">
        <f t="shared" si="52"/>
        <v/>
      </c>
      <c r="D582" s="557" t="str">
        <f t="shared" si="53"/>
        <v/>
      </c>
      <c r="E582" s="560"/>
      <c r="F582" s="559"/>
      <c r="G582" s="559" t="str">
        <f t="shared" si="54"/>
        <v/>
      </c>
      <c r="H582" s="559" t="str">
        <f t="shared" si="55"/>
        <v/>
      </c>
      <c r="I582" s="559" t="str">
        <f t="shared" si="56"/>
        <v/>
      </c>
    </row>
    <row r="583" spans="2:9">
      <c r="B583" s="555" t="str">
        <f t="shared" si="51"/>
        <v/>
      </c>
      <c r="C583" s="556" t="str">
        <f t="shared" si="52"/>
        <v/>
      </c>
      <c r="D583" s="557" t="str">
        <f t="shared" si="53"/>
        <v/>
      </c>
      <c r="E583" s="560"/>
      <c r="F583" s="559"/>
      <c r="G583" s="559" t="str">
        <f t="shared" si="54"/>
        <v/>
      </c>
      <c r="H583" s="559" t="str">
        <f t="shared" si="55"/>
        <v/>
      </c>
      <c r="I583" s="559" t="str">
        <f t="shared" si="56"/>
        <v/>
      </c>
    </row>
    <row r="584" spans="2:9">
      <c r="B584" s="555" t="str">
        <f t="shared" si="51"/>
        <v/>
      </c>
      <c r="C584" s="556" t="str">
        <f t="shared" si="52"/>
        <v/>
      </c>
      <c r="D584" s="557" t="str">
        <f t="shared" si="53"/>
        <v/>
      </c>
      <c r="E584" s="560"/>
      <c r="F584" s="559"/>
      <c r="G584" s="559" t="str">
        <f t="shared" si="54"/>
        <v/>
      </c>
      <c r="H584" s="559" t="str">
        <f t="shared" si="55"/>
        <v/>
      </c>
      <c r="I584" s="559" t="str">
        <f t="shared" si="56"/>
        <v/>
      </c>
    </row>
    <row r="585" spans="2:9">
      <c r="B585" s="555" t="str">
        <f t="shared" si="51"/>
        <v/>
      </c>
      <c r="C585" s="556" t="str">
        <f t="shared" si="52"/>
        <v/>
      </c>
      <c r="D585" s="557" t="str">
        <f t="shared" si="53"/>
        <v/>
      </c>
      <c r="E585" s="560"/>
      <c r="F585" s="559"/>
      <c r="G585" s="559" t="str">
        <f t="shared" si="54"/>
        <v/>
      </c>
      <c r="H585" s="559" t="str">
        <f t="shared" si="55"/>
        <v/>
      </c>
      <c r="I585" s="559" t="str">
        <f t="shared" si="56"/>
        <v/>
      </c>
    </row>
    <row r="586" spans="2:9">
      <c r="B586" s="555" t="str">
        <f t="shared" si="51"/>
        <v/>
      </c>
      <c r="C586" s="556" t="str">
        <f t="shared" si="52"/>
        <v/>
      </c>
      <c r="D586" s="557" t="str">
        <f t="shared" si="53"/>
        <v/>
      </c>
      <c r="E586" s="560"/>
      <c r="F586" s="559"/>
      <c r="G586" s="559" t="str">
        <f t="shared" si="54"/>
        <v/>
      </c>
      <c r="H586" s="559" t="str">
        <f t="shared" si="55"/>
        <v/>
      </c>
      <c r="I586" s="559" t="str">
        <f t="shared" si="56"/>
        <v/>
      </c>
    </row>
    <row r="587" spans="2:9">
      <c r="B587" s="555" t="str">
        <f t="shared" si="51"/>
        <v/>
      </c>
      <c r="C587" s="556" t="str">
        <f t="shared" si="52"/>
        <v/>
      </c>
      <c r="D587" s="557" t="str">
        <f t="shared" si="53"/>
        <v/>
      </c>
      <c r="E587" s="560"/>
      <c r="F587" s="559"/>
      <c r="G587" s="559" t="str">
        <f t="shared" si="54"/>
        <v/>
      </c>
      <c r="H587" s="559" t="str">
        <f t="shared" si="55"/>
        <v/>
      </c>
      <c r="I587" s="559" t="str">
        <f t="shared" si="56"/>
        <v/>
      </c>
    </row>
    <row r="588" spans="2:9">
      <c r="B588" s="555" t="str">
        <f t="shared" si="51"/>
        <v/>
      </c>
      <c r="C588" s="556" t="str">
        <f t="shared" si="52"/>
        <v/>
      </c>
      <c r="D588" s="557" t="str">
        <f t="shared" si="53"/>
        <v/>
      </c>
      <c r="E588" s="560"/>
      <c r="F588" s="559"/>
      <c r="G588" s="559" t="str">
        <f t="shared" si="54"/>
        <v/>
      </c>
      <c r="H588" s="559" t="str">
        <f t="shared" si="55"/>
        <v/>
      </c>
      <c r="I588" s="559" t="str">
        <f t="shared" si="56"/>
        <v/>
      </c>
    </row>
    <row r="589" spans="2:9">
      <c r="B589" s="555" t="str">
        <f t="shared" si="51"/>
        <v/>
      </c>
      <c r="C589" s="556" t="str">
        <f t="shared" si="52"/>
        <v/>
      </c>
      <c r="D589" s="557" t="str">
        <f t="shared" si="53"/>
        <v/>
      </c>
      <c r="E589" s="560"/>
      <c r="F589" s="559"/>
      <c r="G589" s="559" t="str">
        <f t="shared" si="54"/>
        <v/>
      </c>
      <c r="H589" s="559" t="str">
        <f t="shared" si="55"/>
        <v/>
      </c>
      <c r="I589" s="559" t="str">
        <f t="shared" si="56"/>
        <v/>
      </c>
    </row>
    <row r="590" spans="2:9">
      <c r="B590" s="555" t="str">
        <f t="shared" si="51"/>
        <v/>
      </c>
      <c r="C590" s="556" t="str">
        <f t="shared" si="52"/>
        <v/>
      </c>
      <c r="D590" s="557" t="str">
        <f t="shared" si="53"/>
        <v/>
      </c>
      <c r="E590" s="560"/>
      <c r="F590" s="559"/>
      <c r="G590" s="559" t="str">
        <f t="shared" si="54"/>
        <v/>
      </c>
      <c r="H590" s="559" t="str">
        <f t="shared" si="55"/>
        <v/>
      </c>
      <c r="I590" s="559" t="str">
        <f t="shared" si="56"/>
        <v/>
      </c>
    </row>
    <row r="591" spans="2:9">
      <c r="B591" s="555" t="str">
        <f t="shared" si="51"/>
        <v/>
      </c>
      <c r="C591" s="556" t="str">
        <f t="shared" si="52"/>
        <v/>
      </c>
      <c r="D591" s="557" t="str">
        <f t="shared" si="53"/>
        <v/>
      </c>
      <c r="E591" s="560"/>
      <c r="F591" s="559"/>
      <c r="G591" s="559" t="str">
        <f t="shared" si="54"/>
        <v/>
      </c>
      <c r="H591" s="559" t="str">
        <f t="shared" si="55"/>
        <v/>
      </c>
      <c r="I591" s="559" t="str">
        <f t="shared" si="56"/>
        <v/>
      </c>
    </row>
    <row r="592" spans="2:9">
      <c r="B592" s="555" t="str">
        <f t="shared" si="51"/>
        <v/>
      </c>
      <c r="C592" s="556" t="str">
        <f t="shared" si="52"/>
        <v/>
      </c>
      <c r="D592" s="557" t="str">
        <f t="shared" si="53"/>
        <v/>
      </c>
      <c r="E592" s="560"/>
      <c r="F592" s="559"/>
      <c r="G592" s="559" t="str">
        <f t="shared" si="54"/>
        <v/>
      </c>
      <c r="H592" s="559" t="str">
        <f t="shared" si="55"/>
        <v/>
      </c>
      <c r="I592" s="559" t="str">
        <f t="shared" si="56"/>
        <v/>
      </c>
    </row>
    <row r="593" spans="2:9">
      <c r="B593" s="555" t="str">
        <f t="shared" si="51"/>
        <v/>
      </c>
      <c r="C593" s="556" t="str">
        <f t="shared" si="52"/>
        <v/>
      </c>
      <c r="D593" s="557" t="str">
        <f t="shared" si="53"/>
        <v/>
      </c>
      <c r="E593" s="560"/>
      <c r="F593" s="559"/>
      <c r="G593" s="559" t="str">
        <f t="shared" si="54"/>
        <v/>
      </c>
      <c r="H593" s="559" t="str">
        <f t="shared" si="55"/>
        <v/>
      </c>
      <c r="I593" s="559" t="str">
        <f t="shared" si="56"/>
        <v/>
      </c>
    </row>
    <row r="594" spans="2:9">
      <c r="B594" s="555" t="str">
        <f t="shared" si="51"/>
        <v/>
      </c>
      <c r="C594" s="556" t="str">
        <f t="shared" si="52"/>
        <v/>
      </c>
      <c r="D594" s="557" t="str">
        <f t="shared" si="53"/>
        <v/>
      </c>
      <c r="E594" s="560"/>
      <c r="F594" s="559"/>
      <c r="G594" s="559" t="str">
        <f t="shared" si="54"/>
        <v/>
      </c>
      <c r="H594" s="559" t="str">
        <f t="shared" si="55"/>
        <v/>
      </c>
      <c r="I594" s="559" t="str">
        <f t="shared" si="56"/>
        <v/>
      </c>
    </row>
    <row r="595" spans="2:9">
      <c r="B595" s="555" t="str">
        <f t="shared" si="51"/>
        <v/>
      </c>
      <c r="C595" s="556" t="str">
        <f t="shared" si="52"/>
        <v/>
      </c>
      <c r="D595" s="557" t="str">
        <f t="shared" si="53"/>
        <v/>
      </c>
      <c r="E595" s="560"/>
      <c r="F595" s="559"/>
      <c r="G595" s="559" t="str">
        <f t="shared" si="54"/>
        <v/>
      </c>
      <c r="H595" s="559" t="str">
        <f t="shared" si="55"/>
        <v/>
      </c>
      <c r="I595" s="559" t="str">
        <f t="shared" si="56"/>
        <v/>
      </c>
    </row>
    <row r="596" spans="2:9">
      <c r="B596" s="555" t="str">
        <f t="shared" si="51"/>
        <v/>
      </c>
      <c r="C596" s="556" t="str">
        <f t="shared" si="52"/>
        <v/>
      </c>
      <c r="D596" s="557" t="str">
        <f t="shared" si="53"/>
        <v/>
      </c>
      <c r="E596" s="560"/>
      <c r="F596" s="559"/>
      <c r="G596" s="559" t="str">
        <f t="shared" si="54"/>
        <v/>
      </c>
      <c r="H596" s="559" t="str">
        <f t="shared" si="55"/>
        <v/>
      </c>
      <c r="I596" s="559" t="str">
        <f t="shared" si="56"/>
        <v/>
      </c>
    </row>
    <row r="597" spans="2:9">
      <c r="B597" s="555" t="str">
        <f t="shared" si="51"/>
        <v/>
      </c>
      <c r="C597" s="556" t="str">
        <f t="shared" si="52"/>
        <v/>
      </c>
      <c r="D597" s="557" t="str">
        <f t="shared" si="53"/>
        <v/>
      </c>
      <c r="E597" s="560"/>
      <c r="F597" s="559"/>
      <c r="G597" s="559" t="str">
        <f t="shared" si="54"/>
        <v/>
      </c>
      <c r="H597" s="559" t="str">
        <f t="shared" si="55"/>
        <v/>
      </c>
      <c r="I597" s="559" t="str">
        <f t="shared" si="56"/>
        <v/>
      </c>
    </row>
    <row r="598" spans="2:9">
      <c r="B598" s="555" t="str">
        <f t="shared" si="51"/>
        <v/>
      </c>
      <c r="C598" s="556" t="str">
        <f t="shared" si="52"/>
        <v/>
      </c>
      <c r="D598" s="557" t="str">
        <f t="shared" si="53"/>
        <v/>
      </c>
      <c r="E598" s="560"/>
      <c r="F598" s="559"/>
      <c r="G598" s="559" t="str">
        <f t="shared" si="54"/>
        <v/>
      </c>
      <c r="H598" s="559" t="str">
        <f t="shared" si="55"/>
        <v/>
      </c>
      <c r="I598" s="559" t="str">
        <f t="shared" si="56"/>
        <v/>
      </c>
    </row>
    <row r="599" spans="2:9">
      <c r="B599" s="555" t="str">
        <f t="shared" si="51"/>
        <v/>
      </c>
      <c r="C599" s="556" t="str">
        <f t="shared" si="52"/>
        <v/>
      </c>
      <c r="D599" s="557" t="str">
        <f t="shared" si="53"/>
        <v/>
      </c>
      <c r="E599" s="560"/>
      <c r="F599" s="559"/>
      <c r="G599" s="559" t="str">
        <f t="shared" si="54"/>
        <v/>
      </c>
      <c r="H599" s="559" t="str">
        <f t="shared" si="55"/>
        <v/>
      </c>
      <c r="I599" s="559" t="str">
        <f t="shared" si="56"/>
        <v/>
      </c>
    </row>
    <row r="600" spans="2:9">
      <c r="B600" s="555" t="str">
        <f t="shared" si="51"/>
        <v/>
      </c>
      <c r="C600" s="556" t="str">
        <f t="shared" si="52"/>
        <v/>
      </c>
      <c r="D600" s="557" t="str">
        <f t="shared" si="53"/>
        <v/>
      </c>
      <c r="E600" s="560"/>
      <c r="F600" s="559"/>
      <c r="G600" s="559" t="str">
        <f t="shared" si="54"/>
        <v/>
      </c>
      <c r="H600" s="559" t="str">
        <f t="shared" si="55"/>
        <v/>
      </c>
      <c r="I600" s="559" t="str">
        <f t="shared" si="56"/>
        <v/>
      </c>
    </row>
    <row r="601" spans="2:9">
      <c r="B601" s="555" t="str">
        <f t="shared" si="51"/>
        <v/>
      </c>
      <c r="C601" s="556" t="str">
        <f t="shared" si="52"/>
        <v/>
      </c>
      <c r="D601" s="557" t="str">
        <f t="shared" si="53"/>
        <v/>
      </c>
      <c r="E601" s="560"/>
      <c r="F601" s="559"/>
      <c r="G601" s="559" t="str">
        <f t="shared" si="54"/>
        <v/>
      </c>
      <c r="H601" s="559" t="str">
        <f t="shared" si="55"/>
        <v/>
      </c>
      <c r="I601" s="559" t="str">
        <f t="shared" si="56"/>
        <v/>
      </c>
    </row>
    <row r="602" spans="2:9">
      <c r="B602" s="555" t="str">
        <f t="shared" si="51"/>
        <v/>
      </c>
      <c r="C602" s="556" t="str">
        <f t="shared" si="52"/>
        <v/>
      </c>
      <c r="D602" s="557" t="str">
        <f t="shared" si="53"/>
        <v/>
      </c>
      <c r="E602" s="560"/>
      <c r="F602" s="559"/>
      <c r="G602" s="559" t="str">
        <f t="shared" si="54"/>
        <v/>
      </c>
      <c r="H602" s="559" t="str">
        <f t="shared" si="55"/>
        <v/>
      </c>
      <c r="I602" s="559" t="str">
        <f t="shared" si="56"/>
        <v/>
      </c>
    </row>
    <row r="603" spans="2:9">
      <c r="B603" s="555" t="str">
        <f t="shared" si="51"/>
        <v/>
      </c>
      <c r="C603" s="556" t="str">
        <f t="shared" si="52"/>
        <v/>
      </c>
      <c r="D603" s="557" t="str">
        <f t="shared" si="53"/>
        <v/>
      </c>
      <c r="E603" s="560"/>
      <c r="F603" s="559"/>
      <c r="G603" s="559" t="str">
        <f t="shared" si="54"/>
        <v/>
      </c>
      <c r="H603" s="559" t="str">
        <f t="shared" si="55"/>
        <v/>
      </c>
      <c r="I603" s="559" t="str">
        <f t="shared" si="56"/>
        <v/>
      </c>
    </row>
    <row r="604" spans="2:9">
      <c r="B604" s="555" t="str">
        <f t="shared" si="51"/>
        <v/>
      </c>
      <c r="C604" s="556" t="str">
        <f t="shared" si="52"/>
        <v/>
      </c>
      <c r="D604" s="557" t="str">
        <f t="shared" si="53"/>
        <v/>
      </c>
      <c r="E604" s="560"/>
      <c r="F604" s="559"/>
      <c r="G604" s="559" t="str">
        <f t="shared" si="54"/>
        <v/>
      </c>
      <c r="H604" s="559" t="str">
        <f t="shared" si="55"/>
        <v/>
      </c>
      <c r="I604" s="559" t="str">
        <f t="shared" si="56"/>
        <v/>
      </c>
    </row>
    <row r="605" spans="2:9">
      <c r="B605" s="555" t="str">
        <f t="shared" si="51"/>
        <v/>
      </c>
      <c r="C605" s="556" t="str">
        <f t="shared" si="52"/>
        <v/>
      </c>
      <c r="D605" s="557" t="str">
        <f t="shared" si="53"/>
        <v/>
      </c>
      <c r="E605" s="560"/>
      <c r="F605" s="559"/>
      <c r="G605" s="559" t="str">
        <f t="shared" si="54"/>
        <v/>
      </c>
      <c r="H605" s="559" t="str">
        <f t="shared" si="55"/>
        <v/>
      </c>
      <c r="I605" s="559" t="str">
        <f t="shared" si="56"/>
        <v/>
      </c>
    </row>
    <row r="606" spans="2:9">
      <c r="B606" s="555" t="str">
        <f t="shared" si="51"/>
        <v/>
      </c>
      <c r="C606" s="556" t="str">
        <f t="shared" si="52"/>
        <v/>
      </c>
      <c r="D606" s="557" t="str">
        <f t="shared" si="53"/>
        <v/>
      </c>
      <c r="E606" s="560"/>
      <c r="F606" s="559"/>
      <c r="G606" s="559" t="str">
        <f t="shared" si="54"/>
        <v/>
      </c>
      <c r="H606" s="559" t="str">
        <f t="shared" si="55"/>
        <v/>
      </c>
      <c r="I606" s="559" t="str">
        <f t="shared" si="56"/>
        <v/>
      </c>
    </row>
    <row r="607" spans="2:9">
      <c r="B607" s="555" t="str">
        <f t="shared" si="51"/>
        <v/>
      </c>
      <c r="C607" s="556" t="str">
        <f t="shared" si="52"/>
        <v/>
      </c>
      <c r="D607" s="557" t="str">
        <f t="shared" si="53"/>
        <v/>
      </c>
      <c r="E607" s="560"/>
      <c r="F607" s="559"/>
      <c r="G607" s="559" t="str">
        <f t="shared" si="54"/>
        <v/>
      </c>
      <c r="H607" s="559" t="str">
        <f t="shared" si="55"/>
        <v/>
      </c>
      <c r="I607" s="559" t="str">
        <f t="shared" si="56"/>
        <v/>
      </c>
    </row>
    <row r="608" spans="2:9">
      <c r="B608" s="555" t="str">
        <f t="shared" si="51"/>
        <v/>
      </c>
      <c r="C608" s="556" t="str">
        <f t="shared" si="52"/>
        <v/>
      </c>
      <c r="D608" s="557" t="str">
        <f t="shared" si="53"/>
        <v/>
      </c>
      <c r="E608" s="560"/>
      <c r="F608" s="559"/>
      <c r="G608" s="559" t="str">
        <f t="shared" si="54"/>
        <v/>
      </c>
      <c r="H608" s="559" t="str">
        <f t="shared" si="55"/>
        <v/>
      </c>
      <c r="I608" s="559" t="str">
        <f t="shared" si="56"/>
        <v/>
      </c>
    </row>
    <row r="609" spans="2:9">
      <c r="B609" s="555" t="str">
        <f t="shared" si="51"/>
        <v/>
      </c>
      <c r="C609" s="556" t="str">
        <f t="shared" si="52"/>
        <v/>
      </c>
      <c r="D609" s="557" t="str">
        <f t="shared" si="53"/>
        <v/>
      </c>
      <c r="E609" s="560"/>
      <c r="F609" s="559"/>
      <c r="G609" s="559" t="str">
        <f t="shared" si="54"/>
        <v/>
      </c>
      <c r="H609" s="559" t="str">
        <f t="shared" si="55"/>
        <v/>
      </c>
      <c r="I609" s="559" t="str">
        <f t="shared" si="56"/>
        <v/>
      </c>
    </row>
    <row r="610" spans="2:9">
      <c r="B610" s="555" t="str">
        <f t="shared" si="51"/>
        <v/>
      </c>
      <c r="C610" s="556" t="str">
        <f t="shared" si="52"/>
        <v/>
      </c>
      <c r="D610" s="557" t="str">
        <f t="shared" si="53"/>
        <v/>
      </c>
      <c r="E610" s="560"/>
      <c r="F610" s="559"/>
      <c r="G610" s="559" t="str">
        <f t="shared" si="54"/>
        <v/>
      </c>
      <c r="H610" s="559" t="str">
        <f t="shared" si="55"/>
        <v/>
      </c>
      <c r="I610" s="559" t="str">
        <f t="shared" si="56"/>
        <v/>
      </c>
    </row>
    <row r="611" spans="2:9">
      <c r="B611" s="555" t="str">
        <f t="shared" si="51"/>
        <v/>
      </c>
      <c r="C611" s="556" t="str">
        <f t="shared" si="52"/>
        <v/>
      </c>
      <c r="D611" s="557" t="str">
        <f t="shared" si="53"/>
        <v/>
      </c>
      <c r="E611" s="560"/>
      <c r="F611" s="559"/>
      <c r="G611" s="559" t="str">
        <f t="shared" si="54"/>
        <v/>
      </c>
      <c r="H611" s="559" t="str">
        <f t="shared" si="55"/>
        <v/>
      </c>
      <c r="I611" s="559" t="str">
        <f t="shared" si="56"/>
        <v/>
      </c>
    </row>
    <row r="612" spans="2:9">
      <c r="B612" s="555" t="str">
        <f t="shared" si="51"/>
        <v/>
      </c>
      <c r="C612" s="556" t="str">
        <f t="shared" si="52"/>
        <v/>
      </c>
      <c r="D612" s="557" t="str">
        <f t="shared" si="53"/>
        <v/>
      </c>
      <c r="E612" s="560"/>
      <c r="F612" s="559"/>
      <c r="G612" s="559" t="str">
        <f t="shared" si="54"/>
        <v/>
      </c>
      <c r="H612" s="559" t="str">
        <f t="shared" si="55"/>
        <v/>
      </c>
      <c r="I612" s="559" t="str">
        <f t="shared" si="56"/>
        <v/>
      </c>
    </row>
    <row r="613" spans="2:9">
      <c r="B613" s="555" t="str">
        <f t="shared" si="51"/>
        <v/>
      </c>
      <c r="C613" s="556" t="str">
        <f t="shared" si="52"/>
        <v/>
      </c>
      <c r="D613" s="557" t="str">
        <f t="shared" si="53"/>
        <v/>
      </c>
      <c r="E613" s="560"/>
      <c r="F613" s="559"/>
      <c r="G613" s="559" t="str">
        <f t="shared" si="54"/>
        <v/>
      </c>
      <c r="H613" s="559" t="str">
        <f t="shared" si="55"/>
        <v/>
      </c>
      <c r="I613" s="559" t="str">
        <f t="shared" si="56"/>
        <v/>
      </c>
    </row>
    <row r="614" spans="2:9">
      <c r="B614" s="555" t="str">
        <f t="shared" si="51"/>
        <v/>
      </c>
      <c r="C614" s="556" t="str">
        <f t="shared" si="52"/>
        <v/>
      </c>
      <c r="D614" s="557" t="str">
        <f t="shared" si="53"/>
        <v/>
      </c>
      <c r="E614" s="560"/>
      <c r="F614" s="559"/>
      <c r="G614" s="559" t="str">
        <f t="shared" si="54"/>
        <v/>
      </c>
      <c r="H614" s="559" t="str">
        <f t="shared" si="55"/>
        <v/>
      </c>
      <c r="I614" s="559" t="str">
        <f t="shared" si="56"/>
        <v/>
      </c>
    </row>
    <row r="615" spans="2:9">
      <c r="B615" s="555" t="str">
        <f t="shared" si="51"/>
        <v/>
      </c>
      <c r="C615" s="556" t="str">
        <f t="shared" si="52"/>
        <v/>
      </c>
      <c r="D615" s="557" t="str">
        <f t="shared" si="53"/>
        <v/>
      </c>
      <c r="E615" s="560"/>
      <c r="F615" s="559"/>
      <c r="G615" s="559" t="str">
        <f t="shared" si="54"/>
        <v/>
      </c>
      <c r="H615" s="559" t="str">
        <f t="shared" si="55"/>
        <v/>
      </c>
      <c r="I615" s="559" t="str">
        <f t="shared" si="56"/>
        <v/>
      </c>
    </row>
    <row r="616" spans="2:9">
      <c r="B616" s="555" t="str">
        <f t="shared" si="51"/>
        <v/>
      </c>
      <c r="C616" s="556" t="str">
        <f t="shared" si="52"/>
        <v/>
      </c>
      <c r="D616" s="557" t="str">
        <f t="shared" si="53"/>
        <v/>
      </c>
      <c r="E616" s="560"/>
      <c r="F616" s="559"/>
      <c r="G616" s="559" t="str">
        <f t="shared" si="54"/>
        <v/>
      </c>
      <c r="H616" s="559" t="str">
        <f t="shared" si="55"/>
        <v/>
      </c>
      <c r="I616" s="559" t="str">
        <f t="shared" si="56"/>
        <v/>
      </c>
    </row>
    <row r="617" spans="2:9">
      <c r="B617" s="555" t="str">
        <f t="shared" si="51"/>
        <v/>
      </c>
      <c r="C617" s="556" t="str">
        <f t="shared" si="52"/>
        <v/>
      </c>
      <c r="D617" s="557" t="str">
        <f t="shared" si="53"/>
        <v/>
      </c>
      <c r="E617" s="560"/>
      <c r="F617" s="559"/>
      <c r="G617" s="559" t="str">
        <f t="shared" si="54"/>
        <v/>
      </c>
      <c r="H617" s="559" t="str">
        <f t="shared" si="55"/>
        <v/>
      </c>
      <c r="I617" s="559" t="str">
        <f t="shared" si="56"/>
        <v/>
      </c>
    </row>
    <row r="618" spans="2:9">
      <c r="B618" s="555" t="str">
        <f t="shared" si="51"/>
        <v/>
      </c>
      <c r="C618" s="556" t="str">
        <f t="shared" si="52"/>
        <v/>
      </c>
      <c r="D618" s="557" t="str">
        <f t="shared" si="53"/>
        <v/>
      </c>
      <c r="E618" s="560"/>
      <c r="F618" s="559"/>
      <c r="G618" s="559" t="str">
        <f t="shared" si="54"/>
        <v/>
      </c>
      <c r="H618" s="559" t="str">
        <f t="shared" si="55"/>
        <v/>
      </c>
      <c r="I618" s="559" t="str">
        <f t="shared" si="56"/>
        <v/>
      </c>
    </row>
    <row r="619" spans="2:9">
      <c r="B619" s="555" t="str">
        <f t="shared" si="51"/>
        <v/>
      </c>
      <c r="C619" s="556" t="str">
        <f t="shared" si="52"/>
        <v/>
      </c>
      <c r="D619" s="557" t="str">
        <f t="shared" si="53"/>
        <v/>
      </c>
      <c r="E619" s="560"/>
      <c r="F619" s="559"/>
      <c r="G619" s="559" t="str">
        <f t="shared" si="54"/>
        <v/>
      </c>
      <c r="H619" s="559" t="str">
        <f t="shared" si="55"/>
        <v/>
      </c>
      <c r="I619" s="559" t="str">
        <f t="shared" si="56"/>
        <v/>
      </c>
    </row>
    <row r="620" spans="2:9">
      <c r="B620" s="555" t="str">
        <f t="shared" si="51"/>
        <v/>
      </c>
      <c r="C620" s="556" t="str">
        <f t="shared" si="52"/>
        <v/>
      </c>
      <c r="D620" s="557" t="str">
        <f t="shared" si="53"/>
        <v/>
      </c>
      <c r="E620" s="560"/>
      <c r="F620" s="559"/>
      <c r="G620" s="559" t="str">
        <f t="shared" si="54"/>
        <v/>
      </c>
      <c r="H620" s="559" t="str">
        <f t="shared" si="55"/>
        <v/>
      </c>
      <c r="I620" s="559" t="str">
        <f t="shared" si="56"/>
        <v/>
      </c>
    </row>
    <row r="621" spans="2:9">
      <c r="B621" s="555" t="str">
        <f t="shared" si="51"/>
        <v/>
      </c>
      <c r="C621" s="556" t="str">
        <f t="shared" si="52"/>
        <v/>
      </c>
      <c r="D621" s="557" t="str">
        <f t="shared" si="53"/>
        <v/>
      </c>
      <c r="E621" s="560"/>
      <c r="F621" s="559"/>
      <c r="G621" s="559" t="str">
        <f t="shared" si="54"/>
        <v/>
      </c>
      <c r="H621" s="559" t="str">
        <f t="shared" si="55"/>
        <v/>
      </c>
      <c r="I621" s="559" t="str">
        <f t="shared" si="56"/>
        <v/>
      </c>
    </row>
    <row r="622" spans="2:9">
      <c r="B622" s="555" t="str">
        <f t="shared" si="51"/>
        <v/>
      </c>
      <c r="C622" s="556" t="str">
        <f t="shared" si="52"/>
        <v/>
      </c>
      <c r="D622" s="557" t="str">
        <f t="shared" si="53"/>
        <v/>
      </c>
      <c r="E622" s="560"/>
      <c r="F622" s="559"/>
      <c r="G622" s="559" t="str">
        <f t="shared" si="54"/>
        <v/>
      </c>
      <c r="H622" s="559" t="str">
        <f t="shared" si="55"/>
        <v/>
      </c>
      <c r="I622" s="559" t="str">
        <f t="shared" si="56"/>
        <v/>
      </c>
    </row>
    <row r="623" spans="2:9">
      <c r="B623" s="555" t="str">
        <f t="shared" si="51"/>
        <v/>
      </c>
      <c r="C623" s="556" t="str">
        <f t="shared" si="52"/>
        <v/>
      </c>
      <c r="D623" s="557" t="str">
        <f t="shared" si="53"/>
        <v/>
      </c>
      <c r="E623" s="560"/>
      <c r="F623" s="559"/>
      <c r="G623" s="559" t="str">
        <f t="shared" si="54"/>
        <v/>
      </c>
      <c r="H623" s="559" t="str">
        <f t="shared" si="55"/>
        <v/>
      </c>
      <c r="I623" s="559" t="str">
        <f t="shared" si="56"/>
        <v/>
      </c>
    </row>
    <row r="624" spans="2:9">
      <c r="B624" s="555" t="str">
        <f t="shared" si="51"/>
        <v/>
      </c>
      <c r="C624" s="556" t="str">
        <f t="shared" si="52"/>
        <v/>
      </c>
      <c r="D624" s="557" t="str">
        <f t="shared" si="53"/>
        <v/>
      </c>
      <c r="E624" s="560"/>
      <c r="F624" s="559"/>
      <c r="G624" s="559" t="str">
        <f t="shared" si="54"/>
        <v/>
      </c>
      <c r="H624" s="559" t="str">
        <f t="shared" si="55"/>
        <v/>
      </c>
      <c r="I624" s="559" t="str">
        <f t="shared" si="56"/>
        <v/>
      </c>
    </row>
    <row r="625" spans="2:9">
      <c r="B625" s="555" t="str">
        <f t="shared" si="51"/>
        <v/>
      </c>
      <c r="C625" s="556" t="str">
        <f t="shared" si="52"/>
        <v/>
      </c>
      <c r="D625" s="557" t="str">
        <f t="shared" si="53"/>
        <v/>
      </c>
      <c r="E625" s="560"/>
      <c r="F625" s="559"/>
      <c r="G625" s="559" t="str">
        <f t="shared" si="54"/>
        <v/>
      </c>
      <c r="H625" s="559" t="str">
        <f t="shared" si="55"/>
        <v/>
      </c>
      <c r="I625" s="559" t="str">
        <f t="shared" si="56"/>
        <v/>
      </c>
    </row>
    <row r="626" spans="2:9">
      <c r="B626" s="555" t="str">
        <f t="shared" si="51"/>
        <v/>
      </c>
      <c r="C626" s="556" t="str">
        <f t="shared" si="52"/>
        <v/>
      </c>
      <c r="D626" s="557" t="str">
        <f t="shared" si="53"/>
        <v/>
      </c>
      <c r="E626" s="560"/>
      <c r="F626" s="559"/>
      <c r="G626" s="559" t="str">
        <f t="shared" si="54"/>
        <v/>
      </c>
      <c r="H626" s="559" t="str">
        <f t="shared" si="55"/>
        <v/>
      </c>
      <c r="I626" s="559" t="str">
        <f t="shared" si="56"/>
        <v/>
      </c>
    </row>
    <row r="627" spans="2:9">
      <c r="B627" s="555" t="str">
        <f t="shared" si="51"/>
        <v/>
      </c>
      <c r="C627" s="556" t="str">
        <f t="shared" si="52"/>
        <v/>
      </c>
      <c r="D627" s="557" t="str">
        <f t="shared" si="53"/>
        <v/>
      </c>
      <c r="E627" s="560"/>
      <c r="F627" s="559"/>
      <c r="G627" s="559" t="str">
        <f t="shared" si="54"/>
        <v/>
      </c>
      <c r="H627" s="559" t="str">
        <f t="shared" si="55"/>
        <v/>
      </c>
      <c r="I627" s="559" t="str">
        <f t="shared" si="56"/>
        <v/>
      </c>
    </row>
    <row r="628" spans="2:9">
      <c r="B628" s="555" t="str">
        <f t="shared" si="51"/>
        <v/>
      </c>
      <c r="C628" s="556" t="str">
        <f t="shared" si="52"/>
        <v/>
      </c>
      <c r="D628" s="557" t="str">
        <f t="shared" si="53"/>
        <v/>
      </c>
      <c r="E628" s="560"/>
      <c r="F628" s="559"/>
      <c r="G628" s="559" t="str">
        <f t="shared" si="54"/>
        <v/>
      </c>
      <c r="H628" s="559" t="str">
        <f t="shared" si="55"/>
        <v/>
      </c>
      <c r="I628" s="559" t="str">
        <f t="shared" si="56"/>
        <v/>
      </c>
    </row>
    <row r="629" spans="2:9">
      <c r="B629" s="555" t="str">
        <f t="shared" si="51"/>
        <v/>
      </c>
      <c r="C629" s="556" t="str">
        <f t="shared" si="52"/>
        <v/>
      </c>
      <c r="D629" s="557" t="str">
        <f t="shared" si="53"/>
        <v/>
      </c>
      <c r="E629" s="560"/>
      <c r="F629" s="559"/>
      <c r="G629" s="559" t="str">
        <f t="shared" si="54"/>
        <v/>
      </c>
      <c r="H629" s="559" t="str">
        <f t="shared" si="55"/>
        <v/>
      </c>
      <c r="I629" s="559" t="str">
        <f t="shared" si="56"/>
        <v/>
      </c>
    </row>
    <row r="630" spans="2:9">
      <c r="B630" s="555" t="str">
        <f t="shared" si="51"/>
        <v/>
      </c>
      <c r="C630" s="556" t="str">
        <f t="shared" si="52"/>
        <v/>
      </c>
      <c r="D630" s="557" t="str">
        <f t="shared" si="53"/>
        <v/>
      </c>
      <c r="E630" s="560"/>
      <c r="F630" s="559"/>
      <c r="G630" s="559" t="str">
        <f t="shared" si="54"/>
        <v/>
      </c>
      <c r="H630" s="559" t="str">
        <f t="shared" si="55"/>
        <v/>
      </c>
      <c r="I630" s="559" t="str">
        <f t="shared" si="56"/>
        <v/>
      </c>
    </row>
    <row r="631" spans="2:9">
      <c r="B631" s="555" t="str">
        <f t="shared" si="51"/>
        <v/>
      </c>
      <c r="C631" s="556" t="str">
        <f t="shared" si="52"/>
        <v/>
      </c>
      <c r="D631" s="557" t="str">
        <f t="shared" si="53"/>
        <v/>
      </c>
      <c r="E631" s="560"/>
      <c r="F631" s="559"/>
      <c r="G631" s="559" t="str">
        <f t="shared" si="54"/>
        <v/>
      </c>
      <c r="H631" s="559" t="str">
        <f t="shared" si="55"/>
        <v/>
      </c>
      <c r="I631" s="559" t="str">
        <f t="shared" si="56"/>
        <v/>
      </c>
    </row>
    <row r="632" spans="2:9">
      <c r="B632" s="555" t="str">
        <f t="shared" si="51"/>
        <v/>
      </c>
      <c r="C632" s="556" t="str">
        <f t="shared" si="52"/>
        <v/>
      </c>
      <c r="D632" s="557" t="str">
        <f t="shared" si="53"/>
        <v/>
      </c>
      <c r="E632" s="560"/>
      <c r="F632" s="559"/>
      <c r="G632" s="559" t="str">
        <f t="shared" si="54"/>
        <v/>
      </c>
      <c r="H632" s="559" t="str">
        <f t="shared" si="55"/>
        <v/>
      </c>
      <c r="I632" s="559" t="str">
        <f t="shared" si="56"/>
        <v/>
      </c>
    </row>
    <row r="633" spans="2:9">
      <c r="B633" s="555" t="str">
        <f t="shared" si="51"/>
        <v/>
      </c>
      <c r="C633" s="556" t="str">
        <f t="shared" si="52"/>
        <v/>
      </c>
      <c r="D633" s="557" t="str">
        <f t="shared" si="53"/>
        <v/>
      </c>
      <c r="E633" s="560"/>
      <c r="F633" s="559"/>
      <c r="G633" s="559" t="str">
        <f t="shared" si="54"/>
        <v/>
      </c>
      <c r="H633" s="559" t="str">
        <f t="shared" si="55"/>
        <v/>
      </c>
      <c r="I633" s="559" t="str">
        <f t="shared" si="56"/>
        <v/>
      </c>
    </row>
    <row r="634" spans="2:9">
      <c r="B634" s="555" t="str">
        <f t="shared" si="51"/>
        <v/>
      </c>
      <c r="C634" s="556" t="str">
        <f t="shared" si="52"/>
        <v/>
      </c>
      <c r="D634" s="557" t="str">
        <f t="shared" si="53"/>
        <v/>
      </c>
      <c r="E634" s="560"/>
      <c r="F634" s="559"/>
      <c r="G634" s="559" t="str">
        <f t="shared" si="54"/>
        <v/>
      </c>
      <c r="H634" s="559" t="str">
        <f t="shared" si="55"/>
        <v/>
      </c>
      <c r="I634" s="559" t="str">
        <f t="shared" si="56"/>
        <v/>
      </c>
    </row>
    <row r="635" spans="2:9">
      <c r="B635" s="555" t="str">
        <f t="shared" si="51"/>
        <v/>
      </c>
      <c r="C635" s="556" t="str">
        <f t="shared" si="52"/>
        <v/>
      </c>
      <c r="D635" s="557" t="str">
        <f t="shared" si="53"/>
        <v/>
      </c>
      <c r="E635" s="560"/>
      <c r="F635" s="559"/>
      <c r="G635" s="559" t="str">
        <f t="shared" si="54"/>
        <v/>
      </c>
      <c r="H635" s="559" t="str">
        <f t="shared" si="55"/>
        <v/>
      </c>
      <c r="I635" s="559" t="str">
        <f t="shared" si="56"/>
        <v/>
      </c>
    </row>
    <row r="636" spans="2:9">
      <c r="B636" s="555" t="str">
        <f t="shared" si="51"/>
        <v/>
      </c>
      <c r="C636" s="556" t="str">
        <f t="shared" si="52"/>
        <v/>
      </c>
      <c r="D636" s="557" t="str">
        <f t="shared" si="53"/>
        <v/>
      </c>
      <c r="E636" s="560"/>
      <c r="F636" s="559"/>
      <c r="G636" s="559" t="str">
        <f t="shared" si="54"/>
        <v/>
      </c>
      <c r="H636" s="559" t="str">
        <f t="shared" si="55"/>
        <v/>
      </c>
      <c r="I636" s="559" t="str">
        <f t="shared" si="56"/>
        <v/>
      </c>
    </row>
    <row r="637" spans="2:9">
      <c r="B637" s="555" t="str">
        <f t="shared" ref="B637:B700" si="57">IF(I636="","",IF(roundOpt,IF(OR(B636&gt;=nper,ROUND(I636,2)&lt;=0),"",B636+1),IF(OR(B636&gt;=nper,I636&lt;=0),"",B636+1)))</f>
        <v/>
      </c>
      <c r="C637" s="556" t="str">
        <f t="shared" ref="C637:C700" si="58">IF(B637="","",IF(OR(periods_per_year=26,periods_per_year=52),IF(periods_per_year=26,IF(B637=1,fpdate,C636+14),IF(periods_per_year=52,IF(B637=1,fpdate,C636+7),"n/a")),IF(periods_per_year=24,DATE(YEAR(fpdate),MONTH(fpdate)+(B637-1)/2+IF(AND(DAY(fpdate)&gt;=15,MOD(B637,2)=0),1,0),IF(MOD(B637,2)=0,IF(DAY(fpdate)&gt;=15,DAY(fpdate)-14,DAY(fpdate)+14),DAY(fpdate))),IF(DAY(DATE(YEAR(fpdate),MONTH(fpdate)+(B637-1)*months_per_period,DAY(fpdate)))&lt;&gt;DAY(fpdate),DATE(YEAR(fpdate),MONTH(fpdate)+(B637-1)*months_per_period+1,0),DATE(YEAR(fpdate),MONTH(fpdate)+(B637-1)*months_per_period,DAY(fpdate))))))</f>
        <v/>
      </c>
      <c r="D637" s="557" t="str">
        <f t="shared" ref="D637:D700" si="59">IF(B637="","",IF(roundOpt,IF(OR(B637=nper,payment&gt;ROUND((1+rate)*I636,2)),ROUND((1+rate)*I636,2),payment),IF(OR(B637=nper,payment&gt;(1+rate)*I636),(1+rate)*I636,payment)))</f>
        <v/>
      </c>
      <c r="E637" s="560"/>
      <c r="F637" s="559"/>
      <c r="G637" s="559" t="str">
        <f t="shared" ref="G637:G700" si="60">IF(B637="","",IF(AND(B637=1,pmtType=1),0,IF(roundOpt,ROUND(rate*I636,2),rate*I636)))</f>
        <v/>
      </c>
      <c r="H637" s="559" t="str">
        <f t="shared" ref="H637:H700" si="61">IF(B637="","",D637-G637+E637)</f>
        <v/>
      </c>
      <c r="I637" s="559" t="str">
        <f t="shared" ref="I637:I700" si="62">IF(B637="","",I636-H637)</f>
        <v/>
      </c>
    </row>
    <row r="638" spans="2:9">
      <c r="B638" s="555" t="str">
        <f t="shared" si="57"/>
        <v/>
      </c>
      <c r="C638" s="556" t="str">
        <f t="shared" si="58"/>
        <v/>
      </c>
      <c r="D638" s="557" t="str">
        <f t="shared" si="59"/>
        <v/>
      </c>
      <c r="E638" s="560"/>
      <c r="F638" s="559"/>
      <c r="G638" s="559" t="str">
        <f t="shared" si="60"/>
        <v/>
      </c>
      <c r="H638" s="559" t="str">
        <f t="shared" si="61"/>
        <v/>
      </c>
      <c r="I638" s="559" t="str">
        <f t="shared" si="62"/>
        <v/>
      </c>
    </row>
    <row r="639" spans="2:9">
      <c r="B639" s="555" t="str">
        <f t="shared" si="57"/>
        <v/>
      </c>
      <c r="C639" s="556" t="str">
        <f t="shared" si="58"/>
        <v/>
      </c>
      <c r="D639" s="557" t="str">
        <f t="shared" si="59"/>
        <v/>
      </c>
      <c r="E639" s="560"/>
      <c r="F639" s="559"/>
      <c r="G639" s="559" t="str">
        <f t="shared" si="60"/>
        <v/>
      </c>
      <c r="H639" s="559" t="str">
        <f t="shared" si="61"/>
        <v/>
      </c>
      <c r="I639" s="559" t="str">
        <f t="shared" si="62"/>
        <v/>
      </c>
    </row>
    <row r="640" spans="2:9">
      <c r="B640" s="555" t="str">
        <f t="shared" si="57"/>
        <v/>
      </c>
      <c r="C640" s="556" t="str">
        <f t="shared" si="58"/>
        <v/>
      </c>
      <c r="D640" s="557" t="str">
        <f t="shared" si="59"/>
        <v/>
      </c>
      <c r="E640" s="560"/>
      <c r="F640" s="559"/>
      <c r="G640" s="559" t="str">
        <f t="shared" si="60"/>
        <v/>
      </c>
      <c r="H640" s="559" t="str">
        <f t="shared" si="61"/>
        <v/>
      </c>
      <c r="I640" s="559" t="str">
        <f t="shared" si="62"/>
        <v/>
      </c>
    </row>
    <row r="641" spans="2:9">
      <c r="B641" s="555" t="str">
        <f t="shared" si="57"/>
        <v/>
      </c>
      <c r="C641" s="556" t="str">
        <f t="shared" si="58"/>
        <v/>
      </c>
      <c r="D641" s="557" t="str">
        <f t="shared" si="59"/>
        <v/>
      </c>
      <c r="E641" s="560"/>
      <c r="F641" s="559"/>
      <c r="G641" s="559" t="str">
        <f t="shared" si="60"/>
        <v/>
      </c>
      <c r="H641" s="559" t="str">
        <f t="shared" si="61"/>
        <v/>
      </c>
      <c r="I641" s="559" t="str">
        <f t="shared" si="62"/>
        <v/>
      </c>
    </row>
    <row r="642" spans="2:9">
      <c r="B642" s="555" t="str">
        <f t="shared" si="57"/>
        <v/>
      </c>
      <c r="C642" s="556" t="str">
        <f t="shared" si="58"/>
        <v/>
      </c>
      <c r="D642" s="557" t="str">
        <f t="shared" si="59"/>
        <v/>
      </c>
      <c r="E642" s="560"/>
      <c r="F642" s="559"/>
      <c r="G642" s="559" t="str">
        <f t="shared" si="60"/>
        <v/>
      </c>
      <c r="H642" s="559" t="str">
        <f t="shared" si="61"/>
        <v/>
      </c>
      <c r="I642" s="559" t="str">
        <f t="shared" si="62"/>
        <v/>
      </c>
    </row>
    <row r="643" spans="2:9">
      <c r="B643" s="555" t="str">
        <f t="shared" si="57"/>
        <v/>
      </c>
      <c r="C643" s="556" t="str">
        <f t="shared" si="58"/>
        <v/>
      </c>
      <c r="D643" s="557" t="str">
        <f t="shared" si="59"/>
        <v/>
      </c>
      <c r="E643" s="560"/>
      <c r="F643" s="559"/>
      <c r="G643" s="559" t="str">
        <f t="shared" si="60"/>
        <v/>
      </c>
      <c r="H643" s="559" t="str">
        <f t="shared" si="61"/>
        <v/>
      </c>
      <c r="I643" s="559" t="str">
        <f t="shared" si="62"/>
        <v/>
      </c>
    </row>
    <row r="644" spans="2:9">
      <c r="B644" s="555" t="str">
        <f t="shared" si="57"/>
        <v/>
      </c>
      <c r="C644" s="556" t="str">
        <f t="shared" si="58"/>
        <v/>
      </c>
      <c r="D644" s="557" t="str">
        <f t="shared" si="59"/>
        <v/>
      </c>
      <c r="E644" s="560"/>
      <c r="F644" s="559"/>
      <c r="G644" s="559" t="str">
        <f t="shared" si="60"/>
        <v/>
      </c>
      <c r="H644" s="559" t="str">
        <f t="shared" si="61"/>
        <v/>
      </c>
      <c r="I644" s="559" t="str">
        <f t="shared" si="62"/>
        <v/>
      </c>
    </row>
    <row r="645" spans="2:9">
      <c r="B645" s="555" t="str">
        <f t="shared" si="57"/>
        <v/>
      </c>
      <c r="C645" s="556" t="str">
        <f t="shared" si="58"/>
        <v/>
      </c>
      <c r="D645" s="557" t="str">
        <f t="shared" si="59"/>
        <v/>
      </c>
      <c r="E645" s="560"/>
      <c r="F645" s="559"/>
      <c r="G645" s="559" t="str">
        <f t="shared" si="60"/>
        <v/>
      </c>
      <c r="H645" s="559" t="str">
        <f t="shared" si="61"/>
        <v/>
      </c>
      <c r="I645" s="559" t="str">
        <f t="shared" si="62"/>
        <v/>
      </c>
    </row>
    <row r="646" spans="2:9">
      <c r="B646" s="555" t="str">
        <f t="shared" si="57"/>
        <v/>
      </c>
      <c r="C646" s="556" t="str">
        <f t="shared" si="58"/>
        <v/>
      </c>
      <c r="D646" s="557" t="str">
        <f t="shared" si="59"/>
        <v/>
      </c>
      <c r="E646" s="560"/>
      <c r="F646" s="559"/>
      <c r="G646" s="559" t="str">
        <f t="shared" si="60"/>
        <v/>
      </c>
      <c r="H646" s="559" t="str">
        <f t="shared" si="61"/>
        <v/>
      </c>
      <c r="I646" s="559" t="str">
        <f t="shared" si="62"/>
        <v/>
      </c>
    </row>
    <row r="647" spans="2:9">
      <c r="B647" s="555" t="str">
        <f t="shared" si="57"/>
        <v/>
      </c>
      <c r="C647" s="556" t="str">
        <f t="shared" si="58"/>
        <v/>
      </c>
      <c r="D647" s="557" t="str">
        <f t="shared" si="59"/>
        <v/>
      </c>
      <c r="E647" s="560"/>
      <c r="F647" s="559"/>
      <c r="G647" s="559" t="str">
        <f t="shared" si="60"/>
        <v/>
      </c>
      <c r="H647" s="559" t="str">
        <f t="shared" si="61"/>
        <v/>
      </c>
      <c r="I647" s="559" t="str">
        <f t="shared" si="62"/>
        <v/>
      </c>
    </row>
    <row r="648" spans="2:9">
      <c r="B648" s="555" t="str">
        <f t="shared" si="57"/>
        <v/>
      </c>
      <c r="C648" s="556" t="str">
        <f t="shared" si="58"/>
        <v/>
      </c>
      <c r="D648" s="557" t="str">
        <f t="shared" si="59"/>
        <v/>
      </c>
      <c r="E648" s="560"/>
      <c r="F648" s="559"/>
      <c r="G648" s="559" t="str">
        <f t="shared" si="60"/>
        <v/>
      </c>
      <c r="H648" s="559" t="str">
        <f t="shared" si="61"/>
        <v/>
      </c>
      <c r="I648" s="559" t="str">
        <f t="shared" si="62"/>
        <v/>
      </c>
    </row>
    <row r="649" spans="2:9">
      <c r="B649" s="555" t="str">
        <f t="shared" si="57"/>
        <v/>
      </c>
      <c r="C649" s="556" t="str">
        <f t="shared" si="58"/>
        <v/>
      </c>
      <c r="D649" s="557" t="str">
        <f t="shared" si="59"/>
        <v/>
      </c>
      <c r="E649" s="560"/>
      <c r="F649" s="559"/>
      <c r="G649" s="559" t="str">
        <f t="shared" si="60"/>
        <v/>
      </c>
      <c r="H649" s="559" t="str">
        <f t="shared" si="61"/>
        <v/>
      </c>
      <c r="I649" s="559" t="str">
        <f t="shared" si="62"/>
        <v/>
      </c>
    </row>
    <row r="650" spans="2:9">
      <c r="B650" s="555" t="str">
        <f t="shared" si="57"/>
        <v/>
      </c>
      <c r="C650" s="556" t="str">
        <f t="shared" si="58"/>
        <v/>
      </c>
      <c r="D650" s="557" t="str">
        <f t="shared" si="59"/>
        <v/>
      </c>
      <c r="E650" s="560"/>
      <c r="F650" s="559"/>
      <c r="G650" s="559" t="str">
        <f t="shared" si="60"/>
        <v/>
      </c>
      <c r="H650" s="559" t="str">
        <f t="shared" si="61"/>
        <v/>
      </c>
      <c r="I650" s="559" t="str">
        <f t="shared" si="62"/>
        <v/>
      </c>
    </row>
    <row r="651" spans="2:9">
      <c r="B651" s="555" t="str">
        <f t="shared" si="57"/>
        <v/>
      </c>
      <c r="C651" s="556" t="str">
        <f t="shared" si="58"/>
        <v/>
      </c>
      <c r="D651" s="557" t="str">
        <f t="shared" si="59"/>
        <v/>
      </c>
      <c r="E651" s="560"/>
      <c r="F651" s="559"/>
      <c r="G651" s="559" t="str">
        <f t="shared" si="60"/>
        <v/>
      </c>
      <c r="H651" s="559" t="str">
        <f t="shared" si="61"/>
        <v/>
      </c>
      <c r="I651" s="559" t="str">
        <f t="shared" si="62"/>
        <v/>
      </c>
    </row>
    <row r="652" spans="2:9">
      <c r="B652" s="555" t="str">
        <f t="shared" si="57"/>
        <v/>
      </c>
      <c r="C652" s="556" t="str">
        <f t="shared" si="58"/>
        <v/>
      </c>
      <c r="D652" s="557" t="str">
        <f t="shared" si="59"/>
        <v/>
      </c>
      <c r="E652" s="560"/>
      <c r="F652" s="559"/>
      <c r="G652" s="559" t="str">
        <f t="shared" si="60"/>
        <v/>
      </c>
      <c r="H652" s="559" t="str">
        <f t="shared" si="61"/>
        <v/>
      </c>
      <c r="I652" s="559" t="str">
        <f t="shared" si="62"/>
        <v/>
      </c>
    </row>
    <row r="653" spans="2:9">
      <c r="B653" s="555" t="str">
        <f t="shared" si="57"/>
        <v/>
      </c>
      <c r="C653" s="556" t="str">
        <f t="shared" si="58"/>
        <v/>
      </c>
      <c r="D653" s="557" t="str">
        <f t="shared" si="59"/>
        <v/>
      </c>
      <c r="E653" s="560"/>
      <c r="F653" s="559"/>
      <c r="G653" s="559" t="str">
        <f t="shared" si="60"/>
        <v/>
      </c>
      <c r="H653" s="559" t="str">
        <f t="shared" si="61"/>
        <v/>
      </c>
      <c r="I653" s="559" t="str">
        <f t="shared" si="62"/>
        <v/>
      </c>
    </row>
    <row r="654" spans="2:9">
      <c r="B654" s="555" t="str">
        <f t="shared" si="57"/>
        <v/>
      </c>
      <c r="C654" s="556" t="str">
        <f t="shared" si="58"/>
        <v/>
      </c>
      <c r="D654" s="557" t="str">
        <f t="shared" si="59"/>
        <v/>
      </c>
      <c r="E654" s="560"/>
      <c r="F654" s="559"/>
      <c r="G654" s="559" t="str">
        <f t="shared" si="60"/>
        <v/>
      </c>
      <c r="H654" s="559" t="str">
        <f t="shared" si="61"/>
        <v/>
      </c>
      <c r="I654" s="559" t="str">
        <f t="shared" si="62"/>
        <v/>
      </c>
    </row>
    <row r="655" spans="2:9">
      <c r="B655" s="555" t="str">
        <f t="shared" si="57"/>
        <v/>
      </c>
      <c r="C655" s="556" t="str">
        <f t="shared" si="58"/>
        <v/>
      </c>
      <c r="D655" s="557" t="str">
        <f t="shared" si="59"/>
        <v/>
      </c>
      <c r="E655" s="560"/>
      <c r="F655" s="559"/>
      <c r="G655" s="559" t="str">
        <f t="shared" si="60"/>
        <v/>
      </c>
      <c r="H655" s="559" t="str">
        <f t="shared" si="61"/>
        <v/>
      </c>
      <c r="I655" s="559" t="str">
        <f t="shared" si="62"/>
        <v/>
      </c>
    </row>
    <row r="656" spans="2:9">
      <c r="B656" s="555" t="str">
        <f t="shared" si="57"/>
        <v/>
      </c>
      <c r="C656" s="556" t="str">
        <f t="shared" si="58"/>
        <v/>
      </c>
      <c r="D656" s="557" t="str">
        <f t="shared" si="59"/>
        <v/>
      </c>
      <c r="E656" s="560"/>
      <c r="F656" s="559"/>
      <c r="G656" s="559" t="str">
        <f t="shared" si="60"/>
        <v/>
      </c>
      <c r="H656" s="559" t="str">
        <f t="shared" si="61"/>
        <v/>
      </c>
      <c r="I656" s="559" t="str">
        <f t="shared" si="62"/>
        <v/>
      </c>
    </row>
    <row r="657" spans="2:9">
      <c r="B657" s="555" t="str">
        <f t="shared" si="57"/>
        <v/>
      </c>
      <c r="C657" s="556" t="str">
        <f t="shared" si="58"/>
        <v/>
      </c>
      <c r="D657" s="557" t="str">
        <f t="shared" si="59"/>
        <v/>
      </c>
      <c r="E657" s="560"/>
      <c r="F657" s="559"/>
      <c r="G657" s="559" t="str">
        <f t="shared" si="60"/>
        <v/>
      </c>
      <c r="H657" s="559" t="str">
        <f t="shared" si="61"/>
        <v/>
      </c>
      <c r="I657" s="559" t="str">
        <f t="shared" si="62"/>
        <v/>
      </c>
    </row>
    <row r="658" spans="2:9">
      <c r="B658" s="555" t="str">
        <f t="shared" si="57"/>
        <v/>
      </c>
      <c r="C658" s="556" t="str">
        <f t="shared" si="58"/>
        <v/>
      </c>
      <c r="D658" s="557" t="str">
        <f t="shared" si="59"/>
        <v/>
      </c>
      <c r="E658" s="560"/>
      <c r="F658" s="559"/>
      <c r="G658" s="559" t="str">
        <f t="shared" si="60"/>
        <v/>
      </c>
      <c r="H658" s="559" t="str">
        <f t="shared" si="61"/>
        <v/>
      </c>
      <c r="I658" s="559" t="str">
        <f t="shared" si="62"/>
        <v/>
      </c>
    </row>
    <row r="659" spans="2:9">
      <c r="B659" s="555" t="str">
        <f t="shared" si="57"/>
        <v/>
      </c>
      <c r="C659" s="556" t="str">
        <f t="shared" si="58"/>
        <v/>
      </c>
      <c r="D659" s="557" t="str">
        <f t="shared" si="59"/>
        <v/>
      </c>
      <c r="E659" s="560"/>
      <c r="F659" s="559"/>
      <c r="G659" s="559" t="str">
        <f t="shared" si="60"/>
        <v/>
      </c>
      <c r="H659" s="559" t="str">
        <f t="shared" si="61"/>
        <v/>
      </c>
      <c r="I659" s="559" t="str">
        <f t="shared" si="62"/>
        <v/>
      </c>
    </row>
    <row r="660" spans="2:9">
      <c r="B660" s="555" t="str">
        <f t="shared" si="57"/>
        <v/>
      </c>
      <c r="C660" s="556" t="str">
        <f t="shared" si="58"/>
        <v/>
      </c>
      <c r="D660" s="557" t="str">
        <f t="shared" si="59"/>
        <v/>
      </c>
      <c r="E660" s="560"/>
      <c r="F660" s="559"/>
      <c r="G660" s="559" t="str">
        <f t="shared" si="60"/>
        <v/>
      </c>
      <c r="H660" s="559" t="str">
        <f t="shared" si="61"/>
        <v/>
      </c>
      <c r="I660" s="559" t="str">
        <f t="shared" si="62"/>
        <v/>
      </c>
    </row>
    <row r="661" spans="2:9">
      <c r="B661" s="555" t="str">
        <f t="shared" si="57"/>
        <v/>
      </c>
      <c r="C661" s="556" t="str">
        <f t="shared" si="58"/>
        <v/>
      </c>
      <c r="D661" s="557" t="str">
        <f t="shared" si="59"/>
        <v/>
      </c>
      <c r="E661" s="560"/>
      <c r="F661" s="559"/>
      <c r="G661" s="559" t="str">
        <f t="shared" si="60"/>
        <v/>
      </c>
      <c r="H661" s="559" t="str">
        <f t="shared" si="61"/>
        <v/>
      </c>
      <c r="I661" s="559" t="str">
        <f t="shared" si="62"/>
        <v/>
      </c>
    </row>
    <row r="662" spans="2:9">
      <c r="B662" s="555" t="str">
        <f t="shared" si="57"/>
        <v/>
      </c>
      <c r="C662" s="556" t="str">
        <f t="shared" si="58"/>
        <v/>
      </c>
      <c r="D662" s="557" t="str">
        <f t="shared" si="59"/>
        <v/>
      </c>
      <c r="E662" s="560"/>
      <c r="F662" s="559"/>
      <c r="G662" s="559" t="str">
        <f t="shared" si="60"/>
        <v/>
      </c>
      <c r="H662" s="559" t="str">
        <f t="shared" si="61"/>
        <v/>
      </c>
      <c r="I662" s="559" t="str">
        <f t="shared" si="62"/>
        <v/>
      </c>
    </row>
    <row r="663" spans="2:9">
      <c r="B663" s="555" t="str">
        <f t="shared" si="57"/>
        <v/>
      </c>
      <c r="C663" s="556" t="str">
        <f t="shared" si="58"/>
        <v/>
      </c>
      <c r="D663" s="557" t="str">
        <f t="shared" si="59"/>
        <v/>
      </c>
      <c r="E663" s="560"/>
      <c r="F663" s="559"/>
      <c r="G663" s="559" t="str">
        <f t="shared" si="60"/>
        <v/>
      </c>
      <c r="H663" s="559" t="str">
        <f t="shared" si="61"/>
        <v/>
      </c>
      <c r="I663" s="559" t="str">
        <f t="shared" si="62"/>
        <v/>
      </c>
    </row>
    <row r="664" spans="2:9">
      <c r="B664" s="555" t="str">
        <f t="shared" si="57"/>
        <v/>
      </c>
      <c r="C664" s="556" t="str">
        <f t="shared" si="58"/>
        <v/>
      </c>
      <c r="D664" s="557" t="str">
        <f t="shared" si="59"/>
        <v/>
      </c>
      <c r="E664" s="560"/>
      <c r="F664" s="559"/>
      <c r="G664" s="559" t="str">
        <f t="shared" si="60"/>
        <v/>
      </c>
      <c r="H664" s="559" t="str">
        <f t="shared" si="61"/>
        <v/>
      </c>
      <c r="I664" s="559" t="str">
        <f t="shared" si="62"/>
        <v/>
      </c>
    </row>
    <row r="665" spans="2:9">
      <c r="B665" s="555" t="str">
        <f t="shared" si="57"/>
        <v/>
      </c>
      <c r="C665" s="556" t="str">
        <f t="shared" si="58"/>
        <v/>
      </c>
      <c r="D665" s="557" t="str">
        <f t="shared" si="59"/>
        <v/>
      </c>
      <c r="E665" s="560"/>
      <c r="F665" s="559"/>
      <c r="G665" s="559" t="str">
        <f t="shared" si="60"/>
        <v/>
      </c>
      <c r="H665" s="559" t="str">
        <f t="shared" si="61"/>
        <v/>
      </c>
      <c r="I665" s="559" t="str">
        <f t="shared" si="62"/>
        <v/>
      </c>
    </row>
    <row r="666" spans="2:9">
      <c r="B666" s="555" t="str">
        <f t="shared" si="57"/>
        <v/>
      </c>
      <c r="C666" s="556" t="str">
        <f t="shared" si="58"/>
        <v/>
      </c>
      <c r="D666" s="557" t="str">
        <f t="shared" si="59"/>
        <v/>
      </c>
      <c r="E666" s="560"/>
      <c r="F666" s="559"/>
      <c r="G666" s="559" t="str">
        <f t="shared" si="60"/>
        <v/>
      </c>
      <c r="H666" s="559" t="str">
        <f t="shared" si="61"/>
        <v/>
      </c>
      <c r="I666" s="559" t="str">
        <f t="shared" si="62"/>
        <v/>
      </c>
    </row>
    <row r="667" spans="2:9">
      <c r="B667" s="555" t="str">
        <f t="shared" si="57"/>
        <v/>
      </c>
      <c r="C667" s="556" t="str">
        <f t="shared" si="58"/>
        <v/>
      </c>
      <c r="D667" s="557" t="str">
        <f t="shared" si="59"/>
        <v/>
      </c>
      <c r="E667" s="560"/>
      <c r="F667" s="559"/>
      <c r="G667" s="559" t="str">
        <f t="shared" si="60"/>
        <v/>
      </c>
      <c r="H667" s="559" t="str">
        <f t="shared" si="61"/>
        <v/>
      </c>
      <c r="I667" s="559" t="str">
        <f t="shared" si="62"/>
        <v/>
      </c>
    </row>
    <row r="668" spans="2:9">
      <c r="B668" s="555" t="str">
        <f t="shared" si="57"/>
        <v/>
      </c>
      <c r="C668" s="556" t="str">
        <f t="shared" si="58"/>
        <v/>
      </c>
      <c r="D668" s="557" t="str">
        <f t="shared" si="59"/>
        <v/>
      </c>
      <c r="E668" s="560"/>
      <c r="F668" s="559"/>
      <c r="G668" s="559" t="str">
        <f t="shared" si="60"/>
        <v/>
      </c>
      <c r="H668" s="559" t="str">
        <f t="shared" si="61"/>
        <v/>
      </c>
      <c r="I668" s="559" t="str">
        <f t="shared" si="62"/>
        <v/>
      </c>
    </row>
    <row r="669" spans="2:9">
      <c r="B669" s="555" t="str">
        <f t="shared" si="57"/>
        <v/>
      </c>
      <c r="C669" s="556" t="str">
        <f t="shared" si="58"/>
        <v/>
      </c>
      <c r="D669" s="557" t="str">
        <f t="shared" si="59"/>
        <v/>
      </c>
      <c r="E669" s="560"/>
      <c r="F669" s="559"/>
      <c r="G669" s="559" t="str">
        <f t="shared" si="60"/>
        <v/>
      </c>
      <c r="H669" s="559" t="str">
        <f t="shared" si="61"/>
        <v/>
      </c>
      <c r="I669" s="559" t="str">
        <f t="shared" si="62"/>
        <v/>
      </c>
    </row>
    <row r="670" spans="2:9">
      <c r="B670" s="555" t="str">
        <f t="shared" si="57"/>
        <v/>
      </c>
      <c r="C670" s="556" t="str">
        <f t="shared" si="58"/>
        <v/>
      </c>
      <c r="D670" s="557" t="str">
        <f t="shared" si="59"/>
        <v/>
      </c>
      <c r="E670" s="560"/>
      <c r="F670" s="559"/>
      <c r="G670" s="559" t="str">
        <f t="shared" si="60"/>
        <v/>
      </c>
      <c r="H670" s="559" t="str">
        <f t="shared" si="61"/>
        <v/>
      </c>
      <c r="I670" s="559" t="str">
        <f t="shared" si="62"/>
        <v/>
      </c>
    </row>
    <row r="671" spans="2:9">
      <c r="B671" s="555" t="str">
        <f t="shared" si="57"/>
        <v/>
      </c>
      <c r="C671" s="556" t="str">
        <f t="shared" si="58"/>
        <v/>
      </c>
      <c r="D671" s="557" t="str">
        <f t="shared" si="59"/>
        <v/>
      </c>
      <c r="E671" s="560"/>
      <c r="F671" s="559"/>
      <c r="G671" s="559" t="str">
        <f t="shared" si="60"/>
        <v/>
      </c>
      <c r="H671" s="559" t="str">
        <f t="shared" si="61"/>
        <v/>
      </c>
      <c r="I671" s="559" t="str">
        <f t="shared" si="62"/>
        <v/>
      </c>
    </row>
    <row r="672" spans="2:9">
      <c r="B672" s="555" t="str">
        <f t="shared" si="57"/>
        <v/>
      </c>
      <c r="C672" s="556" t="str">
        <f t="shared" si="58"/>
        <v/>
      </c>
      <c r="D672" s="557" t="str">
        <f t="shared" si="59"/>
        <v/>
      </c>
      <c r="E672" s="560"/>
      <c r="F672" s="559"/>
      <c r="G672" s="559" t="str">
        <f t="shared" si="60"/>
        <v/>
      </c>
      <c r="H672" s="559" t="str">
        <f t="shared" si="61"/>
        <v/>
      </c>
      <c r="I672" s="559" t="str">
        <f t="shared" si="62"/>
        <v/>
      </c>
    </row>
    <row r="673" spans="2:9">
      <c r="B673" s="555" t="str">
        <f t="shared" si="57"/>
        <v/>
      </c>
      <c r="C673" s="556" t="str">
        <f t="shared" si="58"/>
        <v/>
      </c>
      <c r="D673" s="557" t="str">
        <f t="shared" si="59"/>
        <v/>
      </c>
      <c r="E673" s="560"/>
      <c r="F673" s="559"/>
      <c r="G673" s="559" t="str">
        <f t="shared" si="60"/>
        <v/>
      </c>
      <c r="H673" s="559" t="str">
        <f t="shared" si="61"/>
        <v/>
      </c>
      <c r="I673" s="559" t="str">
        <f t="shared" si="62"/>
        <v/>
      </c>
    </row>
    <row r="674" spans="2:9">
      <c r="B674" s="555" t="str">
        <f t="shared" si="57"/>
        <v/>
      </c>
      <c r="C674" s="556" t="str">
        <f t="shared" si="58"/>
        <v/>
      </c>
      <c r="D674" s="557" t="str">
        <f t="shared" si="59"/>
        <v/>
      </c>
      <c r="E674" s="560"/>
      <c r="F674" s="559"/>
      <c r="G674" s="559" t="str">
        <f t="shared" si="60"/>
        <v/>
      </c>
      <c r="H674" s="559" t="str">
        <f t="shared" si="61"/>
        <v/>
      </c>
      <c r="I674" s="559" t="str">
        <f t="shared" si="62"/>
        <v/>
      </c>
    </row>
    <row r="675" spans="2:9">
      <c r="B675" s="555" t="str">
        <f t="shared" si="57"/>
        <v/>
      </c>
      <c r="C675" s="556" t="str">
        <f t="shared" si="58"/>
        <v/>
      </c>
      <c r="D675" s="557" t="str">
        <f t="shared" si="59"/>
        <v/>
      </c>
      <c r="E675" s="560"/>
      <c r="F675" s="559"/>
      <c r="G675" s="559" t="str">
        <f t="shared" si="60"/>
        <v/>
      </c>
      <c r="H675" s="559" t="str">
        <f t="shared" si="61"/>
        <v/>
      </c>
      <c r="I675" s="559" t="str">
        <f t="shared" si="62"/>
        <v/>
      </c>
    </row>
    <row r="676" spans="2:9">
      <c r="B676" s="555" t="str">
        <f t="shared" si="57"/>
        <v/>
      </c>
      <c r="C676" s="556" t="str">
        <f t="shared" si="58"/>
        <v/>
      </c>
      <c r="D676" s="557" t="str">
        <f t="shared" si="59"/>
        <v/>
      </c>
      <c r="E676" s="560"/>
      <c r="F676" s="559"/>
      <c r="G676" s="559" t="str">
        <f t="shared" si="60"/>
        <v/>
      </c>
      <c r="H676" s="559" t="str">
        <f t="shared" si="61"/>
        <v/>
      </c>
      <c r="I676" s="559" t="str">
        <f t="shared" si="62"/>
        <v/>
      </c>
    </row>
    <row r="677" spans="2:9">
      <c r="B677" s="555" t="str">
        <f t="shared" si="57"/>
        <v/>
      </c>
      <c r="C677" s="556" t="str">
        <f t="shared" si="58"/>
        <v/>
      </c>
      <c r="D677" s="557" t="str">
        <f t="shared" si="59"/>
        <v/>
      </c>
      <c r="E677" s="560"/>
      <c r="F677" s="559"/>
      <c r="G677" s="559" t="str">
        <f t="shared" si="60"/>
        <v/>
      </c>
      <c r="H677" s="559" t="str">
        <f t="shared" si="61"/>
        <v/>
      </c>
      <c r="I677" s="559" t="str">
        <f t="shared" si="62"/>
        <v/>
      </c>
    </row>
    <row r="678" spans="2:9">
      <c r="B678" s="555" t="str">
        <f t="shared" si="57"/>
        <v/>
      </c>
      <c r="C678" s="556" t="str">
        <f t="shared" si="58"/>
        <v/>
      </c>
      <c r="D678" s="557" t="str">
        <f t="shared" si="59"/>
        <v/>
      </c>
      <c r="E678" s="560"/>
      <c r="F678" s="559"/>
      <c r="G678" s="559" t="str">
        <f t="shared" si="60"/>
        <v/>
      </c>
      <c r="H678" s="559" t="str">
        <f t="shared" si="61"/>
        <v/>
      </c>
      <c r="I678" s="559" t="str">
        <f t="shared" si="62"/>
        <v/>
      </c>
    </row>
    <row r="679" spans="2:9">
      <c r="B679" s="555" t="str">
        <f t="shared" si="57"/>
        <v/>
      </c>
      <c r="C679" s="556" t="str">
        <f t="shared" si="58"/>
        <v/>
      </c>
      <c r="D679" s="557" t="str">
        <f t="shared" si="59"/>
        <v/>
      </c>
      <c r="E679" s="560"/>
      <c r="F679" s="559"/>
      <c r="G679" s="559" t="str">
        <f t="shared" si="60"/>
        <v/>
      </c>
      <c r="H679" s="559" t="str">
        <f t="shared" si="61"/>
        <v/>
      </c>
      <c r="I679" s="559" t="str">
        <f t="shared" si="62"/>
        <v/>
      </c>
    </row>
    <row r="680" spans="2:9">
      <c r="B680" s="555" t="str">
        <f t="shared" si="57"/>
        <v/>
      </c>
      <c r="C680" s="556" t="str">
        <f t="shared" si="58"/>
        <v/>
      </c>
      <c r="D680" s="557" t="str">
        <f t="shared" si="59"/>
        <v/>
      </c>
      <c r="E680" s="560"/>
      <c r="F680" s="559"/>
      <c r="G680" s="559" t="str">
        <f t="shared" si="60"/>
        <v/>
      </c>
      <c r="H680" s="559" t="str">
        <f t="shared" si="61"/>
        <v/>
      </c>
      <c r="I680" s="559" t="str">
        <f t="shared" si="62"/>
        <v/>
      </c>
    </row>
    <row r="681" spans="2:9">
      <c r="B681" s="555" t="str">
        <f t="shared" si="57"/>
        <v/>
      </c>
      <c r="C681" s="556" t="str">
        <f t="shared" si="58"/>
        <v/>
      </c>
      <c r="D681" s="557" t="str">
        <f t="shared" si="59"/>
        <v/>
      </c>
      <c r="E681" s="560"/>
      <c r="F681" s="559"/>
      <c r="G681" s="559" t="str">
        <f t="shared" si="60"/>
        <v/>
      </c>
      <c r="H681" s="559" t="str">
        <f t="shared" si="61"/>
        <v/>
      </c>
      <c r="I681" s="559" t="str">
        <f t="shared" si="62"/>
        <v/>
      </c>
    </row>
    <row r="682" spans="2:9">
      <c r="B682" s="555" t="str">
        <f t="shared" si="57"/>
        <v/>
      </c>
      <c r="C682" s="556" t="str">
        <f t="shared" si="58"/>
        <v/>
      </c>
      <c r="D682" s="557" t="str">
        <f t="shared" si="59"/>
        <v/>
      </c>
      <c r="E682" s="560"/>
      <c r="F682" s="559"/>
      <c r="G682" s="559" t="str">
        <f t="shared" si="60"/>
        <v/>
      </c>
      <c r="H682" s="559" t="str">
        <f t="shared" si="61"/>
        <v/>
      </c>
      <c r="I682" s="559" t="str">
        <f t="shared" si="62"/>
        <v/>
      </c>
    </row>
    <row r="683" spans="2:9">
      <c r="B683" s="555" t="str">
        <f t="shared" si="57"/>
        <v/>
      </c>
      <c r="C683" s="556" t="str">
        <f t="shared" si="58"/>
        <v/>
      </c>
      <c r="D683" s="557" t="str">
        <f t="shared" si="59"/>
        <v/>
      </c>
      <c r="E683" s="560"/>
      <c r="F683" s="559"/>
      <c r="G683" s="559" t="str">
        <f t="shared" si="60"/>
        <v/>
      </c>
      <c r="H683" s="559" t="str">
        <f t="shared" si="61"/>
        <v/>
      </c>
      <c r="I683" s="559" t="str">
        <f t="shared" si="62"/>
        <v/>
      </c>
    </row>
    <row r="684" spans="2:9">
      <c r="B684" s="555" t="str">
        <f t="shared" si="57"/>
        <v/>
      </c>
      <c r="C684" s="556" t="str">
        <f t="shared" si="58"/>
        <v/>
      </c>
      <c r="D684" s="557" t="str">
        <f t="shared" si="59"/>
        <v/>
      </c>
      <c r="E684" s="560"/>
      <c r="F684" s="559"/>
      <c r="G684" s="559" t="str">
        <f t="shared" si="60"/>
        <v/>
      </c>
      <c r="H684" s="559" t="str">
        <f t="shared" si="61"/>
        <v/>
      </c>
      <c r="I684" s="559" t="str">
        <f t="shared" si="62"/>
        <v/>
      </c>
    </row>
    <row r="685" spans="2:9">
      <c r="B685" s="555" t="str">
        <f t="shared" si="57"/>
        <v/>
      </c>
      <c r="C685" s="556" t="str">
        <f t="shared" si="58"/>
        <v/>
      </c>
      <c r="D685" s="557" t="str">
        <f t="shared" si="59"/>
        <v/>
      </c>
      <c r="E685" s="560"/>
      <c r="F685" s="559"/>
      <c r="G685" s="559" t="str">
        <f t="shared" si="60"/>
        <v/>
      </c>
      <c r="H685" s="559" t="str">
        <f t="shared" si="61"/>
        <v/>
      </c>
      <c r="I685" s="559" t="str">
        <f t="shared" si="62"/>
        <v/>
      </c>
    </row>
    <row r="686" spans="2:9">
      <c r="B686" s="555" t="str">
        <f t="shared" si="57"/>
        <v/>
      </c>
      <c r="C686" s="556" t="str">
        <f t="shared" si="58"/>
        <v/>
      </c>
      <c r="D686" s="557" t="str">
        <f t="shared" si="59"/>
        <v/>
      </c>
      <c r="E686" s="560"/>
      <c r="F686" s="559"/>
      <c r="G686" s="559" t="str">
        <f t="shared" si="60"/>
        <v/>
      </c>
      <c r="H686" s="559" t="str">
        <f t="shared" si="61"/>
        <v/>
      </c>
      <c r="I686" s="559" t="str">
        <f t="shared" si="62"/>
        <v/>
      </c>
    </row>
    <row r="687" spans="2:9">
      <c r="B687" s="555" t="str">
        <f t="shared" si="57"/>
        <v/>
      </c>
      <c r="C687" s="556" t="str">
        <f t="shared" si="58"/>
        <v/>
      </c>
      <c r="D687" s="557" t="str">
        <f t="shared" si="59"/>
        <v/>
      </c>
      <c r="E687" s="560"/>
      <c r="F687" s="559"/>
      <c r="G687" s="559" t="str">
        <f t="shared" si="60"/>
        <v/>
      </c>
      <c r="H687" s="559" t="str">
        <f t="shared" si="61"/>
        <v/>
      </c>
      <c r="I687" s="559" t="str">
        <f t="shared" si="62"/>
        <v/>
      </c>
    </row>
    <row r="688" spans="2:9">
      <c r="B688" s="555" t="str">
        <f t="shared" si="57"/>
        <v/>
      </c>
      <c r="C688" s="556" t="str">
        <f t="shared" si="58"/>
        <v/>
      </c>
      <c r="D688" s="557" t="str">
        <f t="shared" si="59"/>
        <v/>
      </c>
      <c r="E688" s="560"/>
      <c r="F688" s="559"/>
      <c r="G688" s="559" t="str">
        <f t="shared" si="60"/>
        <v/>
      </c>
      <c r="H688" s="559" t="str">
        <f t="shared" si="61"/>
        <v/>
      </c>
      <c r="I688" s="559" t="str">
        <f t="shared" si="62"/>
        <v/>
      </c>
    </row>
    <row r="689" spans="2:9">
      <c r="B689" s="555" t="str">
        <f t="shared" si="57"/>
        <v/>
      </c>
      <c r="C689" s="556" t="str">
        <f t="shared" si="58"/>
        <v/>
      </c>
      <c r="D689" s="557" t="str">
        <f t="shared" si="59"/>
        <v/>
      </c>
      <c r="E689" s="560"/>
      <c r="F689" s="559"/>
      <c r="G689" s="559" t="str">
        <f t="shared" si="60"/>
        <v/>
      </c>
      <c r="H689" s="559" t="str">
        <f t="shared" si="61"/>
        <v/>
      </c>
      <c r="I689" s="559" t="str">
        <f t="shared" si="62"/>
        <v/>
      </c>
    </row>
    <row r="690" spans="2:9">
      <c r="B690" s="555" t="str">
        <f t="shared" si="57"/>
        <v/>
      </c>
      <c r="C690" s="556" t="str">
        <f t="shared" si="58"/>
        <v/>
      </c>
      <c r="D690" s="557" t="str">
        <f t="shared" si="59"/>
        <v/>
      </c>
      <c r="E690" s="560"/>
      <c r="F690" s="559"/>
      <c r="G690" s="559" t="str">
        <f t="shared" si="60"/>
        <v/>
      </c>
      <c r="H690" s="559" t="str">
        <f t="shared" si="61"/>
        <v/>
      </c>
      <c r="I690" s="559" t="str">
        <f t="shared" si="62"/>
        <v/>
      </c>
    </row>
    <row r="691" spans="2:9">
      <c r="B691" s="555" t="str">
        <f t="shared" si="57"/>
        <v/>
      </c>
      <c r="C691" s="556" t="str">
        <f t="shared" si="58"/>
        <v/>
      </c>
      <c r="D691" s="557" t="str">
        <f t="shared" si="59"/>
        <v/>
      </c>
      <c r="E691" s="560"/>
      <c r="F691" s="559"/>
      <c r="G691" s="559" t="str">
        <f t="shared" si="60"/>
        <v/>
      </c>
      <c r="H691" s="559" t="str">
        <f t="shared" si="61"/>
        <v/>
      </c>
      <c r="I691" s="559" t="str">
        <f t="shared" si="62"/>
        <v/>
      </c>
    </row>
    <row r="692" spans="2:9">
      <c r="B692" s="555" t="str">
        <f t="shared" si="57"/>
        <v/>
      </c>
      <c r="C692" s="556" t="str">
        <f t="shared" si="58"/>
        <v/>
      </c>
      <c r="D692" s="557" t="str">
        <f t="shared" si="59"/>
        <v/>
      </c>
      <c r="E692" s="560"/>
      <c r="F692" s="559"/>
      <c r="G692" s="559" t="str">
        <f t="shared" si="60"/>
        <v/>
      </c>
      <c r="H692" s="559" t="str">
        <f t="shared" si="61"/>
        <v/>
      </c>
      <c r="I692" s="559" t="str">
        <f t="shared" si="62"/>
        <v/>
      </c>
    </row>
    <row r="693" spans="2:9">
      <c r="B693" s="555" t="str">
        <f t="shared" si="57"/>
        <v/>
      </c>
      <c r="C693" s="556" t="str">
        <f t="shared" si="58"/>
        <v/>
      </c>
      <c r="D693" s="557" t="str">
        <f t="shared" si="59"/>
        <v/>
      </c>
      <c r="E693" s="560"/>
      <c r="F693" s="559"/>
      <c r="G693" s="559" t="str">
        <f t="shared" si="60"/>
        <v/>
      </c>
      <c r="H693" s="559" t="str">
        <f t="shared" si="61"/>
        <v/>
      </c>
      <c r="I693" s="559" t="str">
        <f t="shared" si="62"/>
        <v/>
      </c>
    </row>
    <row r="694" spans="2:9">
      <c r="B694" s="555" t="str">
        <f t="shared" si="57"/>
        <v/>
      </c>
      <c r="C694" s="556" t="str">
        <f t="shared" si="58"/>
        <v/>
      </c>
      <c r="D694" s="557" t="str">
        <f t="shared" si="59"/>
        <v/>
      </c>
      <c r="E694" s="560"/>
      <c r="F694" s="559"/>
      <c r="G694" s="559" t="str">
        <f t="shared" si="60"/>
        <v/>
      </c>
      <c r="H694" s="559" t="str">
        <f t="shared" si="61"/>
        <v/>
      </c>
      <c r="I694" s="559" t="str">
        <f t="shared" si="62"/>
        <v/>
      </c>
    </row>
    <row r="695" spans="2:9">
      <c r="B695" s="555" t="str">
        <f t="shared" si="57"/>
        <v/>
      </c>
      <c r="C695" s="556" t="str">
        <f t="shared" si="58"/>
        <v/>
      </c>
      <c r="D695" s="557" t="str">
        <f t="shared" si="59"/>
        <v/>
      </c>
      <c r="E695" s="560"/>
      <c r="F695" s="559"/>
      <c r="G695" s="559" t="str">
        <f t="shared" si="60"/>
        <v/>
      </c>
      <c r="H695" s="559" t="str">
        <f t="shared" si="61"/>
        <v/>
      </c>
      <c r="I695" s="559" t="str">
        <f t="shared" si="62"/>
        <v/>
      </c>
    </row>
    <row r="696" spans="2:9">
      <c r="B696" s="555" t="str">
        <f t="shared" si="57"/>
        <v/>
      </c>
      <c r="C696" s="556" t="str">
        <f t="shared" si="58"/>
        <v/>
      </c>
      <c r="D696" s="557" t="str">
        <f t="shared" si="59"/>
        <v/>
      </c>
      <c r="E696" s="560"/>
      <c r="F696" s="559"/>
      <c r="G696" s="559" t="str">
        <f t="shared" si="60"/>
        <v/>
      </c>
      <c r="H696" s="559" t="str">
        <f t="shared" si="61"/>
        <v/>
      </c>
      <c r="I696" s="559" t="str">
        <f t="shared" si="62"/>
        <v/>
      </c>
    </row>
    <row r="697" spans="2:9">
      <c r="B697" s="555" t="str">
        <f t="shared" si="57"/>
        <v/>
      </c>
      <c r="C697" s="556" t="str">
        <f t="shared" si="58"/>
        <v/>
      </c>
      <c r="D697" s="557" t="str">
        <f t="shared" si="59"/>
        <v/>
      </c>
      <c r="E697" s="560"/>
      <c r="F697" s="559"/>
      <c r="G697" s="559" t="str">
        <f t="shared" si="60"/>
        <v/>
      </c>
      <c r="H697" s="559" t="str">
        <f t="shared" si="61"/>
        <v/>
      </c>
      <c r="I697" s="559" t="str">
        <f t="shared" si="62"/>
        <v/>
      </c>
    </row>
    <row r="698" spans="2:9">
      <c r="B698" s="555" t="str">
        <f t="shared" si="57"/>
        <v/>
      </c>
      <c r="C698" s="556" t="str">
        <f t="shared" si="58"/>
        <v/>
      </c>
      <c r="D698" s="557" t="str">
        <f t="shared" si="59"/>
        <v/>
      </c>
      <c r="E698" s="560"/>
      <c r="F698" s="559"/>
      <c r="G698" s="559" t="str">
        <f t="shared" si="60"/>
        <v/>
      </c>
      <c r="H698" s="559" t="str">
        <f t="shared" si="61"/>
        <v/>
      </c>
      <c r="I698" s="559" t="str">
        <f t="shared" si="62"/>
        <v/>
      </c>
    </row>
    <row r="699" spans="2:9">
      <c r="B699" s="555" t="str">
        <f t="shared" si="57"/>
        <v/>
      </c>
      <c r="C699" s="556" t="str">
        <f t="shared" si="58"/>
        <v/>
      </c>
      <c r="D699" s="557" t="str">
        <f t="shared" si="59"/>
        <v/>
      </c>
      <c r="E699" s="560"/>
      <c r="F699" s="559"/>
      <c r="G699" s="559" t="str">
        <f t="shared" si="60"/>
        <v/>
      </c>
      <c r="H699" s="559" t="str">
        <f t="shared" si="61"/>
        <v/>
      </c>
      <c r="I699" s="559" t="str">
        <f t="shared" si="62"/>
        <v/>
      </c>
    </row>
    <row r="700" spans="2:9">
      <c r="B700" s="555" t="str">
        <f t="shared" si="57"/>
        <v/>
      </c>
      <c r="C700" s="556" t="str">
        <f t="shared" si="58"/>
        <v/>
      </c>
      <c r="D700" s="557" t="str">
        <f t="shared" si="59"/>
        <v/>
      </c>
      <c r="E700" s="560"/>
      <c r="F700" s="559"/>
      <c r="G700" s="559" t="str">
        <f t="shared" si="60"/>
        <v/>
      </c>
      <c r="H700" s="559" t="str">
        <f t="shared" si="61"/>
        <v/>
      </c>
      <c r="I700" s="559" t="str">
        <f t="shared" si="62"/>
        <v/>
      </c>
    </row>
    <row r="701" spans="2:9">
      <c r="B701" s="555" t="str">
        <f t="shared" ref="B701:B764" si="63">IF(I700="","",IF(roundOpt,IF(OR(B700&gt;=nper,ROUND(I700,2)&lt;=0),"",B700+1),IF(OR(B700&gt;=nper,I700&lt;=0),"",B700+1)))</f>
        <v/>
      </c>
      <c r="C701" s="556" t="str">
        <f t="shared" ref="C701:C764" si="64">IF(B701="","",IF(OR(periods_per_year=26,periods_per_year=52),IF(periods_per_year=26,IF(B701=1,fpdate,C700+14),IF(periods_per_year=52,IF(B701=1,fpdate,C700+7),"n/a")),IF(periods_per_year=24,DATE(YEAR(fpdate),MONTH(fpdate)+(B701-1)/2+IF(AND(DAY(fpdate)&gt;=15,MOD(B701,2)=0),1,0),IF(MOD(B701,2)=0,IF(DAY(fpdate)&gt;=15,DAY(fpdate)-14,DAY(fpdate)+14),DAY(fpdate))),IF(DAY(DATE(YEAR(fpdate),MONTH(fpdate)+(B701-1)*months_per_period,DAY(fpdate)))&lt;&gt;DAY(fpdate),DATE(YEAR(fpdate),MONTH(fpdate)+(B701-1)*months_per_period+1,0),DATE(YEAR(fpdate),MONTH(fpdate)+(B701-1)*months_per_period,DAY(fpdate))))))</f>
        <v/>
      </c>
      <c r="D701" s="557" t="str">
        <f t="shared" ref="D701:D764" si="65">IF(B701="","",IF(roundOpt,IF(OR(B701=nper,payment&gt;ROUND((1+rate)*I700,2)),ROUND((1+rate)*I700,2),payment),IF(OR(B701=nper,payment&gt;(1+rate)*I700),(1+rate)*I700,payment)))</f>
        <v/>
      </c>
      <c r="E701" s="560"/>
      <c r="F701" s="559"/>
      <c r="G701" s="559" t="str">
        <f t="shared" ref="G701:G764" si="66">IF(B701="","",IF(AND(B701=1,pmtType=1),0,IF(roundOpt,ROUND(rate*I700,2),rate*I700)))</f>
        <v/>
      </c>
      <c r="H701" s="559" t="str">
        <f t="shared" ref="H701:H764" si="67">IF(B701="","",D701-G701+E701)</f>
        <v/>
      </c>
      <c r="I701" s="559" t="str">
        <f t="shared" ref="I701:I764" si="68">IF(B701="","",I700-H701)</f>
        <v/>
      </c>
    </row>
    <row r="702" spans="2:9">
      <c r="B702" s="555" t="str">
        <f t="shared" si="63"/>
        <v/>
      </c>
      <c r="C702" s="556" t="str">
        <f t="shared" si="64"/>
        <v/>
      </c>
      <c r="D702" s="557" t="str">
        <f t="shared" si="65"/>
        <v/>
      </c>
      <c r="E702" s="560"/>
      <c r="F702" s="559"/>
      <c r="G702" s="559" t="str">
        <f t="shared" si="66"/>
        <v/>
      </c>
      <c r="H702" s="559" t="str">
        <f t="shared" si="67"/>
        <v/>
      </c>
      <c r="I702" s="559" t="str">
        <f t="shared" si="68"/>
        <v/>
      </c>
    </row>
    <row r="703" spans="2:9">
      <c r="B703" s="555" t="str">
        <f t="shared" si="63"/>
        <v/>
      </c>
      <c r="C703" s="556" t="str">
        <f t="shared" si="64"/>
        <v/>
      </c>
      <c r="D703" s="557" t="str">
        <f t="shared" si="65"/>
        <v/>
      </c>
      <c r="E703" s="560"/>
      <c r="F703" s="559"/>
      <c r="G703" s="559" t="str">
        <f t="shared" si="66"/>
        <v/>
      </c>
      <c r="H703" s="559" t="str">
        <f t="shared" si="67"/>
        <v/>
      </c>
      <c r="I703" s="559" t="str">
        <f t="shared" si="68"/>
        <v/>
      </c>
    </row>
    <row r="704" spans="2:9">
      <c r="B704" s="555" t="str">
        <f t="shared" si="63"/>
        <v/>
      </c>
      <c r="C704" s="556" t="str">
        <f t="shared" si="64"/>
        <v/>
      </c>
      <c r="D704" s="557" t="str">
        <f t="shared" si="65"/>
        <v/>
      </c>
      <c r="E704" s="560"/>
      <c r="F704" s="559"/>
      <c r="G704" s="559" t="str">
        <f t="shared" si="66"/>
        <v/>
      </c>
      <c r="H704" s="559" t="str">
        <f t="shared" si="67"/>
        <v/>
      </c>
      <c r="I704" s="559" t="str">
        <f t="shared" si="68"/>
        <v/>
      </c>
    </row>
    <row r="705" spans="2:9">
      <c r="B705" s="555" t="str">
        <f t="shared" si="63"/>
        <v/>
      </c>
      <c r="C705" s="556" t="str">
        <f t="shared" si="64"/>
        <v/>
      </c>
      <c r="D705" s="557" t="str">
        <f t="shared" si="65"/>
        <v/>
      </c>
      <c r="E705" s="560"/>
      <c r="F705" s="559"/>
      <c r="G705" s="559" t="str">
        <f t="shared" si="66"/>
        <v/>
      </c>
      <c r="H705" s="559" t="str">
        <f t="shared" si="67"/>
        <v/>
      </c>
      <c r="I705" s="559" t="str">
        <f t="shared" si="68"/>
        <v/>
      </c>
    </row>
    <row r="706" spans="2:9">
      <c r="B706" s="555" t="str">
        <f t="shared" si="63"/>
        <v/>
      </c>
      <c r="C706" s="556" t="str">
        <f t="shared" si="64"/>
        <v/>
      </c>
      <c r="D706" s="557" t="str">
        <f t="shared" si="65"/>
        <v/>
      </c>
      <c r="E706" s="560"/>
      <c r="F706" s="559"/>
      <c r="G706" s="559" t="str">
        <f t="shared" si="66"/>
        <v/>
      </c>
      <c r="H706" s="559" t="str">
        <f t="shared" si="67"/>
        <v/>
      </c>
      <c r="I706" s="559" t="str">
        <f t="shared" si="68"/>
        <v/>
      </c>
    </row>
    <row r="707" spans="2:9">
      <c r="B707" s="555" t="str">
        <f t="shared" si="63"/>
        <v/>
      </c>
      <c r="C707" s="556" t="str">
        <f t="shared" si="64"/>
        <v/>
      </c>
      <c r="D707" s="557" t="str">
        <f t="shared" si="65"/>
        <v/>
      </c>
      <c r="E707" s="560"/>
      <c r="F707" s="559"/>
      <c r="G707" s="559" t="str">
        <f t="shared" si="66"/>
        <v/>
      </c>
      <c r="H707" s="559" t="str">
        <f t="shared" si="67"/>
        <v/>
      </c>
      <c r="I707" s="559" t="str">
        <f t="shared" si="68"/>
        <v/>
      </c>
    </row>
    <row r="708" spans="2:9">
      <c r="B708" s="555" t="str">
        <f t="shared" si="63"/>
        <v/>
      </c>
      <c r="C708" s="556" t="str">
        <f t="shared" si="64"/>
        <v/>
      </c>
      <c r="D708" s="557" t="str">
        <f t="shared" si="65"/>
        <v/>
      </c>
      <c r="E708" s="560"/>
      <c r="F708" s="559"/>
      <c r="G708" s="559" t="str">
        <f t="shared" si="66"/>
        <v/>
      </c>
      <c r="H708" s="559" t="str">
        <f t="shared" si="67"/>
        <v/>
      </c>
      <c r="I708" s="559" t="str">
        <f t="shared" si="68"/>
        <v/>
      </c>
    </row>
    <row r="709" spans="2:9">
      <c r="B709" s="555" t="str">
        <f t="shared" si="63"/>
        <v/>
      </c>
      <c r="C709" s="556" t="str">
        <f t="shared" si="64"/>
        <v/>
      </c>
      <c r="D709" s="557" t="str">
        <f t="shared" si="65"/>
        <v/>
      </c>
      <c r="E709" s="560"/>
      <c r="F709" s="559"/>
      <c r="G709" s="559" t="str">
        <f t="shared" si="66"/>
        <v/>
      </c>
      <c r="H709" s="559" t="str">
        <f t="shared" si="67"/>
        <v/>
      </c>
      <c r="I709" s="559" t="str">
        <f t="shared" si="68"/>
        <v/>
      </c>
    </row>
    <row r="710" spans="2:9">
      <c r="B710" s="555" t="str">
        <f t="shared" si="63"/>
        <v/>
      </c>
      <c r="C710" s="556" t="str">
        <f t="shared" si="64"/>
        <v/>
      </c>
      <c r="D710" s="557" t="str">
        <f t="shared" si="65"/>
        <v/>
      </c>
      <c r="E710" s="560"/>
      <c r="F710" s="559"/>
      <c r="G710" s="559" t="str">
        <f t="shared" si="66"/>
        <v/>
      </c>
      <c r="H710" s="559" t="str">
        <f t="shared" si="67"/>
        <v/>
      </c>
      <c r="I710" s="559" t="str">
        <f t="shared" si="68"/>
        <v/>
      </c>
    </row>
    <row r="711" spans="2:9">
      <c r="B711" s="555" t="str">
        <f t="shared" si="63"/>
        <v/>
      </c>
      <c r="C711" s="556" t="str">
        <f t="shared" si="64"/>
        <v/>
      </c>
      <c r="D711" s="557" t="str">
        <f t="shared" si="65"/>
        <v/>
      </c>
      <c r="E711" s="560"/>
      <c r="F711" s="559"/>
      <c r="G711" s="559" t="str">
        <f t="shared" si="66"/>
        <v/>
      </c>
      <c r="H711" s="559" t="str">
        <f t="shared" si="67"/>
        <v/>
      </c>
      <c r="I711" s="559" t="str">
        <f t="shared" si="68"/>
        <v/>
      </c>
    </row>
    <row r="712" spans="2:9">
      <c r="B712" s="555" t="str">
        <f t="shared" si="63"/>
        <v/>
      </c>
      <c r="C712" s="556" t="str">
        <f t="shared" si="64"/>
        <v/>
      </c>
      <c r="D712" s="557" t="str">
        <f t="shared" si="65"/>
        <v/>
      </c>
      <c r="E712" s="560"/>
      <c r="F712" s="559"/>
      <c r="G712" s="559" t="str">
        <f t="shared" si="66"/>
        <v/>
      </c>
      <c r="H712" s="559" t="str">
        <f t="shared" si="67"/>
        <v/>
      </c>
      <c r="I712" s="559" t="str">
        <f t="shared" si="68"/>
        <v/>
      </c>
    </row>
    <row r="713" spans="2:9">
      <c r="B713" s="555" t="str">
        <f t="shared" si="63"/>
        <v/>
      </c>
      <c r="C713" s="556" t="str">
        <f t="shared" si="64"/>
        <v/>
      </c>
      <c r="D713" s="557" t="str">
        <f t="shared" si="65"/>
        <v/>
      </c>
      <c r="E713" s="560"/>
      <c r="F713" s="559"/>
      <c r="G713" s="559" t="str">
        <f t="shared" si="66"/>
        <v/>
      </c>
      <c r="H713" s="559" t="str">
        <f t="shared" si="67"/>
        <v/>
      </c>
      <c r="I713" s="559" t="str">
        <f t="shared" si="68"/>
        <v/>
      </c>
    </row>
    <row r="714" spans="2:9">
      <c r="B714" s="555" t="str">
        <f t="shared" si="63"/>
        <v/>
      </c>
      <c r="C714" s="556" t="str">
        <f t="shared" si="64"/>
        <v/>
      </c>
      <c r="D714" s="557" t="str">
        <f t="shared" si="65"/>
        <v/>
      </c>
      <c r="E714" s="560"/>
      <c r="F714" s="559"/>
      <c r="G714" s="559" t="str">
        <f t="shared" si="66"/>
        <v/>
      </c>
      <c r="H714" s="559" t="str">
        <f t="shared" si="67"/>
        <v/>
      </c>
      <c r="I714" s="559" t="str">
        <f t="shared" si="68"/>
        <v/>
      </c>
    </row>
    <row r="715" spans="2:9">
      <c r="B715" s="555" t="str">
        <f t="shared" si="63"/>
        <v/>
      </c>
      <c r="C715" s="556" t="str">
        <f t="shared" si="64"/>
        <v/>
      </c>
      <c r="D715" s="557" t="str">
        <f t="shared" si="65"/>
        <v/>
      </c>
      <c r="E715" s="560"/>
      <c r="F715" s="559"/>
      <c r="G715" s="559" t="str">
        <f t="shared" si="66"/>
        <v/>
      </c>
      <c r="H715" s="559" t="str">
        <f t="shared" si="67"/>
        <v/>
      </c>
      <c r="I715" s="559" t="str">
        <f t="shared" si="68"/>
        <v/>
      </c>
    </row>
    <row r="716" spans="2:9">
      <c r="B716" s="555" t="str">
        <f t="shared" si="63"/>
        <v/>
      </c>
      <c r="C716" s="556" t="str">
        <f t="shared" si="64"/>
        <v/>
      </c>
      <c r="D716" s="557" t="str">
        <f t="shared" si="65"/>
        <v/>
      </c>
      <c r="E716" s="560"/>
      <c r="F716" s="559"/>
      <c r="G716" s="559" t="str">
        <f t="shared" si="66"/>
        <v/>
      </c>
      <c r="H716" s="559" t="str">
        <f t="shared" si="67"/>
        <v/>
      </c>
      <c r="I716" s="559" t="str">
        <f t="shared" si="68"/>
        <v/>
      </c>
    </row>
    <row r="717" spans="2:9">
      <c r="B717" s="555" t="str">
        <f t="shared" si="63"/>
        <v/>
      </c>
      <c r="C717" s="556" t="str">
        <f t="shared" si="64"/>
        <v/>
      </c>
      <c r="D717" s="557" t="str">
        <f t="shared" si="65"/>
        <v/>
      </c>
      <c r="E717" s="560"/>
      <c r="F717" s="559"/>
      <c r="G717" s="559" t="str">
        <f t="shared" si="66"/>
        <v/>
      </c>
      <c r="H717" s="559" t="str">
        <f t="shared" si="67"/>
        <v/>
      </c>
      <c r="I717" s="559" t="str">
        <f t="shared" si="68"/>
        <v/>
      </c>
    </row>
    <row r="718" spans="2:9">
      <c r="B718" s="555" t="str">
        <f t="shared" si="63"/>
        <v/>
      </c>
      <c r="C718" s="556" t="str">
        <f t="shared" si="64"/>
        <v/>
      </c>
      <c r="D718" s="557" t="str">
        <f t="shared" si="65"/>
        <v/>
      </c>
      <c r="E718" s="560"/>
      <c r="F718" s="559"/>
      <c r="G718" s="559" t="str">
        <f t="shared" si="66"/>
        <v/>
      </c>
      <c r="H718" s="559" t="str">
        <f t="shared" si="67"/>
        <v/>
      </c>
      <c r="I718" s="559" t="str">
        <f t="shared" si="68"/>
        <v/>
      </c>
    </row>
    <row r="719" spans="2:9">
      <c r="B719" s="555" t="str">
        <f t="shared" si="63"/>
        <v/>
      </c>
      <c r="C719" s="556" t="str">
        <f t="shared" si="64"/>
        <v/>
      </c>
      <c r="D719" s="557" t="str">
        <f t="shared" si="65"/>
        <v/>
      </c>
      <c r="E719" s="560"/>
      <c r="F719" s="559"/>
      <c r="G719" s="559" t="str">
        <f t="shared" si="66"/>
        <v/>
      </c>
      <c r="H719" s="559" t="str">
        <f t="shared" si="67"/>
        <v/>
      </c>
      <c r="I719" s="559" t="str">
        <f t="shared" si="68"/>
        <v/>
      </c>
    </row>
    <row r="720" spans="2:9">
      <c r="B720" s="555" t="str">
        <f t="shared" si="63"/>
        <v/>
      </c>
      <c r="C720" s="556" t="str">
        <f t="shared" si="64"/>
        <v/>
      </c>
      <c r="D720" s="557" t="str">
        <f t="shared" si="65"/>
        <v/>
      </c>
      <c r="E720" s="560"/>
      <c r="F720" s="559"/>
      <c r="G720" s="559" t="str">
        <f t="shared" si="66"/>
        <v/>
      </c>
      <c r="H720" s="559" t="str">
        <f t="shared" si="67"/>
        <v/>
      </c>
      <c r="I720" s="559" t="str">
        <f t="shared" si="68"/>
        <v/>
      </c>
    </row>
    <row r="721" spans="2:9">
      <c r="B721" s="555" t="str">
        <f t="shared" si="63"/>
        <v/>
      </c>
      <c r="C721" s="556" t="str">
        <f t="shared" si="64"/>
        <v/>
      </c>
      <c r="D721" s="557" t="str">
        <f t="shared" si="65"/>
        <v/>
      </c>
      <c r="E721" s="560"/>
      <c r="F721" s="559"/>
      <c r="G721" s="559" t="str">
        <f t="shared" si="66"/>
        <v/>
      </c>
      <c r="H721" s="559" t="str">
        <f t="shared" si="67"/>
        <v/>
      </c>
      <c r="I721" s="559" t="str">
        <f t="shared" si="68"/>
        <v/>
      </c>
    </row>
    <row r="722" spans="2:9">
      <c r="B722" s="555" t="str">
        <f t="shared" si="63"/>
        <v/>
      </c>
      <c r="C722" s="556" t="str">
        <f t="shared" si="64"/>
        <v/>
      </c>
      <c r="D722" s="557" t="str">
        <f t="shared" si="65"/>
        <v/>
      </c>
      <c r="E722" s="560"/>
      <c r="F722" s="559"/>
      <c r="G722" s="559" t="str">
        <f t="shared" si="66"/>
        <v/>
      </c>
      <c r="H722" s="559" t="str">
        <f t="shared" si="67"/>
        <v/>
      </c>
      <c r="I722" s="559" t="str">
        <f t="shared" si="68"/>
        <v/>
      </c>
    </row>
    <row r="723" spans="2:9">
      <c r="B723" s="555" t="str">
        <f t="shared" si="63"/>
        <v/>
      </c>
      <c r="C723" s="556" t="str">
        <f t="shared" si="64"/>
        <v/>
      </c>
      <c r="D723" s="557" t="str">
        <f t="shared" si="65"/>
        <v/>
      </c>
      <c r="E723" s="560"/>
      <c r="F723" s="559"/>
      <c r="G723" s="559" t="str">
        <f t="shared" si="66"/>
        <v/>
      </c>
      <c r="H723" s="559" t="str">
        <f t="shared" si="67"/>
        <v/>
      </c>
      <c r="I723" s="559" t="str">
        <f t="shared" si="68"/>
        <v/>
      </c>
    </row>
    <row r="724" spans="2:9">
      <c r="B724" s="555" t="str">
        <f t="shared" si="63"/>
        <v/>
      </c>
      <c r="C724" s="556" t="str">
        <f t="shared" si="64"/>
        <v/>
      </c>
      <c r="D724" s="557" t="str">
        <f t="shared" si="65"/>
        <v/>
      </c>
      <c r="E724" s="560"/>
      <c r="F724" s="559"/>
      <c r="G724" s="559" t="str">
        <f t="shared" si="66"/>
        <v/>
      </c>
      <c r="H724" s="559" t="str">
        <f t="shared" si="67"/>
        <v/>
      </c>
      <c r="I724" s="559" t="str">
        <f t="shared" si="68"/>
        <v/>
      </c>
    </row>
    <row r="725" spans="2:9">
      <c r="B725" s="555" t="str">
        <f t="shared" si="63"/>
        <v/>
      </c>
      <c r="C725" s="556" t="str">
        <f t="shared" si="64"/>
        <v/>
      </c>
      <c r="D725" s="557" t="str">
        <f t="shared" si="65"/>
        <v/>
      </c>
      <c r="E725" s="560"/>
      <c r="F725" s="559"/>
      <c r="G725" s="559" t="str">
        <f t="shared" si="66"/>
        <v/>
      </c>
      <c r="H725" s="559" t="str">
        <f t="shared" si="67"/>
        <v/>
      </c>
      <c r="I725" s="559" t="str">
        <f t="shared" si="68"/>
        <v/>
      </c>
    </row>
    <row r="726" spans="2:9">
      <c r="B726" s="555" t="str">
        <f t="shared" si="63"/>
        <v/>
      </c>
      <c r="C726" s="556" t="str">
        <f t="shared" si="64"/>
        <v/>
      </c>
      <c r="D726" s="557" t="str">
        <f t="shared" si="65"/>
        <v/>
      </c>
      <c r="E726" s="560"/>
      <c r="F726" s="559"/>
      <c r="G726" s="559" t="str">
        <f t="shared" si="66"/>
        <v/>
      </c>
      <c r="H726" s="559" t="str">
        <f t="shared" si="67"/>
        <v/>
      </c>
      <c r="I726" s="559" t="str">
        <f t="shared" si="68"/>
        <v/>
      </c>
    </row>
    <row r="727" spans="2:9">
      <c r="B727" s="555" t="str">
        <f t="shared" si="63"/>
        <v/>
      </c>
      <c r="C727" s="556" t="str">
        <f t="shared" si="64"/>
        <v/>
      </c>
      <c r="D727" s="557" t="str">
        <f t="shared" si="65"/>
        <v/>
      </c>
      <c r="E727" s="560"/>
      <c r="F727" s="559"/>
      <c r="G727" s="559" t="str">
        <f t="shared" si="66"/>
        <v/>
      </c>
      <c r="H727" s="559" t="str">
        <f t="shared" si="67"/>
        <v/>
      </c>
      <c r="I727" s="559" t="str">
        <f t="shared" si="68"/>
        <v/>
      </c>
    </row>
    <row r="728" spans="2:9">
      <c r="B728" s="555" t="str">
        <f t="shared" si="63"/>
        <v/>
      </c>
      <c r="C728" s="556" t="str">
        <f t="shared" si="64"/>
        <v/>
      </c>
      <c r="D728" s="557" t="str">
        <f t="shared" si="65"/>
        <v/>
      </c>
      <c r="E728" s="560"/>
      <c r="F728" s="559"/>
      <c r="G728" s="559" t="str">
        <f t="shared" si="66"/>
        <v/>
      </c>
      <c r="H728" s="559" t="str">
        <f t="shared" si="67"/>
        <v/>
      </c>
      <c r="I728" s="559" t="str">
        <f t="shared" si="68"/>
        <v/>
      </c>
    </row>
    <row r="729" spans="2:9">
      <c r="B729" s="555" t="str">
        <f t="shared" si="63"/>
        <v/>
      </c>
      <c r="C729" s="556" t="str">
        <f t="shared" si="64"/>
        <v/>
      </c>
      <c r="D729" s="557" t="str">
        <f t="shared" si="65"/>
        <v/>
      </c>
      <c r="E729" s="560"/>
      <c r="F729" s="559"/>
      <c r="G729" s="559" t="str">
        <f t="shared" si="66"/>
        <v/>
      </c>
      <c r="H729" s="559" t="str">
        <f t="shared" si="67"/>
        <v/>
      </c>
      <c r="I729" s="559" t="str">
        <f t="shared" si="68"/>
        <v/>
      </c>
    </row>
    <row r="730" spans="2:9">
      <c r="B730" s="555" t="str">
        <f t="shared" si="63"/>
        <v/>
      </c>
      <c r="C730" s="556" t="str">
        <f t="shared" si="64"/>
        <v/>
      </c>
      <c r="D730" s="557" t="str">
        <f t="shared" si="65"/>
        <v/>
      </c>
      <c r="E730" s="560"/>
      <c r="F730" s="559"/>
      <c r="G730" s="559" t="str">
        <f t="shared" si="66"/>
        <v/>
      </c>
      <c r="H730" s="559" t="str">
        <f t="shared" si="67"/>
        <v/>
      </c>
      <c r="I730" s="559" t="str">
        <f t="shared" si="68"/>
        <v/>
      </c>
    </row>
    <row r="731" spans="2:9">
      <c r="B731" s="555" t="str">
        <f t="shared" si="63"/>
        <v/>
      </c>
      <c r="C731" s="556" t="str">
        <f t="shared" si="64"/>
        <v/>
      </c>
      <c r="D731" s="557" t="str">
        <f t="shared" si="65"/>
        <v/>
      </c>
      <c r="E731" s="560"/>
      <c r="F731" s="559"/>
      <c r="G731" s="559" t="str">
        <f t="shared" si="66"/>
        <v/>
      </c>
      <c r="H731" s="559" t="str">
        <f t="shared" si="67"/>
        <v/>
      </c>
      <c r="I731" s="559" t="str">
        <f t="shared" si="68"/>
        <v/>
      </c>
    </row>
    <row r="732" spans="2:9">
      <c r="B732" s="555" t="str">
        <f t="shared" si="63"/>
        <v/>
      </c>
      <c r="C732" s="556" t="str">
        <f t="shared" si="64"/>
        <v/>
      </c>
      <c r="D732" s="557" t="str">
        <f t="shared" si="65"/>
        <v/>
      </c>
      <c r="E732" s="560"/>
      <c r="F732" s="559"/>
      <c r="G732" s="559" t="str">
        <f t="shared" si="66"/>
        <v/>
      </c>
      <c r="H732" s="559" t="str">
        <f t="shared" si="67"/>
        <v/>
      </c>
      <c r="I732" s="559" t="str">
        <f t="shared" si="68"/>
        <v/>
      </c>
    </row>
    <row r="733" spans="2:9">
      <c r="B733" s="555" t="str">
        <f t="shared" si="63"/>
        <v/>
      </c>
      <c r="C733" s="556" t="str">
        <f t="shared" si="64"/>
        <v/>
      </c>
      <c r="D733" s="557" t="str">
        <f t="shared" si="65"/>
        <v/>
      </c>
      <c r="E733" s="560"/>
      <c r="F733" s="559"/>
      <c r="G733" s="559" t="str">
        <f t="shared" si="66"/>
        <v/>
      </c>
      <c r="H733" s="559" t="str">
        <f t="shared" si="67"/>
        <v/>
      </c>
      <c r="I733" s="559" t="str">
        <f t="shared" si="68"/>
        <v/>
      </c>
    </row>
    <row r="734" spans="2:9">
      <c r="B734" s="555" t="str">
        <f t="shared" si="63"/>
        <v/>
      </c>
      <c r="C734" s="556" t="str">
        <f t="shared" si="64"/>
        <v/>
      </c>
      <c r="D734" s="557" t="str">
        <f t="shared" si="65"/>
        <v/>
      </c>
      <c r="E734" s="560"/>
      <c r="F734" s="559"/>
      <c r="G734" s="559" t="str">
        <f t="shared" si="66"/>
        <v/>
      </c>
      <c r="H734" s="559" t="str">
        <f t="shared" si="67"/>
        <v/>
      </c>
      <c r="I734" s="559" t="str">
        <f t="shared" si="68"/>
        <v/>
      </c>
    </row>
    <row r="735" spans="2:9">
      <c r="B735" s="555" t="str">
        <f t="shared" si="63"/>
        <v/>
      </c>
      <c r="C735" s="556" t="str">
        <f t="shared" si="64"/>
        <v/>
      </c>
      <c r="D735" s="557" t="str">
        <f t="shared" si="65"/>
        <v/>
      </c>
      <c r="E735" s="560"/>
      <c r="F735" s="559"/>
      <c r="G735" s="559" t="str">
        <f t="shared" si="66"/>
        <v/>
      </c>
      <c r="H735" s="559" t="str">
        <f t="shared" si="67"/>
        <v/>
      </c>
      <c r="I735" s="559" t="str">
        <f t="shared" si="68"/>
        <v/>
      </c>
    </row>
    <row r="736" spans="2:9">
      <c r="B736" s="555" t="str">
        <f t="shared" si="63"/>
        <v/>
      </c>
      <c r="C736" s="556" t="str">
        <f t="shared" si="64"/>
        <v/>
      </c>
      <c r="D736" s="557" t="str">
        <f t="shared" si="65"/>
        <v/>
      </c>
      <c r="E736" s="560"/>
      <c r="F736" s="559"/>
      <c r="G736" s="559" t="str">
        <f t="shared" si="66"/>
        <v/>
      </c>
      <c r="H736" s="559" t="str">
        <f t="shared" si="67"/>
        <v/>
      </c>
      <c r="I736" s="559" t="str">
        <f t="shared" si="68"/>
        <v/>
      </c>
    </row>
    <row r="737" spans="2:9">
      <c r="B737" s="555" t="str">
        <f t="shared" si="63"/>
        <v/>
      </c>
      <c r="C737" s="556" t="str">
        <f t="shared" si="64"/>
        <v/>
      </c>
      <c r="D737" s="557" t="str">
        <f t="shared" si="65"/>
        <v/>
      </c>
      <c r="E737" s="560"/>
      <c r="F737" s="559"/>
      <c r="G737" s="559" t="str">
        <f t="shared" si="66"/>
        <v/>
      </c>
      <c r="H737" s="559" t="str">
        <f t="shared" si="67"/>
        <v/>
      </c>
      <c r="I737" s="559" t="str">
        <f t="shared" si="68"/>
        <v/>
      </c>
    </row>
    <row r="738" spans="2:9">
      <c r="B738" s="555" t="str">
        <f t="shared" si="63"/>
        <v/>
      </c>
      <c r="C738" s="556" t="str">
        <f t="shared" si="64"/>
        <v/>
      </c>
      <c r="D738" s="557" t="str">
        <f t="shared" si="65"/>
        <v/>
      </c>
      <c r="E738" s="560"/>
      <c r="F738" s="559"/>
      <c r="G738" s="559" t="str">
        <f t="shared" si="66"/>
        <v/>
      </c>
      <c r="H738" s="559" t="str">
        <f t="shared" si="67"/>
        <v/>
      </c>
      <c r="I738" s="559" t="str">
        <f t="shared" si="68"/>
        <v/>
      </c>
    </row>
    <row r="739" spans="2:9">
      <c r="B739" s="555" t="str">
        <f t="shared" si="63"/>
        <v/>
      </c>
      <c r="C739" s="556" t="str">
        <f t="shared" si="64"/>
        <v/>
      </c>
      <c r="D739" s="557" t="str">
        <f t="shared" si="65"/>
        <v/>
      </c>
      <c r="E739" s="560"/>
      <c r="F739" s="559"/>
      <c r="G739" s="559" t="str">
        <f t="shared" si="66"/>
        <v/>
      </c>
      <c r="H739" s="559" t="str">
        <f t="shared" si="67"/>
        <v/>
      </c>
      <c r="I739" s="559" t="str">
        <f t="shared" si="68"/>
        <v/>
      </c>
    </row>
    <row r="740" spans="2:9">
      <c r="B740" s="555" t="str">
        <f t="shared" si="63"/>
        <v/>
      </c>
      <c r="C740" s="556" t="str">
        <f t="shared" si="64"/>
        <v/>
      </c>
      <c r="D740" s="557" t="str">
        <f t="shared" si="65"/>
        <v/>
      </c>
      <c r="E740" s="560"/>
      <c r="F740" s="559"/>
      <c r="G740" s="559" t="str">
        <f t="shared" si="66"/>
        <v/>
      </c>
      <c r="H740" s="559" t="str">
        <f t="shared" si="67"/>
        <v/>
      </c>
      <c r="I740" s="559" t="str">
        <f t="shared" si="68"/>
        <v/>
      </c>
    </row>
    <row r="741" spans="2:9">
      <c r="B741" s="555" t="str">
        <f t="shared" si="63"/>
        <v/>
      </c>
      <c r="C741" s="556" t="str">
        <f t="shared" si="64"/>
        <v/>
      </c>
      <c r="D741" s="557" t="str">
        <f t="shared" si="65"/>
        <v/>
      </c>
      <c r="E741" s="560"/>
      <c r="F741" s="559"/>
      <c r="G741" s="559" t="str">
        <f t="shared" si="66"/>
        <v/>
      </c>
      <c r="H741" s="559" t="str">
        <f t="shared" si="67"/>
        <v/>
      </c>
      <c r="I741" s="559" t="str">
        <f t="shared" si="68"/>
        <v/>
      </c>
    </row>
    <row r="742" spans="2:9">
      <c r="B742" s="555" t="str">
        <f t="shared" si="63"/>
        <v/>
      </c>
      <c r="C742" s="556" t="str">
        <f t="shared" si="64"/>
        <v/>
      </c>
      <c r="D742" s="557" t="str">
        <f t="shared" si="65"/>
        <v/>
      </c>
      <c r="E742" s="560"/>
      <c r="F742" s="559"/>
      <c r="G742" s="559" t="str">
        <f t="shared" si="66"/>
        <v/>
      </c>
      <c r="H742" s="559" t="str">
        <f t="shared" si="67"/>
        <v/>
      </c>
      <c r="I742" s="559" t="str">
        <f t="shared" si="68"/>
        <v/>
      </c>
    </row>
    <row r="743" spans="2:9">
      <c r="B743" s="555" t="str">
        <f t="shared" si="63"/>
        <v/>
      </c>
      <c r="C743" s="556" t="str">
        <f t="shared" si="64"/>
        <v/>
      </c>
      <c r="D743" s="557" t="str">
        <f t="shared" si="65"/>
        <v/>
      </c>
      <c r="E743" s="560"/>
      <c r="F743" s="559"/>
      <c r="G743" s="559" t="str">
        <f t="shared" si="66"/>
        <v/>
      </c>
      <c r="H743" s="559" t="str">
        <f t="shared" si="67"/>
        <v/>
      </c>
      <c r="I743" s="559" t="str">
        <f t="shared" si="68"/>
        <v/>
      </c>
    </row>
    <row r="744" spans="2:9">
      <c r="B744" s="555" t="str">
        <f t="shared" si="63"/>
        <v/>
      </c>
      <c r="C744" s="556" t="str">
        <f t="shared" si="64"/>
        <v/>
      </c>
      <c r="D744" s="557" t="str">
        <f t="shared" si="65"/>
        <v/>
      </c>
      <c r="E744" s="560"/>
      <c r="F744" s="559"/>
      <c r="G744" s="559" t="str">
        <f t="shared" si="66"/>
        <v/>
      </c>
      <c r="H744" s="559" t="str">
        <f t="shared" si="67"/>
        <v/>
      </c>
      <c r="I744" s="559" t="str">
        <f t="shared" si="68"/>
        <v/>
      </c>
    </row>
    <row r="745" spans="2:9">
      <c r="B745" s="555" t="str">
        <f t="shared" si="63"/>
        <v/>
      </c>
      <c r="C745" s="556" t="str">
        <f t="shared" si="64"/>
        <v/>
      </c>
      <c r="D745" s="557" t="str">
        <f t="shared" si="65"/>
        <v/>
      </c>
      <c r="E745" s="560"/>
      <c r="F745" s="559"/>
      <c r="G745" s="559" t="str">
        <f t="shared" si="66"/>
        <v/>
      </c>
      <c r="H745" s="559" t="str">
        <f t="shared" si="67"/>
        <v/>
      </c>
      <c r="I745" s="559" t="str">
        <f t="shared" si="68"/>
        <v/>
      </c>
    </row>
    <row r="746" spans="2:9">
      <c r="B746" s="555" t="str">
        <f t="shared" si="63"/>
        <v/>
      </c>
      <c r="C746" s="556" t="str">
        <f t="shared" si="64"/>
        <v/>
      </c>
      <c r="D746" s="557" t="str">
        <f t="shared" si="65"/>
        <v/>
      </c>
      <c r="E746" s="560"/>
      <c r="F746" s="559"/>
      <c r="G746" s="559" t="str">
        <f t="shared" si="66"/>
        <v/>
      </c>
      <c r="H746" s="559" t="str">
        <f t="shared" si="67"/>
        <v/>
      </c>
      <c r="I746" s="559" t="str">
        <f t="shared" si="68"/>
        <v/>
      </c>
    </row>
    <row r="747" spans="2:9">
      <c r="B747" s="555" t="str">
        <f t="shared" si="63"/>
        <v/>
      </c>
      <c r="C747" s="556" t="str">
        <f t="shared" si="64"/>
        <v/>
      </c>
      <c r="D747" s="557" t="str">
        <f t="shared" si="65"/>
        <v/>
      </c>
      <c r="E747" s="560"/>
      <c r="F747" s="559"/>
      <c r="G747" s="559" t="str">
        <f t="shared" si="66"/>
        <v/>
      </c>
      <c r="H747" s="559" t="str">
        <f t="shared" si="67"/>
        <v/>
      </c>
      <c r="I747" s="559" t="str">
        <f t="shared" si="68"/>
        <v/>
      </c>
    </row>
    <row r="748" spans="2:9">
      <c r="B748" s="555" t="str">
        <f t="shared" si="63"/>
        <v/>
      </c>
      <c r="C748" s="556" t="str">
        <f t="shared" si="64"/>
        <v/>
      </c>
      <c r="D748" s="557" t="str">
        <f t="shared" si="65"/>
        <v/>
      </c>
      <c r="E748" s="560"/>
      <c r="F748" s="559"/>
      <c r="G748" s="559" t="str">
        <f t="shared" si="66"/>
        <v/>
      </c>
      <c r="H748" s="559" t="str">
        <f t="shared" si="67"/>
        <v/>
      </c>
      <c r="I748" s="559" t="str">
        <f t="shared" si="68"/>
        <v/>
      </c>
    </row>
    <row r="749" spans="2:9">
      <c r="B749" s="555" t="str">
        <f t="shared" si="63"/>
        <v/>
      </c>
      <c r="C749" s="556" t="str">
        <f t="shared" si="64"/>
        <v/>
      </c>
      <c r="D749" s="557" t="str">
        <f t="shared" si="65"/>
        <v/>
      </c>
      <c r="E749" s="560"/>
      <c r="F749" s="559"/>
      <c r="G749" s="559" t="str">
        <f t="shared" si="66"/>
        <v/>
      </c>
      <c r="H749" s="559" t="str">
        <f t="shared" si="67"/>
        <v/>
      </c>
      <c r="I749" s="559" t="str">
        <f t="shared" si="68"/>
        <v/>
      </c>
    </row>
    <row r="750" spans="2:9">
      <c r="B750" s="555" t="str">
        <f t="shared" si="63"/>
        <v/>
      </c>
      <c r="C750" s="556" t="str">
        <f t="shared" si="64"/>
        <v/>
      </c>
      <c r="D750" s="557" t="str">
        <f t="shared" si="65"/>
        <v/>
      </c>
      <c r="E750" s="560"/>
      <c r="F750" s="559"/>
      <c r="G750" s="559" t="str">
        <f t="shared" si="66"/>
        <v/>
      </c>
      <c r="H750" s="559" t="str">
        <f t="shared" si="67"/>
        <v/>
      </c>
      <c r="I750" s="559" t="str">
        <f t="shared" si="68"/>
        <v/>
      </c>
    </row>
    <row r="751" spans="2:9">
      <c r="B751" s="555" t="str">
        <f t="shared" si="63"/>
        <v/>
      </c>
      <c r="C751" s="556" t="str">
        <f t="shared" si="64"/>
        <v/>
      </c>
      <c r="D751" s="557" t="str">
        <f t="shared" si="65"/>
        <v/>
      </c>
      <c r="E751" s="560"/>
      <c r="F751" s="559"/>
      <c r="G751" s="559" t="str">
        <f t="shared" si="66"/>
        <v/>
      </c>
      <c r="H751" s="559" t="str">
        <f t="shared" si="67"/>
        <v/>
      </c>
      <c r="I751" s="559" t="str">
        <f t="shared" si="68"/>
        <v/>
      </c>
    </row>
    <row r="752" spans="2:9">
      <c r="B752" s="555" t="str">
        <f t="shared" si="63"/>
        <v/>
      </c>
      <c r="C752" s="556" t="str">
        <f t="shared" si="64"/>
        <v/>
      </c>
      <c r="D752" s="557" t="str">
        <f t="shared" si="65"/>
        <v/>
      </c>
      <c r="E752" s="560"/>
      <c r="F752" s="559"/>
      <c r="G752" s="559" t="str">
        <f t="shared" si="66"/>
        <v/>
      </c>
      <c r="H752" s="559" t="str">
        <f t="shared" si="67"/>
        <v/>
      </c>
      <c r="I752" s="559" t="str">
        <f t="shared" si="68"/>
        <v/>
      </c>
    </row>
    <row r="753" spans="2:9">
      <c r="B753" s="555" t="str">
        <f t="shared" si="63"/>
        <v/>
      </c>
      <c r="C753" s="556" t="str">
        <f t="shared" si="64"/>
        <v/>
      </c>
      <c r="D753" s="557" t="str">
        <f t="shared" si="65"/>
        <v/>
      </c>
      <c r="E753" s="560"/>
      <c r="F753" s="559"/>
      <c r="G753" s="559" t="str">
        <f t="shared" si="66"/>
        <v/>
      </c>
      <c r="H753" s="559" t="str">
        <f t="shared" si="67"/>
        <v/>
      </c>
      <c r="I753" s="559" t="str">
        <f t="shared" si="68"/>
        <v/>
      </c>
    </row>
    <row r="754" spans="2:9">
      <c r="B754" s="555" t="str">
        <f t="shared" si="63"/>
        <v/>
      </c>
      <c r="C754" s="556" t="str">
        <f t="shared" si="64"/>
        <v/>
      </c>
      <c r="D754" s="557" t="str">
        <f t="shared" si="65"/>
        <v/>
      </c>
      <c r="E754" s="560"/>
      <c r="F754" s="559"/>
      <c r="G754" s="559" t="str">
        <f t="shared" si="66"/>
        <v/>
      </c>
      <c r="H754" s="559" t="str">
        <f t="shared" si="67"/>
        <v/>
      </c>
      <c r="I754" s="559" t="str">
        <f t="shared" si="68"/>
        <v/>
      </c>
    </row>
    <row r="755" spans="2:9">
      <c r="B755" s="555" t="str">
        <f t="shared" si="63"/>
        <v/>
      </c>
      <c r="C755" s="556" t="str">
        <f t="shared" si="64"/>
        <v/>
      </c>
      <c r="D755" s="557" t="str">
        <f t="shared" si="65"/>
        <v/>
      </c>
      <c r="E755" s="560"/>
      <c r="F755" s="559"/>
      <c r="G755" s="559" t="str">
        <f t="shared" si="66"/>
        <v/>
      </c>
      <c r="H755" s="559" t="str">
        <f t="shared" si="67"/>
        <v/>
      </c>
      <c r="I755" s="559" t="str">
        <f t="shared" si="68"/>
        <v/>
      </c>
    </row>
    <row r="756" spans="2:9">
      <c r="B756" s="555" t="str">
        <f t="shared" si="63"/>
        <v/>
      </c>
      <c r="C756" s="556" t="str">
        <f t="shared" si="64"/>
        <v/>
      </c>
      <c r="D756" s="557" t="str">
        <f t="shared" si="65"/>
        <v/>
      </c>
      <c r="E756" s="560"/>
      <c r="F756" s="559"/>
      <c r="G756" s="559" t="str">
        <f t="shared" si="66"/>
        <v/>
      </c>
      <c r="H756" s="559" t="str">
        <f t="shared" si="67"/>
        <v/>
      </c>
      <c r="I756" s="559" t="str">
        <f t="shared" si="68"/>
        <v/>
      </c>
    </row>
    <row r="757" spans="2:9">
      <c r="B757" s="555" t="str">
        <f t="shared" si="63"/>
        <v/>
      </c>
      <c r="C757" s="556" t="str">
        <f t="shared" si="64"/>
        <v/>
      </c>
      <c r="D757" s="557" t="str">
        <f t="shared" si="65"/>
        <v/>
      </c>
      <c r="E757" s="560"/>
      <c r="F757" s="559"/>
      <c r="G757" s="559" t="str">
        <f t="shared" si="66"/>
        <v/>
      </c>
      <c r="H757" s="559" t="str">
        <f t="shared" si="67"/>
        <v/>
      </c>
      <c r="I757" s="559" t="str">
        <f t="shared" si="68"/>
        <v/>
      </c>
    </row>
    <row r="758" spans="2:9">
      <c r="B758" s="555" t="str">
        <f t="shared" si="63"/>
        <v/>
      </c>
      <c r="C758" s="556" t="str">
        <f t="shared" si="64"/>
        <v/>
      </c>
      <c r="D758" s="557" t="str">
        <f t="shared" si="65"/>
        <v/>
      </c>
      <c r="E758" s="560"/>
      <c r="F758" s="559"/>
      <c r="G758" s="559" t="str">
        <f t="shared" si="66"/>
        <v/>
      </c>
      <c r="H758" s="559" t="str">
        <f t="shared" si="67"/>
        <v/>
      </c>
      <c r="I758" s="559" t="str">
        <f t="shared" si="68"/>
        <v/>
      </c>
    </row>
    <row r="759" spans="2:9">
      <c r="B759" s="555" t="str">
        <f t="shared" si="63"/>
        <v/>
      </c>
      <c r="C759" s="556" t="str">
        <f t="shared" si="64"/>
        <v/>
      </c>
      <c r="D759" s="557" t="str">
        <f t="shared" si="65"/>
        <v/>
      </c>
      <c r="E759" s="560"/>
      <c r="F759" s="559"/>
      <c r="G759" s="559" t="str">
        <f t="shared" si="66"/>
        <v/>
      </c>
      <c r="H759" s="559" t="str">
        <f t="shared" si="67"/>
        <v/>
      </c>
      <c r="I759" s="559" t="str">
        <f t="shared" si="68"/>
        <v/>
      </c>
    </row>
    <row r="760" spans="2:9">
      <c r="B760" s="555" t="str">
        <f t="shared" si="63"/>
        <v/>
      </c>
      <c r="C760" s="556" t="str">
        <f t="shared" si="64"/>
        <v/>
      </c>
      <c r="D760" s="557" t="str">
        <f t="shared" si="65"/>
        <v/>
      </c>
      <c r="E760" s="560"/>
      <c r="F760" s="559"/>
      <c r="G760" s="559" t="str">
        <f t="shared" si="66"/>
        <v/>
      </c>
      <c r="H760" s="559" t="str">
        <f t="shared" si="67"/>
        <v/>
      </c>
      <c r="I760" s="559" t="str">
        <f t="shared" si="68"/>
        <v/>
      </c>
    </row>
    <row r="761" spans="2:9">
      <c r="B761" s="555" t="str">
        <f t="shared" si="63"/>
        <v/>
      </c>
      <c r="C761" s="556" t="str">
        <f t="shared" si="64"/>
        <v/>
      </c>
      <c r="D761" s="557" t="str">
        <f t="shared" si="65"/>
        <v/>
      </c>
      <c r="E761" s="560"/>
      <c r="F761" s="559"/>
      <c r="G761" s="559" t="str">
        <f t="shared" si="66"/>
        <v/>
      </c>
      <c r="H761" s="559" t="str">
        <f t="shared" si="67"/>
        <v/>
      </c>
      <c r="I761" s="559" t="str">
        <f t="shared" si="68"/>
        <v/>
      </c>
    </row>
    <row r="762" spans="2:9">
      <c r="B762" s="555" t="str">
        <f t="shared" si="63"/>
        <v/>
      </c>
      <c r="C762" s="556" t="str">
        <f t="shared" si="64"/>
        <v/>
      </c>
      <c r="D762" s="557" t="str">
        <f t="shared" si="65"/>
        <v/>
      </c>
      <c r="E762" s="560"/>
      <c r="F762" s="559"/>
      <c r="G762" s="559" t="str">
        <f t="shared" si="66"/>
        <v/>
      </c>
      <c r="H762" s="559" t="str">
        <f t="shared" si="67"/>
        <v/>
      </c>
      <c r="I762" s="559" t="str">
        <f t="shared" si="68"/>
        <v/>
      </c>
    </row>
    <row r="763" spans="2:9">
      <c r="B763" s="555" t="str">
        <f t="shared" si="63"/>
        <v/>
      </c>
      <c r="C763" s="556" t="str">
        <f t="shared" si="64"/>
        <v/>
      </c>
      <c r="D763" s="557" t="str">
        <f t="shared" si="65"/>
        <v/>
      </c>
      <c r="E763" s="560"/>
      <c r="F763" s="559"/>
      <c r="G763" s="559" t="str">
        <f t="shared" si="66"/>
        <v/>
      </c>
      <c r="H763" s="559" t="str">
        <f t="shared" si="67"/>
        <v/>
      </c>
      <c r="I763" s="559" t="str">
        <f t="shared" si="68"/>
        <v/>
      </c>
    </row>
    <row r="764" spans="2:9">
      <c r="B764" s="555" t="str">
        <f t="shared" si="63"/>
        <v/>
      </c>
      <c r="C764" s="556" t="str">
        <f t="shared" si="64"/>
        <v/>
      </c>
      <c r="D764" s="557" t="str">
        <f t="shared" si="65"/>
        <v/>
      </c>
      <c r="E764" s="560"/>
      <c r="F764" s="559"/>
      <c r="G764" s="559" t="str">
        <f t="shared" si="66"/>
        <v/>
      </c>
      <c r="H764" s="559" t="str">
        <f t="shared" si="67"/>
        <v/>
      </c>
      <c r="I764" s="559" t="str">
        <f t="shared" si="68"/>
        <v/>
      </c>
    </row>
    <row r="765" spans="2:9">
      <c r="B765" s="555" t="str">
        <f t="shared" ref="B765:B828" si="69">IF(I764="","",IF(roundOpt,IF(OR(B764&gt;=nper,ROUND(I764,2)&lt;=0),"",B764+1),IF(OR(B764&gt;=nper,I764&lt;=0),"",B764+1)))</f>
        <v/>
      </c>
      <c r="C765" s="556" t="str">
        <f t="shared" ref="C765:C828" si="70">IF(B765="","",IF(OR(periods_per_year=26,periods_per_year=52),IF(periods_per_year=26,IF(B765=1,fpdate,C764+14),IF(periods_per_year=52,IF(B765=1,fpdate,C764+7),"n/a")),IF(periods_per_year=24,DATE(YEAR(fpdate),MONTH(fpdate)+(B765-1)/2+IF(AND(DAY(fpdate)&gt;=15,MOD(B765,2)=0),1,0),IF(MOD(B765,2)=0,IF(DAY(fpdate)&gt;=15,DAY(fpdate)-14,DAY(fpdate)+14),DAY(fpdate))),IF(DAY(DATE(YEAR(fpdate),MONTH(fpdate)+(B765-1)*months_per_period,DAY(fpdate)))&lt;&gt;DAY(fpdate),DATE(YEAR(fpdate),MONTH(fpdate)+(B765-1)*months_per_period+1,0),DATE(YEAR(fpdate),MONTH(fpdate)+(B765-1)*months_per_period,DAY(fpdate))))))</f>
        <v/>
      </c>
      <c r="D765" s="557" t="str">
        <f t="shared" ref="D765:D828" si="71">IF(B765="","",IF(roundOpt,IF(OR(B765=nper,payment&gt;ROUND((1+rate)*I764,2)),ROUND((1+rate)*I764,2),payment),IF(OR(B765=nper,payment&gt;(1+rate)*I764),(1+rate)*I764,payment)))</f>
        <v/>
      </c>
      <c r="E765" s="560"/>
      <c r="F765" s="559"/>
      <c r="G765" s="559" t="str">
        <f t="shared" ref="G765:G828" si="72">IF(B765="","",IF(AND(B765=1,pmtType=1),0,IF(roundOpt,ROUND(rate*I764,2),rate*I764)))</f>
        <v/>
      </c>
      <c r="H765" s="559" t="str">
        <f t="shared" ref="H765:H828" si="73">IF(B765="","",D765-G765+E765)</f>
        <v/>
      </c>
      <c r="I765" s="559" t="str">
        <f t="shared" ref="I765:I828" si="74">IF(B765="","",I764-H765)</f>
        <v/>
      </c>
    </row>
    <row r="766" spans="2:9">
      <c r="B766" s="555" t="str">
        <f t="shared" si="69"/>
        <v/>
      </c>
      <c r="C766" s="556" t="str">
        <f t="shared" si="70"/>
        <v/>
      </c>
      <c r="D766" s="557" t="str">
        <f t="shared" si="71"/>
        <v/>
      </c>
      <c r="E766" s="560"/>
      <c r="F766" s="559"/>
      <c r="G766" s="559" t="str">
        <f t="shared" si="72"/>
        <v/>
      </c>
      <c r="H766" s="559" t="str">
        <f t="shared" si="73"/>
        <v/>
      </c>
      <c r="I766" s="559" t="str">
        <f t="shared" si="74"/>
        <v/>
      </c>
    </row>
    <row r="767" spans="2:9">
      <c r="B767" s="555" t="str">
        <f t="shared" si="69"/>
        <v/>
      </c>
      <c r="C767" s="556" t="str">
        <f t="shared" si="70"/>
        <v/>
      </c>
      <c r="D767" s="557" t="str">
        <f t="shared" si="71"/>
        <v/>
      </c>
      <c r="E767" s="560"/>
      <c r="F767" s="559"/>
      <c r="G767" s="559" t="str">
        <f t="shared" si="72"/>
        <v/>
      </c>
      <c r="H767" s="559" t="str">
        <f t="shared" si="73"/>
        <v/>
      </c>
      <c r="I767" s="559" t="str">
        <f t="shared" si="74"/>
        <v/>
      </c>
    </row>
    <row r="768" spans="2:9">
      <c r="B768" s="555" t="str">
        <f t="shared" si="69"/>
        <v/>
      </c>
      <c r="C768" s="556" t="str">
        <f t="shared" si="70"/>
        <v/>
      </c>
      <c r="D768" s="557" t="str">
        <f t="shared" si="71"/>
        <v/>
      </c>
      <c r="E768" s="560"/>
      <c r="F768" s="559"/>
      <c r="G768" s="559" t="str">
        <f t="shared" si="72"/>
        <v/>
      </c>
      <c r="H768" s="559" t="str">
        <f t="shared" si="73"/>
        <v/>
      </c>
      <c r="I768" s="559" t="str">
        <f t="shared" si="74"/>
        <v/>
      </c>
    </row>
    <row r="769" spans="2:9">
      <c r="B769" s="555" t="str">
        <f t="shared" si="69"/>
        <v/>
      </c>
      <c r="C769" s="556" t="str">
        <f t="shared" si="70"/>
        <v/>
      </c>
      <c r="D769" s="557" t="str">
        <f t="shared" si="71"/>
        <v/>
      </c>
      <c r="E769" s="560"/>
      <c r="F769" s="559"/>
      <c r="G769" s="559" t="str">
        <f t="shared" si="72"/>
        <v/>
      </c>
      <c r="H769" s="559" t="str">
        <f t="shared" si="73"/>
        <v/>
      </c>
      <c r="I769" s="559" t="str">
        <f t="shared" si="74"/>
        <v/>
      </c>
    </row>
    <row r="770" spans="2:9">
      <c r="B770" s="555" t="str">
        <f t="shared" si="69"/>
        <v/>
      </c>
      <c r="C770" s="556" t="str">
        <f t="shared" si="70"/>
        <v/>
      </c>
      <c r="D770" s="557" t="str">
        <f t="shared" si="71"/>
        <v/>
      </c>
      <c r="E770" s="560"/>
      <c r="F770" s="559"/>
      <c r="G770" s="559" t="str">
        <f t="shared" si="72"/>
        <v/>
      </c>
      <c r="H770" s="559" t="str">
        <f t="shared" si="73"/>
        <v/>
      </c>
      <c r="I770" s="559" t="str">
        <f t="shared" si="74"/>
        <v/>
      </c>
    </row>
    <row r="771" spans="2:9">
      <c r="B771" s="555" t="str">
        <f t="shared" si="69"/>
        <v/>
      </c>
      <c r="C771" s="556" t="str">
        <f t="shared" si="70"/>
        <v/>
      </c>
      <c r="D771" s="557" t="str">
        <f t="shared" si="71"/>
        <v/>
      </c>
      <c r="E771" s="560"/>
      <c r="F771" s="559"/>
      <c r="G771" s="559" t="str">
        <f t="shared" si="72"/>
        <v/>
      </c>
      <c r="H771" s="559" t="str">
        <f t="shared" si="73"/>
        <v/>
      </c>
      <c r="I771" s="559" t="str">
        <f t="shared" si="74"/>
        <v/>
      </c>
    </row>
    <row r="772" spans="2:9">
      <c r="B772" s="555" t="str">
        <f t="shared" si="69"/>
        <v/>
      </c>
      <c r="C772" s="556" t="str">
        <f t="shared" si="70"/>
        <v/>
      </c>
      <c r="D772" s="557" t="str">
        <f t="shared" si="71"/>
        <v/>
      </c>
      <c r="E772" s="560"/>
      <c r="F772" s="559"/>
      <c r="G772" s="559" t="str">
        <f t="shared" si="72"/>
        <v/>
      </c>
      <c r="H772" s="559" t="str">
        <f t="shared" si="73"/>
        <v/>
      </c>
      <c r="I772" s="559" t="str">
        <f t="shared" si="74"/>
        <v/>
      </c>
    </row>
    <row r="773" spans="2:9">
      <c r="B773" s="555" t="str">
        <f t="shared" si="69"/>
        <v/>
      </c>
      <c r="C773" s="556" t="str">
        <f t="shared" si="70"/>
        <v/>
      </c>
      <c r="D773" s="557" t="str">
        <f t="shared" si="71"/>
        <v/>
      </c>
      <c r="E773" s="560"/>
      <c r="F773" s="559"/>
      <c r="G773" s="559" t="str">
        <f t="shared" si="72"/>
        <v/>
      </c>
      <c r="H773" s="559" t="str">
        <f t="shared" si="73"/>
        <v/>
      </c>
      <c r="I773" s="559" t="str">
        <f t="shared" si="74"/>
        <v/>
      </c>
    </row>
    <row r="774" spans="2:9">
      <c r="B774" s="555" t="str">
        <f t="shared" si="69"/>
        <v/>
      </c>
      <c r="C774" s="556" t="str">
        <f t="shared" si="70"/>
        <v/>
      </c>
      <c r="D774" s="557" t="str">
        <f t="shared" si="71"/>
        <v/>
      </c>
      <c r="E774" s="560"/>
      <c r="F774" s="559"/>
      <c r="G774" s="559" t="str">
        <f t="shared" si="72"/>
        <v/>
      </c>
      <c r="H774" s="559" t="str">
        <f t="shared" si="73"/>
        <v/>
      </c>
      <c r="I774" s="559" t="str">
        <f t="shared" si="74"/>
        <v/>
      </c>
    </row>
    <row r="775" spans="2:9">
      <c r="B775" s="555" t="str">
        <f t="shared" si="69"/>
        <v/>
      </c>
      <c r="C775" s="556" t="str">
        <f t="shared" si="70"/>
        <v/>
      </c>
      <c r="D775" s="557" t="str">
        <f t="shared" si="71"/>
        <v/>
      </c>
      <c r="E775" s="560"/>
      <c r="F775" s="559"/>
      <c r="G775" s="559" t="str">
        <f t="shared" si="72"/>
        <v/>
      </c>
      <c r="H775" s="559" t="str">
        <f t="shared" si="73"/>
        <v/>
      </c>
      <c r="I775" s="559" t="str">
        <f t="shared" si="74"/>
        <v/>
      </c>
    </row>
    <row r="776" spans="2:9">
      <c r="B776" s="555" t="str">
        <f t="shared" si="69"/>
        <v/>
      </c>
      <c r="C776" s="556" t="str">
        <f t="shared" si="70"/>
        <v/>
      </c>
      <c r="D776" s="557" t="str">
        <f t="shared" si="71"/>
        <v/>
      </c>
      <c r="E776" s="560"/>
      <c r="F776" s="559"/>
      <c r="G776" s="559" t="str">
        <f t="shared" si="72"/>
        <v/>
      </c>
      <c r="H776" s="559" t="str">
        <f t="shared" si="73"/>
        <v/>
      </c>
      <c r="I776" s="559" t="str">
        <f t="shared" si="74"/>
        <v/>
      </c>
    </row>
    <row r="777" spans="2:9">
      <c r="B777" s="555" t="str">
        <f t="shared" si="69"/>
        <v/>
      </c>
      <c r="C777" s="556" t="str">
        <f t="shared" si="70"/>
        <v/>
      </c>
      <c r="D777" s="557" t="str">
        <f t="shared" si="71"/>
        <v/>
      </c>
      <c r="E777" s="560"/>
      <c r="F777" s="559"/>
      <c r="G777" s="559" t="str">
        <f t="shared" si="72"/>
        <v/>
      </c>
      <c r="H777" s="559" t="str">
        <f t="shared" si="73"/>
        <v/>
      </c>
      <c r="I777" s="559" t="str">
        <f t="shared" si="74"/>
        <v/>
      </c>
    </row>
    <row r="778" spans="2:9">
      <c r="B778" s="555" t="str">
        <f t="shared" si="69"/>
        <v/>
      </c>
      <c r="C778" s="556" t="str">
        <f t="shared" si="70"/>
        <v/>
      </c>
      <c r="D778" s="557" t="str">
        <f t="shared" si="71"/>
        <v/>
      </c>
      <c r="E778" s="560"/>
      <c r="F778" s="559"/>
      <c r="G778" s="559" t="str">
        <f t="shared" si="72"/>
        <v/>
      </c>
      <c r="H778" s="559" t="str">
        <f t="shared" si="73"/>
        <v/>
      </c>
      <c r="I778" s="559" t="str">
        <f t="shared" si="74"/>
        <v/>
      </c>
    </row>
    <row r="779" spans="2:9">
      <c r="B779" s="555" t="str">
        <f t="shared" si="69"/>
        <v/>
      </c>
      <c r="C779" s="556" t="str">
        <f t="shared" si="70"/>
        <v/>
      </c>
      <c r="D779" s="557" t="str">
        <f t="shared" si="71"/>
        <v/>
      </c>
      <c r="E779" s="560"/>
      <c r="F779" s="559"/>
      <c r="G779" s="559" t="str">
        <f t="shared" si="72"/>
        <v/>
      </c>
      <c r="H779" s="559" t="str">
        <f t="shared" si="73"/>
        <v/>
      </c>
      <c r="I779" s="559" t="str">
        <f t="shared" si="74"/>
        <v/>
      </c>
    </row>
    <row r="780" spans="2:9">
      <c r="B780" s="555" t="str">
        <f t="shared" si="69"/>
        <v/>
      </c>
      <c r="C780" s="556" t="str">
        <f t="shared" si="70"/>
        <v/>
      </c>
      <c r="D780" s="557" t="str">
        <f t="shared" si="71"/>
        <v/>
      </c>
      <c r="E780" s="560"/>
      <c r="F780" s="559"/>
      <c r="G780" s="559" t="str">
        <f t="shared" si="72"/>
        <v/>
      </c>
      <c r="H780" s="559" t="str">
        <f t="shared" si="73"/>
        <v/>
      </c>
      <c r="I780" s="559" t="str">
        <f t="shared" si="74"/>
        <v/>
      </c>
    </row>
    <row r="781" spans="2:9">
      <c r="B781" s="555" t="str">
        <f t="shared" si="69"/>
        <v/>
      </c>
      <c r="C781" s="556" t="str">
        <f t="shared" si="70"/>
        <v/>
      </c>
      <c r="D781" s="557" t="str">
        <f t="shared" si="71"/>
        <v/>
      </c>
      <c r="E781" s="560"/>
      <c r="F781" s="559"/>
      <c r="G781" s="559" t="str">
        <f t="shared" si="72"/>
        <v/>
      </c>
      <c r="H781" s="559" t="str">
        <f t="shared" si="73"/>
        <v/>
      </c>
      <c r="I781" s="559" t="str">
        <f t="shared" si="74"/>
        <v/>
      </c>
    </row>
    <row r="782" spans="2:9">
      <c r="B782" s="555" t="str">
        <f t="shared" si="69"/>
        <v/>
      </c>
      <c r="C782" s="556" t="str">
        <f t="shared" si="70"/>
        <v/>
      </c>
      <c r="D782" s="557" t="str">
        <f t="shared" si="71"/>
        <v/>
      </c>
      <c r="E782" s="560"/>
      <c r="F782" s="559"/>
      <c r="G782" s="559" t="str">
        <f t="shared" si="72"/>
        <v/>
      </c>
      <c r="H782" s="559" t="str">
        <f t="shared" si="73"/>
        <v/>
      </c>
      <c r="I782" s="559" t="str">
        <f t="shared" si="74"/>
        <v/>
      </c>
    </row>
    <row r="783" spans="2:9">
      <c r="B783" s="555" t="str">
        <f t="shared" si="69"/>
        <v/>
      </c>
      <c r="C783" s="556" t="str">
        <f t="shared" si="70"/>
        <v/>
      </c>
      <c r="D783" s="557" t="str">
        <f t="shared" si="71"/>
        <v/>
      </c>
      <c r="E783" s="560"/>
      <c r="F783" s="559"/>
      <c r="G783" s="559" t="str">
        <f t="shared" si="72"/>
        <v/>
      </c>
      <c r="H783" s="559" t="str">
        <f t="shared" si="73"/>
        <v/>
      </c>
      <c r="I783" s="559" t="str">
        <f t="shared" si="74"/>
        <v/>
      </c>
    </row>
    <row r="784" spans="2:9">
      <c r="B784" s="555" t="str">
        <f t="shared" si="69"/>
        <v/>
      </c>
      <c r="C784" s="556" t="str">
        <f t="shared" si="70"/>
        <v/>
      </c>
      <c r="D784" s="557" t="str">
        <f t="shared" si="71"/>
        <v/>
      </c>
      <c r="E784" s="560"/>
      <c r="F784" s="559"/>
      <c r="G784" s="559" t="str">
        <f t="shared" si="72"/>
        <v/>
      </c>
      <c r="H784" s="559" t="str">
        <f t="shared" si="73"/>
        <v/>
      </c>
      <c r="I784" s="559" t="str">
        <f t="shared" si="74"/>
        <v/>
      </c>
    </row>
    <row r="785" spans="2:9">
      <c r="B785" s="555" t="str">
        <f t="shared" si="69"/>
        <v/>
      </c>
      <c r="C785" s="556" t="str">
        <f t="shared" si="70"/>
        <v/>
      </c>
      <c r="D785" s="557" t="str">
        <f t="shared" si="71"/>
        <v/>
      </c>
      <c r="E785" s="560"/>
      <c r="F785" s="559"/>
      <c r="G785" s="559" t="str">
        <f t="shared" si="72"/>
        <v/>
      </c>
      <c r="H785" s="559" t="str">
        <f t="shared" si="73"/>
        <v/>
      </c>
      <c r="I785" s="559" t="str">
        <f t="shared" si="74"/>
        <v/>
      </c>
    </row>
    <row r="786" spans="2:9">
      <c r="B786" s="555" t="str">
        <f t="shared" si="69"/>
        <v/>
      </c>
      <c r="C786" s="556" t="str">
        <f t="shared" si="70"/>
        <v/>
      </c>
      <c r="D786" s="557" t="str">
        <f t="shared" si="71"/>
        <v/>
      </c>
      <c r="E786" s="560"/>
      <c r="F786" s="559"/>
      <c r="G786" s="559" t="str">
        <f t="shared" si="72"/>
        <v/>
      </c>
      <c r="H786" s="559" t="str">
        <f t="shared" si="73"/>
        <v/>
      </c>
      <c r="I786" s="559" t="str">
        <f t="shared" si="74"/>
        <v/>
      </c>
    </row>
    <row r="787" spans="2:9">
      <c r="B787" s="555" t="str">
        <f t="shared" si="69"/>
        <v/>
      </c>
      <c r="C787" s="556" t="str">
        <f t="shared" si="70"/>
        <v/>
      </c>
      <c r="D787" s="557" t="str">
        <f t="shared" si="71"/>
        <v/>
      </c>
      <c r="E787" s="560"/>
      <c r="F787" s="559"/>
      <c r="G787" s="559" t="str">
        <f t="shared" si="72"/>
        <v/>
      </c>
      <c r="H787" s="559" t="str">
        <f t="shared" si="73"/>
        <v/>
      </c>
      <c r="I787" s="559" t="str">
        <f t="shared" si="74"/>
        <v/>
      </c>
    </row>
    <row r="788" spans="2:9">
      <c r="B788" s="555" t="str">
        <f t="shared" si="69"/>
        <v/>
      </c>
      <c r="C788" s="556" t="str">
        <f t="shared" si="70"/>
        <v/>
      </c>
      <c r="D788" s="557" t="str">
        <f t="shared" si="71"/>
        <v/>
      </c>
      <c r="E788" s="560"/>
      <c r="F788" s="559"/>
      <c r="G788" s="559" t="str">
        <f t="shared" si="72"/>
        <v/>
      </c>
      <c r="H788" s="559" t="str">
        <f t="shared" si="73"/>
        <v/>
      </c>
      <c r="I788" s="559" t="str">
        <f t="shared" si="74"/>
        <v/>
      </c>
    </row>
    <row r="789" spans="2:9">
      <c r="B789" s="555" t="str">
        <f t="shared" si="69"/>
        <v/>
      </c>
      <c r="C789" s="556" t="str">
        <f t="shared" si="70"/>
        <v/>
      </c>
      <c r="D789" s="557" t="str">
        <f t="shared" si="71"/>
        <v/>
      </c>
      <c r="E789" s="560"/>
      <c r="F789" s="559"/>
      <c r="G789" s="559" t="str">
        <f t="shared" si="72"/>
        <v/>
      </c>
      <c r="H789" s="559" t="str">
        <f t="shared" si="73"/>
        <v/>
      </c>
      <c r="I789" s="559" t="str">
        <f t="shared" si="74"/>
        <v/>
      </c>
    </row>
    <row r="790" spans="2:9">
      <c r="B790" s="555" t="str">
        <f t="shared" si="69"/>
        <v/>
      </c>
      <c r="C790" s="556" t="str">
        <f t="shared" si="70"/>
        <v/>
      </c>
      <c r="D790" s="557" t="str">
        <f t="shared" si="71"/>
        <v/>
      </c>
      <c r="E790" s="560"/>
      <c r="F790" s="559"/>
      <c r="G790" s="559" t="str">
        <f t="shared" si="72"/>
        <v/>
      </c>
      <c r="H790" s="559" t="str">
        <f t="shared" si="73"/>
        <v/>
      </c>
      <c r="I790" s="559" t="str">
        <f t="shared" si="74"/>
        <v/>
      </c>
    </row>
    <row r="791" spans="2:9">
      <c r="B791" s="555" t="str">
        <f t="shared" si="69"/>
        <v/>
      </c>
      <c r="C791" s="556" t="str">
        <f t="shared" si="70"/>
        <v/>
      </c>
      <c r="D791" s="557" t="str">
        <f t="shared" si="71"/>
        <v/>
      </c>
      <c r="E791" s="560"/>
      <c r="F791" s="559"/>
      <c r="G791" s="559" t="str">
        <f t="shared" si="72"/>
        <v/>
      </c>
      <c r="H791" s="559" t="str">
        <f t="shared" si="73"/>
        <v/>
      </c>
      <c r="I791" s="559" t="str">
        <f t="shared" si="74"/>
        <v/>
      </c>
    </row>
    <row r="792" spans="2:9">
      <c r="B792" s="555" t="str">
        <f t="shared" si="69"/>
        <v/>
      </c>
      <c r="C792" s="556" t="str">
        <f t="shared" si="70"/>
        <v/>
      </c>
      <c r="D792" s="557" t="str">
        <f t="shared" si="71"/>
        <v/>
      </c>
      <c r="E792" s="560"/>
      <c r="F792" s="559"/>
      <c r="G792" s="559" t="str">
        <f t="shared" si="72"/>
        <v/>
      </c>
      <c r="H792" s="559" t="str">
        <f t="shared" si="73"/>
        <v/>
      </c>
      <c r="I792" s="559" t="str">
        <f t="shared" si="74"/>
        <v/>
      </c>
    </row>
    <row r="793" spans="2:9">
      <c r="B793" s="555" t="str">
        <f t="shared" si="69"/>
        <v/>
      </c>
      <c r="C793" s="556" t="str">
        <f t="shared" si="70"/>
        <v/>
      </c>
      <c r="D793" s="557" t="str">
        <f t="shared" si="71"/>
        <v/>
      </c>
      <c r="E793" s="560"/>
      <c r="F793" s="559"/>
      <c r="G793" s="559" t="str">
        <f t="shared" si="72"/>
        <v/>
      </c>
      <c r="H793" s="559" t="str">
        <f t="shared" si="73"/>
        <v/>
      </c>
      <c r="I793" s="559" t="str">
        <f t="shared" si="74"/>
        <v/>
      </c>
    </row>
    <row r="794" spans="2:9">
      <c r="B794" s="555" t="str">
        <f t="shared" si="69"/>
        <v/>
      </c>
      <c r="C794" s="556" t="str">
        <f t="shared" si="70"/>
        <v/>
      </c>
      <c r="D794" s="557" t="str">
        <f t="shared" si="71"/>
        <v/>
      </c>
      <c r="E794" s="560"/>
      <c r="F794" s="559"/>
      <c r="G794" s="559" t="str">
        <f t="shared" si="72"/>
        <v/>
      </c>
      <c r="H794" s="559" t="str">
        <f t="shared" si="73"/>
        <v/>
      </c>
      <c r="I794" s="559" t="str">
        <f t="shared" si="74"/>
        <v/>
      </c>
    </row>
    <row r="795" spans="2:9">
      <c r="B795" s="555" t="str">
        <f t="shared" si="69"/>
        <v/>
      </c>
      <c r="C795" s="556" t="str">
        <f t="shared" si="70"/>
        <v/>
      </c>
      <c r="D795" s="557" t="str">
        <f t="shared" si="71"/>
        <v/>
      </c>
      <c r="E795" s="560"/>
      <c r="F795" s="559"/>
      <c r="G795" s="559" t="str">
        <f t="shared" si="72"/>
        <v/>
      </c>
      <c r="H795" s="559" t="str">
        <f t="shared" si="73"/>
        <v/>
      </c>
      <c r="I795" s="559" t="str">
        <f t="shared" si="74"/>
        <v/>
      </c>
    </row>
    <row r="796" spans="2:9">
      <c r="B796" s="555" t="str">
        <f t="shared" si="69"/>
        <v/>
      </c>
      <c r="C796" s="556" t="str">
        <f t="shared" si="70"/>
        <v/>
      </c>
      <c r="D796" s="557" t="str">
        <f t="shared" si="71"/>
        <v/>
      </c>
      <c r="E796" s="560"/>
      <c r="F796" s="559"/>
      <c r="G796" s="559" t="str">
        <f t="shared" si="72"/>
        <v/>
      </c>
      <c r="H796" s="559" t="str">
        <f t="shared" si="73"/>
        <v/>
      </c>
      <c r="I796" s="559" t="str">
        <f t="shared" si="74"/>
        <v/>
      </c>
    </row>
    <row r="797" spans="2:9">
      <c r="B797" s="555" t="str">
        <f t="shared" si="69"/>
        <v/>
      </c>
      <c r="C797" s="556" t="str">
        <f t="shared" si="70"/>
        <v/>
      </c>
      <c r="D797" s="557" t="str">
        <f t="shared" si="71"/>
        <v/>
      </c>
      <c r="E797" s="560"/>
      <c r="F797" s="559"/>
      <c r="G797" s="559" t="str">
        <f t="shared" si="72"/>
        <v/>
      </c>
      <c r="H797" s="559" t="str">
        <f t="shared" si="73"/>
        <v/>
      </c>
      <c r="I797" s="559" t="str">
        <f t="shared" si="74"/>
        <v/>
      </c>
    </row>
    <row r="798" spans="2:9">
      <c r="B798" s="555" t="str">
        <f t="shared" si="69"/>
        <v/>
      </c>
      <c r="C798" s="556" t="str">
        <f t="shared" si="70"/>
        <v/>
      </c>
      <c r="D798" s="557" t="str">
        <f t="shared" si="71"/>
        <v/>
      </c>
      <c r="E798" s="560"/>
      <c r="F798" s="559"/>
      <c r="G798" s="559" t="str">
        <f t="shared" si="72"/>
        <v/>
      </c>
      <c r="H798" s="559" t="str">
        <f t="shared" si="73"/>
        <v/>
      </c>
      <c r="I798" s="559" t="str">
        <f t="shared" si="74"/>
        <v/>
      </c>
    </row>
    <row r="799" spans="2:9">
      <c r="B799" s="555" t="str">
        <f t="shared" si="69"/>
        <v/>
      </c>
      <c r="C799" s="556" t="str">
        <f t="shared" si="70"/>
        <v/>
      </c>
      <c r="D799" s="557" t="str">
        <f t="shared" si="71"/>
        <v/>
      </c>
      <c r="E799" s="560"/>
      <c r="F799" s="559"/>
      <c r="G799" s="559" t="str">
        <f t="shared" si="72"/>
        <v/>
      </c>
      <c r="H799" s="559" t="str">
        <f t="shared" si="73"/>
        <v/>
      </c>
      <c r="I799" s="559" t="str">
        <f t="shared" si="74"/>
        <v/>
      </c>
    </row>
    <row r="800" spans="2:9">
      <c r="B800" s="555" t="str">
        <f t="shared" si="69"/>
        <v/>
      </c>
      <c r="C800" s="556" t="str">
        <f t="shared" si="70"/>
        <v/>
      </c>
      <c r="D800" s="557" t="str">
        <f t="shared" si="71"/>
        <v/>
      </c>
      <c r="E800" s="560"/>
      <c r="F800" s="559"/>
      <c r="G800" s="559" t="str">
        <f t="shared" si="72"/>
        <v/>
      </c>
      <c r="H800" s="559" t="str">
        <f t="shared" si="73"/>
        <v/>
      </c>
      <c r="I800" s="559" t="str">
        <f t="shared" si="74"/>
        <v/>
      </c>
    </row>
    <row r="801" spans="2:9">
      <c r="B801" s="555" t="str">
        <f t="shared" si="69"/>
        <v/>
      </c>
      <c r="C801" s="556" t="str">
        <f t="shared" si="70"/>
        <v/>
      </c>
      <c r="D801" s="557" t="str">
        <f t="shared" si="71"/>
        <v/>
      </c>
      <c r="E801" s="560"/>
      <c r="F801" s="559"/>
      <c r="G801" s="559" t="str">
        <f t="shared" si="72"/>
        <v/>
      </c>
      <c r="H801" s="559" t="str">
        <f t="shared" si="73"/>
        <v/>
      </c>
      <c r="I801" s="559" t="str">
        <f t="shared" si="74"/>
        <v/>
      </c>
    </row>
    <row r="802" spans="2:9">
      <c r="B802" s="555" t="str">
        <f t="shared" si="69"/>
        <v/>
      </c>
      <c r="C802" s="556" t="str">
        <f t="shared" si="70"/>
        <v/>
      </c>
      <c r="D802" s="557" t="str">
        <f t="shared" si="71"/>
        <v/>
      </c>
      <c r="E802" s="560"/>
      <c r="F802" s="559"/>
      <c r="G802" s="559" t="str">
        <f t="shared" si="72"/>
        <v/>
      </c>
      <c r="H802" s="559" t="str">
        <f t="shared" si="73"/>
        <v/>
      </c>
      <c r="I802" s="559" t="str">
        <f t="shared" si="74"/>
        <v/>
      </c>
    </row>
    <row r="803" spans="2:9">
      <c r="B803" s="555" t="str">
        <f t="shared" si="69"/>
        <v/>
      </c>
      <c r="C803" s="556" t="str">
        <f t="shared" si="70"/>
        <v/>
      </c>
      <c r="D803" s="557" t="str">
        <f t="shared" si="71"/>
        <v/>
      </c>
      <c r="E803" s="560"/>
      <c r="F803" s="559"/>
      <c r="G803" s="559" t="str">
        <f t="shared" si="72"/>
        <v/>
      </c>
      <c r="H803" s="559" t="str">
        <f t="shared" si="73"/>
        <v/>
      </c>
      <c r="I803" s="559" t="str">
        <f t="shared" si="74"/>
        <v/>
      </c>
    </row>
    <row r="804" spans="2:9">
      <c r="B804" s="555" t="str">
        <f t="shared" si="69"/>
        <v/>
      </c>
      <c r="C804" s="556" t="str">
        <f t="shared" si="70"/>
        <v/>
      </c>
      <c r="D804" s="557" t="str">
        <f t="shared" si="71"/>
        <v/>
      </c>
      <c r="E804" s="560"/>
      <c r="F804" s="559"/>
      <c r="G804" s="559" t="str">
        <f t="shared" si="72"/>
        <v/>
      </c>
      <c r="H804" s="559" t="str">
        <f t="shared" si="73"/>
        <v/>
      </c>
      <c r="I804" s="559" t="str">
        <f t="shared" si="74"/>
        <v/>
      </c>
    </row>
    <row r="805" spans="2:9">
      <c r="B805" s="555" t="str">
        <f t="shared" si="69"/>
        <v/>
      </c>
      <c r="C805" s="556" t="str">
        <f t="shared" si="70"/>
        <v/>
      </c>
      <c r="D805" s="557" t="str">
        <f t="shared" si="71"/>
        <v/>
      </c>
      <c r="E805" s="560"/>
      <c r="F805" s="559"/>
      <c r="G805" s="559" t="str">
        <f t="shared" si="72"/>
        <v/>
      </c>
      <c r="H805" s="559" t="str">
        <f t="shared" si="73"/>
        <v/>
      </c>
      <c r="I805" s="559" t="str">
        <f t="shared" si="74"/>
        <v/>
      </c>
    </row>
    <row r="806" spans="2:9">
      <c r="B806" s="555" t="str">
        <f t="shared" si="69"/>
        <v/>
      </c>
      <c r="C806" s="556" t="str">
        <f t="shared" si="70"/>
        <v/>
      </c>
      <c r="D806" s="557" t="str">
        <f t="shared" si="71"/>
        <v/>
      </c>
      <c r="E806" s="560"/>
      <c r="F806" s="559"/>
      <c r="G806" s="559" t="str">
        <f t="shared" si="72"/>
        <v/>
      </c>
      <c r="H806" s="559" t="str">
        <f t="shared" si="73"/>
        <v/>
      </c>
      <c r="I806" s="559" t="str">
        <f t="shared" si="74"/>
        <v/>
      </c>
    </row>
    <row r="807" spans="2:9">
      <c r="B807" s="555" t="str">
        <f t="shared" si="69"/>
        <v/>
      </c>
      <c r="C807" s="556" t="str">
        <f t="shared" si="70"/>
        <v/>
      </c>
      <c r="D807" s="557" t="str">
        <f t="shared" si="71"/>
        <v/>
      </c>
      <c r="E807" s="560"/>
      <c r="F807" s="559"/>
      <c r="G807" s="559" t="str">
        <f t="shared" si="72"/>
        <v/>
      </c>
      <c r="H807" s="559" t="str">
        <f t="shared" si="73"/>
        <v/>
      </c>
      <c r="I807" s="559" t="str">
        <f t="shared" si="74"/>
        <v/>
      </c>
    </row>
    <row r="808" spans="2:9">
      <c r="B808" s="555" t="str">
        <f t="shared" si="69"/>
        <v/>
      </c>
      <c r="C808" s="556" t="str">
        <f t="shared" si="70"/>
        <v/>
      </c>
      <c r="D808" s="557" t="str">
        <f t="shared" si="71"/>
        <v/>
      </c>
      <c r="E808" s="560"/>
      <c r="F808" s="559"/>
      <c r="G808" s="559" t="str">
        <f t="shared" si="72"/>
        <v/>
      </c>
      <c r="H808" s="559" t="str">
        <f t="shared" si="73"/>
        <v/>
      </c>
      <c r="I808" s="559" t="str">
        <f t="shared" si="74"/>
        <v/>
      </c>
    </row>
    <row r="809" spans="2:9">
      <c r="B809" s="555" t="str">
        <f t="shared" si="69"/>
        <v/>
      </c>
      <c r="C809" s="556" t="str">
        <f t="shared" si="70"/>
        <v/>
      </c>
      <c r="D809" s="557" t="str">
        <f t="shared" si="71"/>
        <v/>
      </c>
      <c r="E809" s="560"/>
      <c r="F809" s="559"/>
      <c r="G809" s="559" t="str">
        <f t="shared" si="72"/>
        <v/>
      </c>
      <c r="H809" s="559" t="str">
        <f t="shared" si="73"/>
        <v/>
      </c>
      <c r="I809" s="559" t="str">
        <f t="shared" si="74"/>
        <v/>
      </c>
    </row>
    <row r="810" spans="2:9">
      <c r="B810" s="555" t="str">
        <f t="shared" si="69"/>
        <v/>
      </c>
      <c r="C810" s="556" t="str">
        <f t="shared" si="70"/>
        <v/>
      </c>
      <c r="D810" s="557" t="str">
        <f t="shared" si="71"/>
        <v/>
      </c>
      <c r="E810" s="560"/>
      <c r="F810" s="559"/>
      <c r="G810" s="559" t="str">
        <f t="shared" si="72"/>
        <v/>
      </c>
      <c r="H810" s="559" t="str">
        <f t="shared" si="73"/>
        <v/>
      </c>
      <c r="I810" s="559" t="str">
        <f t="shared" si="74"/>
        <v/>
      </c>
    </row>
    <row r="811" spans="2:9">
      <c r="B811" s="555" t="str">
        <f t="shared" si="69"/>
        <v/>
      </c>
      <c r="C811" s="556" t="str">
        <f t="shared" si="70"/>
        <v/>
      </c>
      <c r="D811" s="557" t="str">
        <f t="shared" si="71"/>
        <v/>
      </c>
      <c r="E811" s="560"/>
      <c r="F811" s="559"/>
      <c r="G811" s="559" t="str">
        <f t="shared" si="72"/>
        <v/>
      </c>
      <c r="H811" s="559" t="str">
        <f t="shared" si="73"/>
        <v/>
      </c>
      <c r="I811" s="559" t="str">
        <f t="shared" si="74"/>
        <v/>
      </c>
    </row>
    <row r="812" spans="2:9">
      <c r="B812" s="555" t="str">
        <f t="shared" si="69"/>
        <v/>
      </c>
      <c r="C812" s="556" t="str">
        <f t="shared" si="70"/>
        <v/>
      </c>
      <c r="D812" s="557" t="str">
        <f t="shared" si="71"/>
        <v/>
      </c>
      <c r="E812" s="560"/>
      <c r="F812" s="559"/>
      <c r="G812" s="559" t="str">
        <f t="shared" si="72"/>
        <v/>
      </c>
      <c r="H812" s="559" t="str">
        <f t="shared" si="73"/>
        <v/>
      </c>
      <c r="I812" s="559" t="str">
        <f t="shared" si="74"/>
        <v/>
      </c>
    </row>
    <row r="813" spans="2:9">
      <c r="B813" s="555" t="str">
        <f t="shared" si="69"/>
        <v/>
      </c>
      <c r="C813" s="556" t="str">
        <f t="shared" si="70"/>
        <v/>
      </c>
      <c r="D813" s="557" t="str">
        <f t="shared" si="71"/>
        <v/>
      </c>
      <c r="E813" s="560"/>
      <c r="F813" s="559"/>
      <c r="G813" s="559" t="str">
        <f t="shared" si="72"/>
        <v/>
      </c>
      <c r="H813" s="559" t="str">
        <f t="shared" si="73"/>
        <v/>
      </c>
      <c r="I813" s="559" t="str">
        <f t="shared" si="74"/>
        <v/>
      </c>
    </row>
    <row r="814" spans="2:9">
      <c r="B814" s="555" t="str">
        <f t="shared" si="69"/>
        <v/>
      </c>
      <c r="C814" s="556" t="str">
        <f t="shared" si="70"/>
        <v/>
      </c>
      <c r="D814" s="557" t="str">
        <f t="shared" si="71"/>
        <v/>
      </c>
      <c r="E814" s="560"/>
      <c r="F814" s="559"/>
      <c r="G814" s="559" t="str">
        <f t="shared" si="72"/>
        <v/>
      </c>
      <c r="H814" s="559" t="str">
        <f t="shared" si="73"/>
        <v/>
      </c>
      <c r="I814" s="559" t="str">
        <f t="shared" si="74"/>
        <v/>
      </c>
    </row>
    <row r="815" spans="2:9">
      <c r="B815" s="555" t="str">
        <f t="shared" si="69"/>
        <v/>
      </c>
      <c r="C815" s="556" t="str">
        <f t="shared" si="70"/>
        <v/>
      </c>
      <c r="D815" s="557" t="str">
        <f t="shared" si="71"/>
        <v/>
      </c>
      <c r="E815" s="560"/>
      <c r="F815" s="559"/>
      <c r="G815" s="559" t="str">
        <f t="shared" si="72"/>
        <v/>
      </c>
      <c r="H815" s="559" t="str">
        <f t="shared" si="73"/>
        <v/>
      </c>
      <c r="I815" s="559" t="str">
        <f t="shared" si="74"/>
        <v/>
      </c>
    </row>
    <row r="816" spans="2:9">
      <c r="B816" s="555" t="str">
        <f t="shared" si="69"/>
        <v/>
      </c>
      <c r="C816" s="556" t="str">
        <f t="shared" si="70"/>
        <v/>
      </c>
      <c r="D816" s="557" t="str">
        <f t="shared" si="71"/>
        <v/>
      </c>
      <c r="E816" s="560"/>
      <c r="F816" s="559"/>
      <c r="G816" s="559" t="str">
        <f t="shared" si="72"/>
        <v/>
      </c>
      <c r="H816" s="559" t="str">
        <f t="shared" si="73"/>
        <v/>
      </c>
      <c r="I816" s="559" t="str">
        <f t="shared" si="74"/>
        <v/>
      </c>
    </row>
    <row r="817" spans="2:9">
      <c r="B817" s="555" t="str">
        <f t="shared" si="69"/>
        <v/>
      </c>
      <c r="C817" s="556" t="str">
        <f t="shared" si="70"/>
        <v/>
      </c>
      <c r="D817" s="557" t="str">
        <f t="shared" si="71"/>
        <v/>
      </c>
      <c r="E817" s="560"/>
      <c r="F817" s="559"/>
      <c r="G817" s="559" t="str">
        <f t="shared" si="72"/>
        <v/>
      </c>
      <c r="H817" s="559" t="str">
        <f t="shared" si="73"/>
        <v/>
      </c>
      <c r="I817" s="559" t="str">
        <f t="shared" si="74"/>
        <v/>
      </c>
    </row>
    <row r="818" spans="2:9">
      <c r="B818" s="555" t="str">
        <f t="shared" si="69"/>
        <v/>
      </c>
      <c r="C818" s="556" t="str">
        <f t="shared" si="70"/>
        <v/>
      </c>
      <c r="D818" s="557" t="str">
        <f t="shared" si="71"/>
        <v/>
      </c>
      <c r="E818" s="560"/>
      <c r="F818" s="559"/>
      <c r="G818" s="559" t="str">
        <f t="shared" si="72"/>
        <v/>
      </c>
      <c r="H818" s="559" t="str">
        <f t="shared" si="73"/>
        <v/>
      </c>
      <c r="I818" s="559" t="str">
        <f t="shared" si="74"/>
        <v/>
      </c>
    </row>
    <row r="819" spans="2:9">
      <c r="B819" s="555" t="str">
        <f t="shared" si="69"/>
        <v/>
      </c>
      <c r="C819" s="556" t="str">
        <f t="shared" si="70"/>
        <v/>
      </c>
      <c r="D819" s="557" t="str">
        <f t="shared" si="71"/>
        <v/>
      </c>
      <c r="E819" s="560"/>
      <c r="F819" s="559"/>
      <c r="G819" s="559" t="str">
        <f t="shared" si="72"/>
        <v/>
      </c>
      <c r="H819" s="559" t="str">
        <f t="shared" si="73"/>
        <v/>
      </c>
      <c r="I819" s="559" t="str">
        <f t="shared" si="74"/>
        <v/>
      </c>
    </row>
    <row r="820" spans="2:9">
      <c r="B820" s="555" t="str">
        <f t="shared" si="69"/>
        <v/>
      </c>
      <c r="C820" s="556" t="str">
        <f t="shared" si="70"/>
        <v/>
      </c>
      <c r="D820" s="557" t="str">
        <f t="shared" si="71"/>
        <v/>
      </c>
      <c r="E820" s="560"/>
      <c r="F820" s="559"/>
      <c r="G820" s="559" t="str">
        <f t="shared" si="72"/>
        <v/>
      </c>
      <c r="H820" s="559" t="str">
        <f t="shared" si="73"/>
        <v/>
      </c>
      <c r="I820" s="559" t="str">
        <f t="shared" si="74"/>
        <v/>
      </c>
    </row>
    <row r="821" spans="2:9">
      <c r="B821" s="555" t="str">
        <f t="shared" si="69"/>
        <v/>
      </c>
      <c r="C821" s="556" t="str">
        <f t="shared" si="70"/>
        <v/>
      </c>
      <c r="D821" s="557" t="str">
        <f t="shared" si="71"/>
        <v/>
      </c>
      <c r="E821" s="560"/>
      <c r="F821" s="559"/>
      <c r="G821" s="559" t="str">
        <f t="shared" si="72"/>
        <v/>
      </c>
      <c r="H821" s="559" t="str">
        <f t="shared" si="73"/>
        <v/>
      </c>
      <c r="I821" s="559" t="str">
        <f t="shared" si="74"/>
        <v/>
      </c>
    </row>
    <row r="822" spans="2:9">
      <c r="B822" s="555" t="str">
        <f t="shared" si="69"/>
        <v/>
      </c>
      <c r="C822" s="556" t="str">
        <f t="shared" si="70"/>
        <v/>
      </c>
      <c r="D822" s="557" t="str">
        <f t="shared" si="71"/>
        <v/>
      </c>
      <c r="E822" s="560"/>
      <c r="F822" s="559"/>
      <c r="G822" s="559" t="str">
        <f t="shared" si="72"/>
        <v/>
      </c>
      <c r="H822" s="559" t="str">
        <f t="shared" si="73"/>
        <v/>
      </c>
      <c r="I822" s="559" t="str">
        <f t="shared" si="74"/>
        <v/>
      </c>
    </row>
    <row r="823" spans="2:9">
      <c r="B823" s="555" t="str">
        <f t="shared" si="69"/>
        <v/>
      </c>
      <c r="C823" s="556" t="str">
        <f t="shared" si="70"/>
        <v/>
      </c>
      <c r="D823" s="557" t="str">
        <f t="shared" si="71"/>
        <v/>
      </c>
      <c r="E823" s="560"/>
      <c r="F823" s="559"/>
      <c r="G823" s="559" t="str">
        <f t="shared" si="72"/>
        <v/>
      </c>
      <c r="H823" s="559" t="str">
        <f t="shared" si="73"/>
        <v/>
      </c>
      <c r="I823" s="559" t="str">
        <f t="shared" si="74"/>
        <v/>
      </c>
    </row>
    <row r="824" spans="2:9">
      <c r="B824" s="555" t="str">
        <f t="shared" si="69"/>
        <v/>
      </c>
      <c r="C824" s="556" t="str">
        <f t="shared" si="70"/>
        <v/>
      </c>
      <c r="D824" s="557" t="str">
        <f t="shared" si="71"/>
        <v/>
      </c>
      <c r="E824" s="560"/>
      <c r="F824" s="559"/>
      <c r="G824" s="559" t="str">
        <f t="shared" si="72"/>
        <v/>
      </c>
      <c r="H824" s="559" t="str">
        <f t="shared" si="73"/>
        <v/>
      </c>
      <c r="I824" s="559" t="str">
        <f t="shared" si="74"/>
        <v/>
      </c>
    </row>
    <row r="825" spans="2:9">
      <c r="B825" s="555" t="str">
        <f t="shared" si="69"/>
        <v/>
      </c>
      <c r="C825" s="556" t="str">
        <f t="shared" si="70"/>
        <v/>
      </c>
      <c r="D825" s="557" t="str">
        <f t="shared" si="71"/>
        <v/>
      </c>
      <c r="E825" s="560"/>
      <c r="F825" s="559"/>
      <c r="G825" s="559" t="str">
        <f t="shared" si="72"/>
        <v/>
      </c>
      <c r="H825" s="559" t="str">
        <f t="shared" si="73"/>
        <v/>
      </c>
      <c r="I825" s="559" t="str">
        <f t="shared" si="74"/>
        <v/>
      </c>
    </row>
    <row r="826" spans="2:9">
      <c r="B826" s="555" t="str">
        <f t="shared" si="69"/>
        <v/>
      </c>
      <c r="C826" s="556" t="str">
        <f t="shared" si="70"/>
        <v/>
      </c>
      <c r="D826" s="557" t="str">
        <f t="shared" si="71"/>
        <v/>
      </c>
      <c r="E826" s="560"/>
      <c r="F826" s="559"/>
      <c r="G826" s="559" t="str">
        <f t="shared" si="72"/>
        <v/>
      </c>
      <c r="H826" s="559" t="str">
        <f t="shared" si="73"/>
        <v/>
      </c>
      <c r="I826" s="559" t="str">
        <f t="shared" si="74"/>
        <v/>
      </c>
    </row>
    <row r="827" spans="2:9">
      <c r="B827" s="555" t="str">
        <f t="shared" si="69"/>
        <v/>
      </c>
      <c r="C827" s="556" t="str">
        <f t="shared" si="70"/>
        <v/>
      </c>
      <c r="D827" s="557" t="str">
        <f t="shared" si="71"/>
        <v/>
      </c>
      <c r="E827" s="560"/>
      <c r="F827" s="559"/>
      <c r="G827" s="559" t="str">
        <f t="shared" si="72"/>
        <v/>
      </c>
      <c r="H827" s="559" t="str">
        <f t="shared" si="73"/>
        <v/>
      </c>
      <c r="I827" s="559" t="str">
        <f t="shared" si="74"/>
        <v/>
      </c>
    </row>
    <row r="828" spans="2:9">
      <c r="B828" s="555" t="str">
        <f t="shared" si="69"/>
        <v/>
      </c>
      <c r="C828" s="556" t="str">
        <f t="shared" si="70"/>
        <v/>
      </c>
      <c r="D828" s="557" t="str">
        <f t="shared" si="71"/>
        <v/>
      </c>
      <c r="E828" s="560"/>
      <c r="F828" s="559"/>
      <c r="G828" s="559" t="str">
        <f t="shared" si="72"/>
        <v/>
      </c>
      <c r="H828" s="559" t="str">
        <f t="shared" si="73"/>
        <v/>
      </c>
      <c r="I828" s="559" t="str">
        <f t="shared" si="74"/>
        <v/>
      </c>
    </row>
    <row r="829" spans="2:9">
      <c r="B829" s="555" t="str">
        <f t="shared" ref="B829:B840" si="75">IF(I828="","",IF(roundOpt,IF(OR(B828&gt;=nper,ROUND(I828,2)&lt;=0),"",B828+1),IF(OR(B828&gt;=nper,I828&lt;=0),"",B828+1)))</f>
        <v/>
      </c>
      <c r="C829" s="556" t="str">
        <f t="shared" ref="C829:C840" si="76">IF(B829="","",IF(OR(periods_per_year=26,periods_per_year=52),IF(periods_per_year=26,IF(B829=1,fpdate,C828+14),IF(periods_per_year=52,IF(B829=1,fpdate,C828+7),"n/a")),IF(periods_per_year=24,DATE(YEAR(fpdate),MONTH(fpdate)+(B829-1)/2+IF(AND(DAY(fpdate)&gt;=15,MOD(B829,2)=0),1,0),IF(MOD(B829,2)=0,IF(DAY(fpdate)&gt;=15,DAY(fpdate)-14,DAY(fpdate)+14),DAY(fpdate))),IF(DAY(DATE(YEAR(fpdate),MONTH(fpdate)+(B829-1)*months_per_period,DAY(fpdate)))&lt;&gt;DAY(fpdate),DATE(YEAR(fpdate),MONTH(fpdate)+(B829-1)*months_per_period+1,0),DATE(YEAR(fpdate),MONTH(fpdate)+(B829-1)*months_per_period,DAY(fpdate))))))</f>
        <v/>
      </c>
      <c r="D829" s="557" t="str">
        <f t="shared" ref="D829:D840" si="77">IF(B829="","",IF(roundOpt,IF(OR(B829=nper,payment&gt;ROUND((1+rate)*I828,2)),ROUND((1+rate)*I828,2),payment),IF(OR(B829=nper,payment&gt;(1+rate)*I828),(1+rate)*I828,payment)))</f>
        <v/>
      </c>
      <c r="E829" s="560"/>
      <c r="F829" s="559"/>
      <c r="G829" s="559" t="str">
        <f t="shared" ref="G829:G840" si="78">IF(B829="","",IF(AND(B829=1,pmtType=1),0,IF(roundOpt,ROUND(rate*I828,2),rate*I828)))</f>
        <v/>
      </c>
      <c r="H829" s="559" t="str">
        <f t="shared" ref="H829:H840" si="79">IF(B829="","",D829-G829+E829)</f>
        <v/>
      </c>
      <c r="I829" s="559" t="str">
        <f t="shared" ref="I829:I840" si="80">IF(B829="","",I828-H829)</f>
        <v/>
      </c>
    </row>
    <row r="830" spans="2:9">
      <c r="B830" s="555" t="str">
        <f t="shared" si="75"/>
        <v/>
      </c>
      <c r="C830" s="556" t="str">
        <f t="shared" si="76"/>
        <v/>
      </c>
      <c r="D830" s="557" t="str">
        <f t="shared" si="77"/>
        <v/>
      </c>
      <c r="E830" s="560"/>
      <c r="F830" s="559"/>
      <c r="G830" s="559" t="str">
        <f t="shared" si="78"/>
        <v/>
      </c>
      <c r="H830" s="559" t="str">
        <f t="shared" si="79"/>
        <v/>
      </c>
      <c r="I830" s="559" t="str">
        <f t="shared" si="80"/>
        <v/>
      </c>
    </row>
    <row r="831" spans="2:9">
      <c r="B831" s="555" t="str">
        <f t="shared" si="75"/>
        <v/>
      </c>
      <c r="C831" s="556" t="str">
        <f t="shared" si="76"/>
        <v/>
      </c>
      <c r="D831" s="557" t="str">
        <f t="shared" si="77"/>
        <v/>
      </c>
      <c r="E831" s="560"/>
      <c r="F831" s="559"/>
      <c r="G831" s="559" t="str">
        <f t="shared" si="78"/>
        <v/>
      </c>
      <c r="H831" s="559" t="str">
        <f t="shared" si="79"/>
        <v/>
      </c>
      <c r="I831" s="559" t="str">
        <f t="shared" si="80"/>
        <v/>
      </c>
    </row>
    <row r="832" spans="2:9">
      <c r="B832" s="555" t="str">
        <f t="shared" si="75"/>
        <v/>
      </c>
      <c r="C832" s="556" t="str">
        <f t="shared" si="76"/>
        <v/>
      </c>
      <c r="D832" s="557" t="str">
        <f t="shared" si="77"/>
        <v/>
      </c>
      <c r="E832" s="560"/>
      <c r="F832" s="559"/>
      <c r="G832" s="559" t="str">
        <f t="shared" si="78"/>
        <v/>
      </c>
      <c r="H832" s="559" t="str">
        <f t="shared" si="79"/>
        <v/>
      </c>
      <c r="I832" s="559" t="str">
        <f t="shared" si="80"/>
        <v/>
      </c>
    </row>
    <row r="833" spans="2:9">
      <c r="B833" s="555" t="str">
        <f t="shared" si="75"/>
        <v/>
      </c>
      <c r="C833" s="556" t="str">
        <f t="shared" si="76"/>
        <v/>
      </c>
      <c r="D833" s="557" t="str">
        <f t="shared" si="77"/>
        <v/>
      </c>
      <c r="E833" s="560"/>
      <c r="F833" s="559"/>
      <c r="G833" s="559" t="str">
        <f t="shared" si="78"/>
        <v/>
      </c>
      <c r="H833" s="559" t="str">
        <f t="shared" si="79"/>
        <v/>
      </c>
      <c r="I833" s="559" t="str">
        <f t="shared" si="80"/>
        <v/>
      </c>
    </row>
    <row r="834" spans="2:9">
      <c r="B834" s="555" t="str">
        <f t="shared" si="75"/>
        <v/>
      </c>
      <c r="C834" s="556" t="str">
        <f t="shared" si="76"/>
        <v/>
      </c>
      <c r="D834" s="557" t="str">
        <f t="shared" si="77"/>
        <v/>
      </c>
      <c r="E834" s="560"/>
      <c r="F834" s="559"/>
      <c r="G834" s="559" t="str">
        <f t="shared" si="78"/>
        <v/>
      </c>
      <c r="H834" s="559" t="str">
        <f t="shared" si="79"/>
        <v/>
      </c>
      <c r="I834" s="559" t="str">
        <f t="shared" si="80"/>
        <v/>
      </c>
    </row>
    <row r="835" spans="2:9">
      <c r="B835" s="555" t="str">
        <f t="shared" si="75"/>
        <v/>
      </c>
      <c r="C835" s="556" t="str">
        <f t="shared" si="76"/>
        <v/>
      </c>
      <c r="D835" s="557" t="str">
        <f t="shared" si="77"/>
        <v/>
      </c>
      <c r="E835" s="560"/>
      <c r="F835" s="559"/>
      <c r="G835" s="559" t="str">
        <f t="shared" si="78"/>
        <v/>
      </c>
      <c r="H835" s="559" t="str">
        <f t="shared" si="79"/>
        <v/>
      </c>
      <c r="I835" s="559" t="str">
        <f t="shared" si="80"/>
        <v/>
      </c>
    </row>
    <row r="836" spans="2:9">
      <c r="B836" s="555" t="str">
        <f t="shared" si="75"/>
        <v/>
      </c>
      <c r="C836" s="556" t="str">
        <f t="shared" si="76"/>
        <v/>
      </c>
      <c r="D836" s="557" t="str">
        <f t="shared" si="77"/>
        <v/>
      </c>
      <c r="E836" s="560"/>
      <c r="F836" s="559"/>
      <c r="G836" s="559" t="str">
        <f t="shared" si="78"/>
        <v/>
      </c>
      <c r="H836" s="559" t="str">
        <f t="shared" si="79"/>
        <v/>
      </c>
      <c r="I836" s="559" t="str">
        <f t="shared" si="80"/>
        <v/>
      </c>
    </row>
    <row r="837" spans="2:9">
      <c r="B837" s="555" t="str">
        <f t="shared" si="75"/>
        <v/>
      </c>
      <c r="C837" s="556" t="str">
        <f t="shared" si="76"/>
        <v/>
      </c>
      <c r="D837" s="557" t="str">
        <f t="shared" si="77"/>
        <v/>
      </c>
      <c r="E837" s="560"/>
      <c r="F837" s="559"/>
      <c r="G837" s="559" t="str">
        <f t="shared" si="78"/>
        <v/>
      </c>
      <c r="H837" s="559" t="str">
        <f t="shared" si="79"/>
        <v/>
      </c>
      <c r="I837" s="559" t="str">
        <f t="shared" si="80"/>
        <v/>
      </c>
    </row>
    <row r="838" spans="2:9">
      <c r="B838" s="555" t="str">
        <f t="shared" si="75"/>
        <v/>
      </c>
      <c r="C838" s="556" t="str">
        <f t="shared" si="76"/>
        <v/>
      </c>
      <c r="D838" s="557" t="str">
        <f t="shared" si="77"/>
        <v/>
      </c>
      <c r="E838" s="560"/>
      <c r="F838" s="559"/>
      <c r="G838" s="559" t="str">
        <f t="shared" si="78"/>
        <v/>
      </c>
      <c r="H838" s="559" t="str">
        <f t="shared" si="79"/>
        <v/>
      </c>
      <c r="I838" s="559" t="str">
        <f t="shared" si="80"/>
        <v/>
      </c>
    </row>
    <row r="839" spans="2:9">
      <c r="B839" s="555" t="str">
        <f t="shared" si="75"/>
        <v/>
      </c>
      <c r="C839" s="556" t="str">
        <f t="shared" si="76"/>
        <v/>
      </c>
      <c r="D839" s="557" t="str">
        <f t="shared" si="77"/>
        <v/>
      </c>
      <c r="E839" s="560"/>
      <c r="F839" s="559"/>
      <c r="G839" s="559" t="str">
        <f t="shared" si="78"/>
        <v/>
      </c>
      <c r="H839" s="559" t="str">
        <f t="shared" si="79"/>
        <v/>
      </c>
      <c r="I839" s="559" t="str">
        <f t="shared" si="80"/>
        <v/>
      </c>
    </row>
    <row r="840" spans="2:9">
      <c r="B840" s="555" t="str">
        <f t="shared" si="75"/>
        <v/>
      </c>
      <c r="C840" s="556" t="str">
        <f t="shared" si="76"/>
        <v/>
      </c>
      <c r="D840" s="557" t="str">
        <f t="shared" si="77"/>
        <v/>
      </c>
      <c r="E840" s="563"/>
      <c r="F840" s="559"/>
      <c r="G840" s="559" t="str">
        <f t="shared" si="78"/>
        <v/>
      </c>
      <c r="H840" s="559" t="str">
        <f t="shared" si="79"/>
        <v/>
      </c>
      <c r="I840" s="559" t="str">
        <f t="shared" si="80"/>
        <v/>
      </c>
    </row>
    <row r="841" spans="2:9">
      <c r="B841" s="564"/>
      <c r="C841" s="565"/>
      <c r="D841" s="565"/>
      <c r="E841" s="565" t="s">
        <v>712</v>
      </c>
      <c r="F841" s="565"/>
      <c r="G841" s="564"/>
      <c r="H841" s="564"/>
      <c r="I841" s="564"/>
    </row>
  </sheetData>
  <sheetProtection algorithmName="SHA-512" hashValue="2VkXGrCVxegsv5h6IU0ulQvwwIwCL4ytz/6cv2rQPd0HI0IP/YLIEhH6e7lMyfLEBH81zGTNOCuGjTxORyjRQg==" saltValue="DJYHurxLqMEkXOSPmhJ9UA==" spinCount="100000" sheet="1" formatCells="0" formatColumns="0" formatRows="0"/>
  <conditionalFormatting sqref="B61:I840">
    <cfRule type="expression" dxfId="3" priority="1" stopIfTrue="1">
      <formula>MOD($B61,periods_per_year)=0</formula>
    </cfRule>
  </conditionalFormatting>
  <conditionalFormatting sqref="E11">
    <cfRule type="expression" dxfId="2" priority="2" stopIfTrue="1">
      <formula>compound_period&gt;periods_per_year</formula>
    </cfRule>
  </conditionalFormatting>
  <dataValidations count="3">
    <dataValidation type="list" showInputMessage="1" showErrorMessage="1" sqref="E10:E11">
      <formula1>$J$6:$J$13</formula1>
    </dataValidation>
    <dataValidation type="list" showInputMessage="1" showErrorMessage="1" sqref="E13">
      <formula1>"On,Off"</formula1>
    </dataValidation>
    <dataValidation type="list" showInputMessage="1" showErrorMessage="1" sqref="E12">
      <formula1>"End of Period, Beginning of Period"</formula1>
    </dataValidation>
  </dataValidations>
  <printOptions horizontalCentered="1" headings="1" gridLines="1"/>
  <pageMargins left="0.5" right="0.5" top="0.85" bottom="0.5" header="0.5" footer="0.5"/>
  <pageSetup scale="52" fitToHeight="0" orientation="portrait" cellComments="asDisplayed" r:id="rId1"/>
  <headerFooter>
    <oddHeader>&amp;L&amp;F&amp;RPage &amp;P of &amp;N</oddHeader>
    <oddFooter>&amp;L&amp;A&amp;R&amp;D &amp;T</oddFooter>
    <firstFooter>&amp;R&amp;8Page &amp;P of &amp;N</firstFooter>
  </headerFooter>
  <drawing r:id="rId2"/>
  <legacy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L841"/>
  <sheetViews>
    <sheetView showGridLines="0" view="pageBreakPreview" zoomScaleNormal="100" zoomScaleSheetLayoutView="100" workbookViewId="0">
      <selection activeCell="B1" sqref="B1"/>
    </sheetView>
  </sheetViews>
  <sheetFormatPr defaultColWidth="9.140625" defaultRowHeight="12.75"/>
  <cols>
    <col min="1" max="1" width="10.28515625" style="510" customWidth="1"/>
    <col min="2" max="2" width="6.42578125" style="510" customWidth="1"/>
    <col min="3" max="3" width="9.42578125" style="510" customWidth="1"/>
    <col min="4" max="4" width="12.140625" style="510" customWidth="1"/>
    <col min="5" max="5" width="18.7109375" style="510" customWidth="1"/>
    <col min="6" max="6" width="5.28515625" style="510" customWidth="1"/>
    <col min="7" max="7" width="10.7109375" style="510" customWidth="1"/>
    <col min="8" max="8" width="11.85546875" style="510" customWidth="1"/>
    <col min="9" max="9" width="16.5703125" style="510" customWidth="1"/>
    <col min="10" max="10" width="16.42578125" style="510" hidden="1" customWidth="1"/>
    <col min="11" max="11" width="19" style="510" customWidth="1"/>
    <col min="12" max="12" width="13.7109375" style="510" customWidth="1"/>
    <col min="13" max="16384" width="9.140625" style="510"/>
  </cols>
  <sheetData>
    <row r="1" spans="2:10" ht="22.9" customHeight="1">
      <c r="B1" s="593" t="s">
        <v>729</v>
      </c>
      <c r="C1" s="508"/>
      <c r="D1" s="594"/>
      <c r="E1" s="508"/>
      <c r="F1" s="508"/>
      <c r="G1" s="508"/>
      <c r="H1" s="509"/>
      <c r="I1" s="509"/>
    </row>
    <row r="2" spans="2:10" ht="12.75" customHeight="1">
      <c r="B2" s="511"/>
      <c r="C2" s="512"/>
      <c r="D2" s="512"/>
      <c r="E2" s="512"/>
      <c r="F2" s="512"/>
      <c r="G2" s="512"/>
      <c r="H2" s="512"/>
      <c r="I2" s="513" t="str">
        <f ca="1">"© 2008-" &amp; YEAR(TODAY()) &amp; " Vertex42 LLC"</f>
        <v>© 2008-2022 Vertex42 LLC</v>
      </c>
    </row>
    <row r="5" spans="2:10" ht="14.25">
      <c r="B5" s="514" t="s">
        <v>670</v>
      </c>
      <c r="C5" s="515"/>
      <c r="D5" s="515"/>
      <c r="E5" s="515"/>
      <c r="G5" s="514" t="s">
        <v>671</v>
      </c>
      <c r="H5" s="516"/>
      <c r="I5" s="516"/>
      <c r="J5" s="517" t="s">
        <v>672</v>
      </c>
    </row>
    <row r="6" spans="2:10" ht="15" customHeight="1">
      <c r="B6" s="512"/>
      <c r="C6" s="512"/>
      <c r="D6" s="518" t="s">
        <v>673</v>
      </c>
      <c r="E6" s="595">
        <f>Dashboard!M28</f>
        <v>0</v>
      </c>
      <c r="H6" s="519" t="s">
        <v>674</v>
      </c>
      <c r="I6" s="520">
        <f>((1+E7/E15)^(E15/E14))-1</f>
        <v>3.7500000000000089E-2</v>
      </c>
      <c r="J6" s="510" t="s">
        <v>152</v>
      </c>
    </row>
    <row r="7" spans="2:10" ht="15" customHeight="1">
      <c r="B7" s="512"/>
      <c r="C7" s="512"/>
      <c r="D7" s="518" t="s">
        <v>675</v>
      </c>
      <c r="E7" s="521">
        <f>Dashboard!F15</f>
        <v>3.7499999999999999E-2</v>
      </c>
      <c r="H7" s="519" t="s">
        <v>676</v>
      </c>
      <c r="I7" s="522">
        <f>SUM(G61:G840)+SUM(H61:H840)</f>
        <v>0</v>
      </c>
      <c r="J7" s="510" t="s">
        <v>677</v>
      </c>
    </row>
    <row r="8" spans="2:10" ht="15" customHeight="1">
      <c r="B8" s="512"/>
      <c r="C8" s="512"/>
      <c r="D8" s="518" t="s">
        <v>678</v>
      </c>
      <c r="E8" s="523">
        <f>Dashboard!M33</f>
        <v>30</v>
      </c>
      <c r="H8" s="519" t="s">
        <v>679</v>
      </c>
      <c r="I8" s="524">
        <f>SUM(G60:G840)</f>
        <v>0</v>
      </c>
      <c r="J8" s="510" t="s">
        <v>680</v>
      </c>
    </row>
    <row r="9" spans="2:10" ht="15" customHeight="1">
      <c r="B9" s="512"/>
      <c r="C9" s="512"/>
      <c r="D9" s="518" t="s">
        <v>681</v>
      </c>
      <c r="E9" s="525">
        <v>48030</v>
      </c>
      <c r="H9" s="519" t="s">
        <v>682</v>
      </c>
      <c r="I9" s="526" t="str">
        <f>IF(AND(SUM(E61:E840)=0,roundOpt)," - ",(nper*(-PMT(rate,nper,loan_amount,,pmtType))-loan_amount)-I8)</f>
        <v xml:space="preserve"> - </v>
      </c>
      <c r="J9" s="510" t="s">
        <v>683</v>
      </c>
    </row>
    <row r="10" spans="2:10" ht="15" customHeight="1">
      <c r="B10" s="512" t="e">
        <f>+#REF!</f>
        <v>#REF!</v>
      </c>
      <c r="C10" s="512"/>
      <c r="D10" s="518" t="s">
        <v>684</v>
      </c>
      <c r="E10" s="525" t="s">
        <v>685</v>
      </c>
      <c r="I10" s="527" t="str">
        <f ca="1">IF(AND(NOT(I840=""),I840&gt;0.004),"ERROR: Limit is "&amp;OFFSET(B841,-1,0,1,1)&amp;" payments",".")</f>
        <v>.</v>
      </c>
      <c r="J10" s="510" t="s">
        <v>686</v>
      </c>
    </row>
    <row r="11" spans="2:10" ht="15" customHeight="1">
      <c r="B11" s="512"/>
      <c r="C11" s="512"/>
      <c r="D11" s="518" t="s">
        <v>687</v>
      </c>
      <c r="E11" s="528" t="str">
        <f>E10</f>
        <v>annual</v>
      </c>
      <c r="I11" s="529" t="str">
        <f>IF(E15&gt;E14,"Warning: negative amortization",".")</f>
        <v>.</v>
      </c>
      <c r="J11" s="510" t="s">
        <v>688</v>
      </c>
    </row>
    <row r="12" spans="2:10" ht="15" customHeight="1">
      <c r="B12" s="512"/>
      <c r="C12" s="512"/>
      <c r="D12" s="518" t="s">
        <v>689</v>
      </c>
      <c r="E12" s="528" t="s">
        <v>690</v>
      </c>
      <c r="J12" s="510" t="s">
        <v>691</v>
      </c>
    </row>
    <row r="13" spans="2:10" ht="15" customHeight="1">
      <c r="B13" s="512"/>
      <c r="C13" s="512"/>
      <c r="D13" s="518" t="s">
        <v>692</v>
      </c>
      <c r="E13" s="528" t="s">
        <v>693</v>
      </c>
      <c r="I13" s="529"/>
      <c r="J13" s="510" t="s">
        <v>694</v>
      </c>
    </row>
    <row r="14" spans="2:10" ht="15" customHeight="1">
      <c r="B14" s="512"/>
      <c r="C14" s="512"/>
      <c r="D14" s="530" t="s">
        <v>695</v>
      </c>
      <c r="E14" s="512">
        <f>INDEX({1;2;4;6;12;24;26;52},MATCH('FY32 Level-Payment'!$E$10,$J$6:$J$13,0))</f>
        <v>1</v>
      </c>
    </row>
    <row r="15" spans="2:10" ht="15" customHeight="1">
      <c r="B15" s="512"/>
      <c r="C15" s="512"/>
      <c r="D15" s="530" t="s">
        <v>687</v>
      </c>
      <c r="E15" s="512">
        <f>INDEX({1;2;4;6;12;24;26;52},MATCH('FY32 Level-Payment'!$E$11,$J$6:$J$13,0))</f>
        <v>1</v>
      </c>
    </row>
    <row r="16" spans="2:10" ht="15" customHeight="1">
      <c r="B16" s="512"/>
      <c r="C16" s="512"/>
      <c r="D16" s="530" t="s">
        <v>689</v>
      </c>
      <c r="E16" s="512">
        <f>IF('FY32 Level-Payment'!$E$12="End of Period",0,1)</f>
        <v>1</v>
      </c>
    </row>
    <row r="17" spans="2:12" ht="15" customHeight="1">
      <c r="B17" s="512"/>
      <c r="C17" s="512"/>
      <c r="D17" s="530" t="s">
        <v>696</v>
      </c>
      <c r="E17" s="512">
        <f>12/$E$14</f>
        <v>12</v>
      </c>
    </row>
    <row r="18" spans="2:12" ht="15" customHeight="1">
      <c r="B18" s="512"/>
      <c r="C18" s="512"/>
      <c r="D18" s="530" t="s">
        <v>697</v>
      </c>
      <c r="E18" s="512">
        <f>$E$8*$E$14</f>
        <v>30</v>
      </c>
    </row>
    <row r="19" spans="2:12" ht="15" customHeight="1">
      <c r="B19" s="512"/>
      <c r="C19" s="512"/>
      <c r="D19" s="530" t="s">
        <v>698</v>
      </c>
      <c r="E19" s="513" t="b">
        <f>(E13="On")</f>
        <v>1</v>
      </c>
    </row>
    <row r="20" spans="2:12">
      <c r="I20" s="531" t="s">
        <v>699</v>
      </c>
    </row>
    <row r="21" spans="2:12" ht="15.75">
      <c r="D21" s="532" t="str">
        <f>E10&amp;" Payment"</f>
        <v>annual Payment</v>
      </c>
      <c r="E21" s="533">
        <f>IF(roundOpt,ROUND(-PMT(rate,nper,$E$6,,pmtType),2),-PMT(rate,nper,$E$6,,pmtType))</f>
        <v>0</v>
      </c>
      <c r="I21" s="531"/>
    </row>
    <row r="22" spans="2:12">
      <c r="I22" s="531"/>
    </row>
    <row r="23" spans="2:12" ht="15">
      <c r="B23" s="534" t="s">
        <v>700</v>
      </c>
      <c r="C23" s="534"/>
      <c r="D23" s="534"/>
      <c r="E23" s="534"/>
      <c r="F23" s="534"/>
      <c r="G23" s="534"/>
      <c r="H23" s="534"/>
      <c r="I23" s="534"/>
    </row>
    <row r="24" spans="2:12" ht="26.25" thickBot="1">
      <c r="B24" s="535"/>
      <c r="C24" s="536" t="s">
        <v>42</v>
      </c>
      <c r="D24" s="537" t="s">
        <v>701</v>
      </c>
      <c r="E24" s="537" t="s">
        <v>702</v>
      </c>
      <c r="F24" s="537"/>
      <c r="G24" s="537" t="s">
        <v>703</v>
      </c>
      <c r="H24" s="537" t="s">
        <v>704</v>
      </c>
      <c r="I24" s="537" t="s">
        <v>705</v>
      </c>
      <c r="K24" s="538" t="s">
        <v>706</v>
      </c>
    </row>
    <row r="25" spans="2:12">
      <c r="B25" s="539"/>
      <c r="C25" s="540"/>
      <c r="D25" s="539"/>
      <c r="E25" s="539"/>
      <c r="F25" s="539"/>
      <c r="G25" s="539"/>
      <c r="H25" s="541"/>
      <c r="I25" s="542">
        <f>loan_amount</f>
        <v>0</v>
      </c>
      <c r="K25" s="543">
        <f>loan_amount</f>
        <v>0</v>
      </c>
      <c r="L25" s="538" t="s">
        <v>719</v>
      </c>
    </row>
    <row r="26" spans="2:12">
      <c r="B26" s="544"/>
      <c r="C26" s="544">
        <f>YEAR(fpdate)</f>
        <v>2031</v>
      </c>
      <c r="D26" s="545">
        <f>SUMIF($C$60:$C$841,"&lt;="&amp;DATE($C26,12,31),$D$60:$D$841)-SUM(D$25:D25)</f>
        <v>0</v>
      </c>
      <c r="E26" s="545">
        <f>SUMIF($C$60:$C$841,"&lt;="&amp;DATE($C26,12,31),$E$60:$E$841)-SUM(E$25:E25)</f>
        <v>0</v>
      </c>
      <c r="F26" s="546"/>
      <c r="G26" s="545">
        <f>SUMIF($C$60:$C$841,"&lt;="&amp;DATE($C26,12,31),$G$60:$G$841)-SUM(G$25:G25)</f>
        <v>0</v>
      </c>
      <c r="H26" s="545">
        <f>SUMIF($C$60:$C$841,"&lt;="&amp;DATE($C26,12,31),$H$60:$H$841)-SUM(H$25:H25)</f>
        <v>0</v>
      </c>
      <c r="I26" s="545">
        <f>I25-H26</f>
        <v>0</v>
      </c>
      <c r="K26" s="547">
        <f t="shared" ref="K26:K54" si="0">K25-H26</f>
        <v>0</v>
      </c>
      <c r="L26" s="604">
        <f>SUM(D26)</f>
        <v>0</v>
      </c>
    </row>
    <row r="27" spans="2:12">
      <c r="B27" s="548"/>
      <c r="C27" s="544">
        <f>C26+1</f>
        <v>2032</v>
      </c>
      <c r="D27" s="545">
        <f>SUMIF($C$60:$C$841,"&lt;="&amp;DATE($C27,12,31),$D$60:$D$841)-SUM(D$25:D26)</f>
        <v>0</v>
      </c>
      <c r="E27" s="545">
        <f>SUMIF($C$60:$C$841,"&lt;="&amp;DATE($C27,12,31),$E$60:$E$841)-SUM(E$25:E26)</f>
        <v>0</v>
      </c>
      <c r="F27" s="546"/>
      <c r="G27" s="545">
        <f>SUMIF($C$60:$C$841,"&lt;="&amp;DATE($C27,12,31),$G$60:$G$841)-SUM(G$25:G26)</f>
        <v>0</v>
      </c>
      <c r="H27" s="545">
        <f>SUMIF($C$60:$C$841,"&lt;="&amp;DATE($C27,12,31),$H$60:$H$841)-SUM(H$25:H26)</f>
        <v>0</v>
      </c>
      <c r="I27" s="545">
        <f>I26-H27</f>
        <v>0</v>
      </c>
      <c r="K27" s="547">
        <f t="shared" si="0"/>
        <v>0</v>
      </c>
    </row>
    <row r="28" spans="2:12">
      <c r="B28" s="548"/>
      <c r="C28" s="544">
        <f>C27+1</f>
        <v>2033</v>
      </c>
      <c r="D28" s="545">
        <f>SUMIF($C$60:$C$841,"&lt;="&amp;DATE($C28,12,31),$D$60:$D$841)-SUM(D$25:D27)</f>
        <v>0</v>
      </c>
      <c r="E28" s="545">
        <f>SUMIF($C$60:$C$841,"&lt;="&amp;DATE($C28,12,31),$E$60:$E$841)-SUM(E$25:E27)</f>
        <v>0</v>
      </c>
      <c r="F28" s="546"/>
      <c r="G28" s="545">
        <f>SUMIF($C$60:$C$841,"&lt;="&amp;DATE($C28,12,31),$G$60:$G$841)-SUM(G$25:G27)</f>
        <v>0</v>
      </c>
      <c r="H28" s="545">
        <f>SUMIF($C$60:$C$841,"&lt;="&amp;DATE($C28,12,31),$H$60:$H$841)-SUM(H$25:H27)</f>
        <v>0</v>
      </c>
      <c r="I28" s="545">
        <f>I27-H28</f>
        <v>0</v>
      </c>
      <c r="K28" s="547">
        <f t="shared" si="0"/>
        <v>0</v>
      </c>
    </row>
    <row r="29" spans="2:12">
      <c r="B29" s="548"/>
      <c r="C29" s="544">
        <f>C28+1</f>
        <v>2034</v>
      </c>
      <c r="D29" s="545">
        <f>SUMIF($C$60:$C$841,"&lt;="&amp;DATE($C29,12,31),$D$60:$D$841)-SUM(D$25:D28)</f>
        <v>0</v>
      </c>
      <c r="E29" s="545">
        <f>SUMIF($C$60:$C$841,"&lt;="&amp;DATE($C29,12,31),$E$60:$E$841)-SUM(E$25:E28)</f>
        <v>0</v>
      </c>
      <c r="F29" s="546"/>
      <c r="G29" s="545">
        <f>SUMIF($C$60:$C$841,"&lt;="&amp;DATE($C29,12,31),$G$60:$G$841)-SUM(G$25:G28)</f>
        <v>0</v>
      </c>
      <c r="H29" s="545">
        <f>SUMIF($C$60:$C$841,"&lt;="&amp;DATE($C29,12,31),$H$60:$H$841)-SUM(H$25:H28)</f>
        <v>0</v>
      </c>
      <c r="I29" s="545">
        <f>I28-H29</f>
        <v>0</v>
      </c>
      <c r="K29" s="547">
        <f t="shared" si="0"/>
        <v>0</v>
      </c>
    </row>
    <row r="30" spans="2:12">
      <c r="B30" s="548"/>
      <c r="C30" s="544">
        <f t="shared" ref="C30:C56" si="1">C29+1</f>
        <v>2035</v>
      </c>
      <c r="D30" s="545">
        <f>SUMIF($C$60:$C$841,"&lt;="&amp;DATE($C30,12,31),$D$60:$D$841)-SUM(D$25:D29)</f>
        <v>0</v>
      </c>
      <c r="E30" s="545">
        <f>SUMIF($C$60:$C$841,"&lt;="&amp;DATE($C30,12,31),$E$60:$E$841)-SUM(E$25:E29)</f>
        <v>0</v>
      </c>
      <c r="F30" s="546"/>
      <c r="G30" s="545">
        <f>SUMIF($C$60:$C$841,"&lt;="&amp;DATE($C30,12,31),$G$60:$G$841)-SUM(G$25:G29)</f>
        <v>0</v>
      </c>
      <c r="H30" s="545">
        <f>SUMIF($C$60:$C$841,"&lt;="&amp;DATE($C30,12,31),$H$60:$H$841)-SUM(H$25:H29)</f>
        <v>0</v>
      </c>
      <c r="I30" s="545">
        <f t="shared" ref="I30:I56" si="2">I29-H30</f>
        <v>0</v>
      </c>
      <c r="K30" s="547">
        <f t="shared" si="0"/>
        <v>0</v>
      </c>
    </row>
    <row r="31" spans="2:12">
      <c r="B31" s="548"/>
      <c r="C31" s="544">
        <f t="shared" si="1"/>
        <v>2036</v>
      </c>
      <c r="D31" s="545">
        <f>SUMIF($C$60:$C$841,"&lt;="&amp;DATE($C31,12,31),$D$60:$D$841)-SUM(D$25:D30)</f>
        <v>0</v>
      </c>
      <c r="E31" s="545">
        <f>SUMIF($C$60:$C$841,"&lt;="&amp;DATE($C31,12,31),$E$60:$E$841)-SUM(E$25:E30)</f>
        <v>0</v>
      </c>
      <c r="F31" s="546"/>
      <c r="G31" s="545">
        <f>SUMIF($C$60:$C$841,"&lt;="&amp;DATE($C31,12,31),$G$60:$G$841)-SUM(G$25:G30)</f>
        <v>0</v>
      </c>
      <c r="H31" s="545">
        <f>SUMIF($C$60:$C$841,"&lt;="&amp;DATE($C31,12,31),$H$60:$H$841)-SUM(H$25:H30)</f>
        <v>0</v>
      </c>
      <c r="I31" s="545">
        <f t="shared" si="2"/>
        <v>0</v>
      </c>
      <c r="K31" s="547">
        <f t="shared" si="0"/>
        <v>0</v>
      </c>
    </row>
    <row r="32" spans="2:12">
      <c r="B32" s="548"/>
      <c r="C32" s="544">
        <f t="shared" si="1"/>
        <v>2037</v>
      </c>
      <c r="D32" s="545">
        <f>SUMIF($C$60:$C$841,"&lt;="&amp;DATE($C32,12,31),$D$60:$D$841)-SUM(D$25:D31)</f>
        <v>0</v>
      </c>
      <c r="E32" s="545">
        <f>SUMIF($C$60:$C$841,"&lt;="&amp;DATE($C32,12,31),$E$60:$E$841)-SUM(E$25:E31)</f>
        <v>0</v>
      </c>
      <c r="F32" s="546"/>
      <c r="G32" s="545">
        <f>SUMIF($C$60:$C$841,"&lt;="&amp;DATE($C32,12,31),$G$60:$G$841)-SUM(G$25:G31)</f>
        <v>0</v>
      </c>
      <c r="H32" s="545">
        <f>SUMIF($C$60:$C$841,"&lt;="&amp;DATE($C32,12,31),$H$60:$H$841)-SUM(H$25:H31)</f>
        <v>0</v>
      </c>
      <c r="I32" s="545">
        <f t="shared" si="2"/>
        <v>0</v>
      </c>
      <c r="K32" s="547">
        <f t="shared" si="0"/>
        <v>0</v>
      </c>
    </row>
    <row r="33" spans="2:11">
      <c r="B33" s="548"/>
      <c r="C33" s="544">
        <f t="shared" si="1"/>
        <v>2038</v>
      </c>
      <c r="D33" s="545">
        <f>SUMIF($C$60:$C$841,"&lt;="&amp;DATE($C33,12,31),$D$60:$D$841)-SUM(D$25:D32)</f>
        <v>0</v>
      </c>
      <c r="E33" s="545">
        <f>SUMIF($C$60:$C$841,"&lt;="&amp;DATE($C33,12,31),$E$60:$E$841)-SUM(E$25:E32)</f>
        <v>0</v>
      </c>
      <c r="F33" s="546"/>
      <c r="G33" s="545">
        <f>SUMIF($C$60:$C$841,"&lt;="&amp;DATE($C33,12,31),$G$60:$G$841)-SUM(G$25:G32)</f>
        <v>0</v>
      </c>
      <c r="H33" s="545">
        <f>SUMIF($C$60:$C$841,"&lt;="&amp;DATE($C33,12,31),$H$60:$H$841)-SUM(H$25:H32)</f>
        <v>0</v>
      </c>
      <c r="I33" s="545">
        <f t="shared" si="2"/>
        <v>0</v>
      </c>
      <c r="K33" s="547">
        <f t="shared" si="0"/>
        <v>0</v>
      </c>
    </row>
    <row r="34" spans="2:11">
      <c r="B34" s="548"/>
      <c r="C34" s="544">
        <f t="shared" si="1"/>
        <v>2039</v>
      </c>
      <c r="D34" s="545">
        <f>SUMIF($C$60:$C$841,"&lt;="&amp;DATE($C34,12,31),$D$60:$D$841)-SUM(D$25:D33)</f>
        <v>0</v>
      </c>
      <c r="E34" s="545">
        <f>SUMIF($C$60:$C$841,"&lt;="&amp;DATE($C34,12,31),$E$60:$E$841)-SUM(E$25:E33)</f>
        <v>0</v>
      </c>
      <c r="F34" s="546"/>
      <c r="G34" s="545">
        <f>SUMIF($C$60:$C$841,"&lt;="&amp;DATE($C34,12,31),$G$60:$G$841)-SUM(G$25:G33)</f>
        <v>0</v>
      </c>
      <c r="H34" s="545">
        <f>SUMIF($C$60:$C$841,"&lt;="&amp;DATE($C34,12,31),$H$60:$H$841)-SUM(H$25:H33)</f>
        <v>0</v>
      </c>
      <c r="I34" s="545">
        <f t="shared" si="2"/>
        <v>0</v>
      </c>
      <c r="K34" s="547">
        <f t="shared" si="0"/>
        <v>0</v>
      </c>
    </row>
    <row r="35" spans="2:11">
      <c r="B35" s="548"/>
      <c r="C35" s="544">
        <f t="shared" si="1"/>
        <v>2040</v>
      </c>
      <c r="D35" s="545">
        <f>SUMIF($C$60:$C$841,"&lt;="&amp;DATE($C35,12,31),$D$60:$D$841)-SUM(D$25:D34)</f>
        <v>0</v>
      </c>
      <c r="E35" s="545">
        <f>SUMIF($C$60:$C$841,"&lt;="&amp;DATE($C35,12,31),$E$60:$E$841)-SUM(E$25:E34)</f>
        <v>0</v>
      </c>
      <c r="F35" s="546"/>
      <c r="G35" s="545">
        <f>SUMIF($C$60:$C$841,"&lt;="&amp;DATE($C35,12,31),$G$60:$G$841)-SUM(G$25:G34)</f>
        <v>0</v>
      </c>
      <c r="H35" s="545">
        <f>SUMIF($C$60:$C$841,"&lt;="&amp;DATE($C35,12,31),$H$60:$H$841)-SUM(H$25:H34)</f>
        <v>0</v>
      </c>
      <c r="I35" s="545">
        <f t="shared" si="2"/>
        <v>0</v>
      </c>
      <c r="K35" s="547">
        <f t="shared" si="0"/>
        <v>0</v>
      </c>
    </row>
    <row r="36" spans="2:11">
      <c r="B36" s="548"/>
      <c r="C36" s="544">
        <f t="shared" si="1"/>
        <v>2041</v>
      </c>
      <c r="D36" s="545">
        <f>SUMIF($C$60:$C$841,"&lt;="&amp;DATE($C36,12,31),$D$60:$D$841)-SUM(D$25:D35)</f>
        <v>0</v>
      </c>
      <c r="E36" s="545">
        <f>SUMIF($C$60:$C$841,"&lt;="&amp;DATE($C36,12,31),$E$60:$E$841)-SUM(E$25:E35)</f>
        <v>0</v>
      </c>
      <c r="F36" s="546"/>
      <c r="G36" s="545">
        <f>SUMIF($C$60:$C$841,"&lt;="&amp;DATE($C36,12,31),$G$60:$G$841)-SUM(G$25:G35)</f>
        <v>0</v>
      </c>
      <c r="H36" s="545">
        <f>SUMIF($C$60:$C$841,"&lt;="&amp;DATE($C36,12,31),$H$60:$H$841)-SUM(H$25:H35)</f>
        <v>0</v>
      </c>
      <c r="I36" s="545">
        <f t="shared" si="2"/>
        <v>0</v>
      </c>
      <c r="K36" s="547">
        <f t="shared" si="0"/>
        <v>0</v>
      </c>
    </row>
    <row r="37" spans="2:11">
      <c r="B37" s="548"/>
      <c r="C37" s="544">
        <f t="shared" si="1"/>
        <v>2042</v>
      </c>
      <c r="D37" s="545">
        <f>SUMIF($C$60:$C$841,"&lt;="&amp;DATE($C37,12,31),$D$60:$D$841)-SUM(D$25:D36)</f>
        <v>0</v>
      </c>
      <c r="E37" s="545">
        <f>SUMIF($C$60:$C$841,"&lt;="&amp;DATE($C37,12,31),$E$60:$E$841)-SUM(E$25:E36)</f>
        <v>0</v>
      </c>
      <c r="F37" s="546"/>
      <c r="G37" s="545">
        <f>SUMIF($C$60:$C$841,"&lt;="&amp;DATE($C37,12,31),$G$60:$G$841)-SUM(G$25:G36)</f>
        <v>0</v>
      </c>
      <c r="H37" s="545">
        <f>SUMIF($C$60:$C$841,"&lt;="&amp;DATE($C37,12,31),$H$60:$H$841)-SUM(H$25:H36)</f>
        <v>0</v>
      </c>
      <c r="I37" s="545">
        <f t="shared" si="2"/>
        <v>0</v>
      </c>
      <c r="K37" s="547">
        <f t="shared" si="0"/>
        <v>0</v>
      </c>
    </row>
    <row r="38" spans="2:11">
      <c r="B38" s="548"/>
      <c r="C38" s="544">
        <f t="shared" si="1"/>
        <v>2043</v>
      </c>
      <c r="D38" s="545">
        <f>SUMIF($C$60:$C$841,"&lt;="&amp;DATE($C38,12,31),$D$60:$D$841)-SUM(D$25:D37)</f>
        <v>0</v>
      </c>
      <c r="E38" s="545">
        <f>SUMIF($C$60:$C$841,"&lt;="&amp;DATE($C38,12,31),$E$60:$E$841)-SUM(E$25:E37)</f>
        <v>0</v>
      </c>
      <c r="F38" s="546"/>
      <c r="G38" s="545">
        <f>SUMIF($C$60:$C$841,"&lt;="&amp;DATE($C38,12,31),$G$60:$G$841)-SUM(G$25:G37)</f>
        <v>0</v>
      </c>
      <c r="H38" s="545">
        <f>SUMIF($C$60:$C$841,"&lt;="&amp;DATE($C38,12,31),$H$60:$H$841)-SUM(H$25:H37)</f>
        <v>0</v>
      </c>
      <c r="I38" s="545">
        <f t="shared" si="2"/>
        <v>0</v>
      </c>
      <c r="K38" s="547">
        <f t="shared" si="0"/>
        <v>0</v>
      </c>
    </row>
    <row r="39" spans="2:11">
      <c r="B39" s="548"/>
      <c r="C39" s="544">
        <f t="shared" si="1"/>
        <v>2044</v>
      </c>
      <c r="D39" s="545">
        <f>SUMIF($C$60:$C$841,"&lt;="&amp;DATE($C39,12,31),$D$60:$D$841)-SUM(D$25:D38)</f>
        <v>0</v>
      </c>
      <c r="E39" s="545">
        <f>SUMIF($C$60:$C$841,"&lt;="&amp;DATE($C39,12,31),$E$60:$E$841)-SUM(E$25:E38)</f>
        <v>0</v>
      </c>
      <c r="F39" s="546"/>
      <c r="G39" s="545">
        <f>SUMIF($C$60:$C$841,"&lt;="&amp;DATE($C39,12,31),$G$60:$G$841)-SUM(G$25:G38)</f>
        <v>0</v>
      </c>
      <c r="H39" s="545">
        <f>SUMIF($C$60:$C$841,"&lt;="&amp;DATE($C39,12,31),$H$60:$H$841)-SUM(H$25:H38)</f>
        <v>0</v>
      </c>
      <c r="I39" s="545">
        <f t="shared" si="2"/>
        <v>0</v>
      </c>
      <c r="K39" s="547">
        <f t="shared" si="0"/>
        <v>0</v>
      </c>
    </row>
    <row r="40" spans="2:11">
      <c r="B40" s="548"/>
      <c r="C40" s="544">
        <f t="shared" si="1"/>
        <v>2045</v>
      </c>
      <c r="D40" s="545">
        <f>SUMIF($C$60:$C$841,"&lt;="&amp;DATE($C40,12,31),$D$60:$D$841)-SUM(D$25:D39)</f>
        <v>0</v>
      </c>
      <c r="E40" s="545">
        <f>SUMIF($C$60:$C$841,"&lt;="&amp;DATE($C40,12,31),$E$60:$E$841)-SUM(E$25:E39)</f>
        <v>0</v>
      </c>
      <c r="F40" s="546"/>
      <c r="G40" s="545">
        <f>SUMIF($C$60:$C$841,"&lt;="&amp;DATE($C40,12,31),$G$60:$G$841)-SUM(G$25:G39)</f>
        <v>0</v>
      </c>
      <c r="H40" s="545">
        <f>SUMIF($C$60:$C$841,"&lt;="&amp;DATE($C40,12,31),$H$60:$H$841)-SUM(H$25:H39)</f>
        <v>0</v>
      </c>
      <c r="I40" s="545">
        <f t="shared" si="2"/>
        <v>0</v>
      </c>
      <c r="K40" s="547">
        <f t="shared" si="0"/>
        <v>0</v>
      </c>
    </row>
    <row r="41" spans="2:11">
      <c r="B41" s="548"/>
      <c r="C41" s="544">
        <f t="shared" si="1"/>
        <v>2046</v>
      </c>
      <c r="D41" s="545">
        <f>SUMIF($C$60:$C$841,"&lt;="&amp;DATE($C41,12,31),$D$60:$D$841)-SUM(D$25:D40)</f>
        <v>0</v>
      </c>
      <c r="E41" s="545">
        <f>SUMIF($C$60:$C$841,"&lt;="&amp;DATE($C41,12,31),$E$60:$E$841)-SUM(E$25:E40)</f>
        <v>0</v>
      </c>
      <c r="F41" s="546"/>
      <c r="G41" s="545">
        <f>SUMIF($C$60:$C$841,"&lt;="&amp;DATE($C41,12,31),$G$60:$G$841)-SUM(G$25:G40)</f>
        <v>0</v>
      </c>
      <c r="H41" s="545">
        <f>SUMIF($C$60:$C$841,"&lt;="&amp;DATE($C41,12,31),$H$60:$H$841)-SUM(H$25:H40)</f>
        <v>0</v>
      </c>
      <c r="I41" s="545">
        <f t="shared" si="2"/>
        <v>0</v>
      </c>
      <c r="K41" s="547">
        <f t="shared" si="0"/>
        <v>0</v>
      </c>
    </row>
    <row r="42" spans="2:11">
      <c r="B42" s="548"/>
      <c r="C42" s="544">
        <f t="shared" si="1"/>
        <v>2047</v>
      </c>
      <c r="D42" s="545">
        <f>SUMIF($C$60:$C$841,"&lt;="&amp;DATE($C42,12,31),$D$60:$D$841)-SUM(D$25:D41)</f>
        <v>0</v>
      </c>
      <c r="E42" s="545">
        <f>SUMIF($C$60:$C$841,"&lt;="&amp;DATE($C42,12,31),$E$60:$E$841)-SUM(E$25:E41)</f>
        <v>0</v>
      </c>
      <c r="F42" s="546"/>
      <c r="G42" s="545">
        <f>SUMIF($C$60:$C$841,"&lt;="&amp;DATE($C42,12,31),$G$60:$G$841)-SUM(G$25:G41)</f>
        <v>0</v>
      </c>
      <c r="H42" s="545">
        <f>SUMIF($C$60:$C$841,"&lt;="&amp;DATE($C42,12,31),$H$60:$H$841)-SUM(H$25:H41)</f>
        <v>0</v>
      </c>
      <c r="I42" s="545">
        <f t="shared" si="2"/>
        <v>0</v>
      </c>
      <c r="K42" s="547">
        <f t="shared" si="0"/>
        <v>0</v>
      </c>
    </row>
    <row r="43" spans="2:11">
      <c r="B43" s="548"/>
      <c r="C43" s="544">
        <f t="shared" si="1"/>
        <v>2048</v>
      </c>
      <c r="D43" s="545">
        <f>SUMIF($C$60:$C$841,"&lt;="&amp;DATE($C43,12,31),$D$60:$D$841)-SUM(D$25:D42)</f>
        <v>0</v>
      </c>
      <c r="E43" s="545">
        <f>SUMIF($C$60:$C$841,"&lt;="&amp;DATE($C43,12,31),$E$60:$E$841)-SUM(E$25:E42)</f>
        <v>0</v>
      </c>
      <c r="F43" s="546"/>
      <c r="G43" s="545">
        <f>SUMIF($C$60:$C$841,"&lt;="&amp;DATE($C43,12,31),$G$60:$G$841)-SUM(G$25:G42)</f>
        <v>0</v>
      </c>
      <c r="H43" s="545">
        <f>SUMIF($C$60:$C$841,"&lt;="&amp;DATE($C43,12,31),$H$60:$H$841)-SUM(H$25:H42)</f>
        <v>0</v>
      </c>
      <c r="I43" s="545">
        <f t="shared" si="2"/>
        <v>0</v>
      </c>
      <c r="K43" s="547">
        <f t="shared" si="0"/>
        <v>0</v>
      </c>
    </row>
    <row r="44" spans="2:11">
      <c r="B44" s="548"/>
      <c r="C44" s="544">
        <f t="shared" si="1"/>
        <v>2049</v>
      </c>
      <c r="D44" s="545">
        <f>SUMIF($C$60:$C$841,"&lt;="&amp;DATE($C44,12,31),$D$60:$D$841)-SUM(D$25:D43)</f>
        <v>0</v>
      </c>
      <c r="E44" s="545">
        <f>SUMIF($C$60:$C$841,"&lt;="&amp;DATE($C44,12,31),$E$60:$E$841)-SUM(E$25:E43)</f>
        <v>0</v>
      </c>
      <c r="F44" s="546"/>
      <c r="G44" s="545">
        <f>SUMIF($C$60:$C$841,"&lt;="&amp;DATE($C44,12,31),$G$60:$G$841)-SUM(G$25:G43)</f>
        <v>0</v>
      </c>
      <c r="H44" s="545">
        <f>SUMIF($C$60:$C$841,"&lt;="&amp;DATE($C44,12,31),$H$60:$H$841)-SUM(H$25:H43)</f>
        <v>0</v>
      </c>
      <c r="I44" s="545">
        <f t="shared" si="2"/>
        <v>0</v>
      </c>
      <c r="K44" s="547">
        <f t="shared" si="0"/>
        <v>0</v>
      </c>
    </row>
    <row r="45" spans="2:11">
      <c r="B45" s="548"/>
      <c r="C45" s="544">
        <f t="shared" si="1"/>
        <v>2050</v>
      </c>
      <c r="D45" s="545">
        <f>SUMIF($C$60:$C$841,"&lt;="&amp;DATE($C45,12,31),$D$60:$D$841)-SUM(D$25:D44)</f>
        <v>0</v>
      </c>
      <c r="E45" s="545">
        <f>SUMIF($C$60:$C$841,"&lt;="&amp;DATE($C45,12,31),$E$60:$E$841)-SUM(E$25:E44)</f>
        <v>0</v>
      </c>
      <c r="F45" s="546"/>
      <c r="G45" s="545">
        <f>SUMIF($C$60:$C$841,"&lt;="&amp;DATE($C45,12,31),$G$60:$G$841)-SUM(G$25:G44)</f>
        <v>0</v>
      </c>
      <c r="H45" s="545">
        <f>SUMIF($C$60:$C$841,"&lt;="&amp;DATE($C45,12,31),$H$60:$H$841)-SUM(H$25:H44)</f>
        <v>0</v>
      </c>
      <c r="I45" s="545">
        <f t="shared" si="2"/>
        <v>0</v>
      </c>
      <c r="K45" s="547">
        <f t="shared" si="0"/>
        <v>0</v>
      </c>
    </row>
    <row r="46" spans="2:11">
      <c r="B46" s="548"/>
      <c r="C46" s="544">
        <f t="shared" si="1"/>
        <v>2051</v>
      </c>
      <c r="D46" s="545">
        <f>SUMIF($C$60:$C$841,"&lt;="&amp;DATE($C46,12,31),$D$60:$D$841)-SUM(D$25:D45)</f>
        <v>0</v>
      </c>
      <c r="E46" s="545">
        <f>SUMIF($C$60:$C$841,"&lt;="&amp;DATE($C46,12,31),$E$60:$E$841)-SUM(E$25:E45)</f>
        <v>0</v>
      </c>
      <c r="F46" s="546"/>
      <c r="G46" s="545">
        <f>SUMIF($C$60:$C$841,"&lt;="&amp;DATE($C46,12,31),$G$60:$G$841)-SUM(G$25:G45)</f>
        <v>0</v>
      </c>
      <c r="H46" s="545">
        <f>SUMIF($C$60:$C$841,"&lt;="&amp;DATE($C46,12,31),$H$60:$H$841)-SUM(H$25:H45)</f>
        <v>0</v>
      </c>
      <c r="I46" s="545">
        <f t="shared" si="2"/>
        <v>0</v>
      </c>
      <c r="K46" s="547">
        <f t="shared" si="0"/>
        <v>0</v>
      </c>
    </row>
    <row r="47" spans="2:11">
      <c r="B47" s="548"/>
      <c r="C47" s="544">
        <f t="shared" si="1"/>
        <v>2052</v>
      </c>
      <c r="D47" s="545">
        <f>SUMIF($C$60:$C$841,"&lt;="&amp;DATE($C47,12,31),$D$60:$D$841)-SUM(D$25:D46)</f>
        <v>0</v>
      </c>
      <c r="E47" s="545">
        <f>SUMIF($C$60:$C$841,"&lt;="&amp;DATE($C47,12,31),$E$60:$E$841)-SUM(E$25:E46)</f>
        <v>0</v>
      </c>
      <c r="F47" s="546"/>
      <c r="G47" s="545">
        <f>SUMIF($C$60:$C$841,"&lt;="&amp;DATE($C47,12,31),$G$60:$G$841)-SUM(G$25:G46)</f>
        <v>0</v>
      </c>
      <c r="H47" s="545">
        <f>SUMIF($C$60:$C$841,"&lt;="&amp;DATE($C47,12,31),$H$60:$H$841)-SUM(H$25:H46)</f>
        <v>0</v>
      </c>
      <c r="I47" s="545">
        <f t="shared" si="2"/>
        <v>0</v>
      </c>
      <c r="K47" s="547">
        <f t="shared" si="0"/>
        <v>0</v>
      </c>
    </row>
    <row r="48" spans="2:11">
      <c r="B48" s="548"/>
      <c r="C48" s="544">
        <f t="shared" si="1"/>
        <v>2053</v>
      </c>
      <c r="D48" s="545">
        <f>SUMIF($C$60:$C$841,"&lt;="&amp;DATE($C48,12,31),$D$60:$D$841)-SUM(D$25:D47)</f>
        <v>0</v>
      </c>
      <c r="E48" s="545">
        <f>SUMIF($C$60:$C$841,"&lt;="&amp;DATE($C48,12,31),$E$60:$E$841)-SUM(E$25:E47)</f>
        <v>0</v>
      </c>
      <c r="F48" s="546"/>
      <c r="G48" s="545">
        <f>SUMIF($C$60:$C$841,"&lt;="&amp;DATE($C48,12,31),$G$60:$G$841)-SUM(G$25:G47)</f>
        <v>0</v>
      </c>
      <c r="H48" s="545">
        <f>SUMIF($C$60:$C$841,"&lt;="&amp;DATE($C48,12,31),$H$60:$H$841)-SUM(H$25:H47)</f>
        <v>0</v>
      </c>
      <c r="I48" s="545">
        <f t="shared" si="2"/>
        <v>0</v>
      </c>
      <c r="K48" s="547">
        <f t="shared" si="0"/>
        <v>0</v>
      </c>
    </row>
    <row r="49" spans="2:11">
      <c r="B49" s="548"/>
      <c r="C49" s="544">
        <f t="shared" si="1"/>
        <v>2054</v>
      </c>
      <c r="D49" s="545">
        <f>SUMIF($C$60:$C$841,"&lt;="&amp;DATE($C49,12,31),$D$60:$D$841)-SUM(D$25:D48)</f>
        <v>0</v>
      </c>
      <c r="E49" s="545">
        <f>SUMIF($C$60:$C$841,"&lt;="&amp;DATE($C49,12,31),$E$60:$E$841)-SUM(E$25:E48)</f>
        <v>0</v>
      </c>
      <c r="F49" s="546"/>
      <c r="G49" s="545">
        <f>SUMIF($C$60:$C$841,"&lt;="&amp;DATE($C49,12,31),$G$60:$G$841)-SUM(G$25:G48)</f>
        <v>0</v>
      </c>
      <c r="H49" s="545">
        <f>SUMIF($C$60:$C$841,"&lt;="&amp;DATE($C49,12,31),$H$60:$H$841)-SUM(H$25:H48)</f>
        <v>0</v>
      </c>
      <c r="I49" s="545">
        <f t="shared" si="2"/>
        <v>0</v>
      </c>
      <c r="K49" s="547">
        <f t="shared" si="0"/>
        <v>0</v>
      </c>
    </row>
    <row r="50" spans="2:11">
      <c r="B50" s="548"/>
      <c r="C50" s="544">
        <f t="shared" si="1"/>
        <v>2055</v>
      </c>
      <c r="D50" s="545">
        <f>SUMIF($C$60:$C$841,"&lt;="&amp;DATE($C50,12,31),$D$60:$D$841)-SUM(D$25:D49)</f>
        <v>0</v>
      </c>
      <c r="E50" s="545">
        <f>SUMIF($C$60:$C$841,"&lt;="&amp;DATE($C50,12,31),$E$60:$E$841)-SUM(E$25:E49)</f>
        <v>0</v>
      </c>
      <c r="F50" s="546"/>
      <c r="G50" s="545">
        <f>SUMIF($C$60:$C$841,"&lt;="&amp;DATE($C50,12,31),$G$60:$G$841)-SUM(G$25:G49)</f>
        <v>0</v>
      </c>
      <c r="H50" s="545">
        <f>SUMIF($C$60:$C$841,"&lt;="&amp;DATE($C50,12,31),$H$60:$H$841)-SUM(H$25:H49)</f>
        <v>0</v>
      </c>
      <c r="I50" s="545">
        <f t="shared" si="2"/>
        <v>0</v>
      </c>
      <c r="K50" s="547">
        <f t="shared" si="0"/>
        <v>0</v>
      </c>
    </row>
    <row r="51" spans="2:11">
      <c r="B51" s="548"/>
      <c r="C51" s="544">
        <f t="shared" si="1"/>
        <v>2056</v>
      </c>
      <c r="D51" s="545">
        <f>SUMIF($C$60:$C$841,"&lt;="&amp;DATE($C51,12,31),$D$60:$D$841)-SUM(D$25:D50)</f>
        <v>0</v>
      </c>
      <c r="E51" s="545">
        <f>SUMIF($C$60:$C$841,"&lt;="&amp;DATE($C51,12,31),$E$60:$E$841)-SUM(E$25:E50)</f>
        <v>0</v>
      </c>
      <c r="F51" s="546"/>
      <c r="G51" s="545">
        <f>SUMIF($C$60:$C$841,"&lt;="&amp;DATE($C51,12,31),$G$60:$G$841)-SUM(G$25:G50)</f>
        <v>0</v>
      </c>
      <c r="H51" s="545">
        <f>SUMIF($C$60:$C$841,"&lt;="&amp;DATE($C51,12,31),$H$60:$H$841)-SUM(H$25:H50)</f>
        <v>0</v>
      </c>
      <c r="I51" s="545">
        <f t="shared" si="2"/>
        <v>0</v>
      </c>
      <c r="K51" s="547">
        <f t="shared" si="0"/>
        <v>0</v>
      </c>
    </row>
    <row r="52" spans="2:11">
      <c r="B52" s="548"/>
      <c r="C52" s="544">
        <f t="shared" si="1"/>
        <v>2057</v>
      </c>
      <c r="D52" s="545">
        <f>SUMIF($C$60:$C$841,"&lt;="&amp;DATE($C52,12,31),$D$60:$D$841)-SUM(D$25:D51)</f>
        <v>0</v>
      </c>
      <c r="E52" s="545">
        <f>SUMIF($C$60:$C$841,"&lt;="&amp;DATE($C52,12,31),$E$60:$E$841)-SUM(E$25:E51)</f>
        <v>0</v>
      </c>
      <c r="F52" s="546"/>
      <c r="G52" s="545">
        <f>SUMIF($C$60:$C$841,"&lt;="&amp;DATE($C52,12,31),$G$60:$G$841)-SUM(G$25:G51)</f>
        <v>0</v>
      </c>
      <c r="H52" s="545">
        <f>SUMIF($C$60:$C$841,"&lt;="&amp;DATE($C52,12,31),$H$60:$H$841)-SUM(H$25:H51)</f>
        <v>0</v>
      </c>
      <c r="I52" s="545">
        <f t="shared" si="2"/>
        <v>0</v>
      </c>
      <c r="K52" s="547">
        <f t="shared" si="0"/>
        <v>0</v>
      </c>
    </row>
    <row r="53" spans="2:11">
      <c r="B53" s="548"/>
      <c r="C53" s="544">
        <f t="shared" si="1"/>
        <v>2058</v>
      </c>
      <c r="D53" s="545">
        <f>SUMIF($C$60:$C$841,"&lt;="&amp;DATE($C53,12,31),$D$60:$D$841)-SUM(D$25:D52)</f>
        <v>0</v>
      </c>
      <c r="E53" s="545">
        <f>SUMIF($C$60:$C$841,"&lt;="&amp;DATE($C53,12,31),$E$60:$E$841)-SUM(E$25:E52)</f>
        <v>0</v>
      </c>
      <c r="F53" s="546"/>
      <c r="G53" s="545">
        <f>SUMIF($C$60:$C$841,"&lt;="&amp;DATE($C53,12,31),$G$60:$G$841)-SUM(G$25:G52)</f>
        <v>0</v>
      </c>
      <c r="H53" s="545">
        <f>SUMIF($C$60:$C$841,"&lt;="&amp;DATE($C53,12,31),$H$60:$H$841)-SUM(H$25:H52)</f>
        <v>0</v>
      </c>
      <c r="I53" s="545">
        <f t="shared" si="2"/>
        <v>0</v>
      </c>
      <c r="K53" s="547">
        <f t="shared" si="0"/>
        <v>0</v>
      </c>
    </row>
    <row r="54" spans="2:11">
      <c r="B54" s="548"/>
      <c r="C54" s="544">
        <f t="shared" si="1"/>
        <v>2059</v>
      </c>
      <c r="D54" s="545">
        <f>SUMIF($C$60:$C$841,"&lt;="&amp;DATE($C54,12,31),$D$60:$D$841)-SUM(D$25:D53)</f>
        <v>0</v>
      </c>
      <c r="E54" s="545">
        <f>SUMIF($C$60:$C$841,"&lt;="&amp;DATE($C54,12,31),$E$60:$E$841)-SUM(E$25:E53)</f>
        <v>0</v>
      </c>
      <c r="F54" s="546"/>
      <c r="G54" s="545">
        <f>SUMIF($C$60:$C$841,"&lt;="&amp;DATE($C54,12,31),$G$60:$G$841)-SUM(G$25:G53)</f>
        <v>0</v>
      </c>
      <c r="H54" s="545">
        <f>SUMIF($C$60:$C$841,"&lt;="&amp;DATE($C54,12,31),$H$60:$H$841)-SUM(H$25:H53)</f>
        <v>0</v>
      </c>
      <c r="I54" s="545">
        <f t="shared" si="2"/>
        <v>0</v>
      </c>
      <c r="K54" s="547">
        <f t="shared" si="0"/>
        <v>0</v>
      </c>
    </row>
    <row r="55" spans="2:11">
      <c r="B55" s="548"/>
      <c r="C55" s="544">
        <f t="shared" si="1"/>
        <v>2060</v>
      </c>
      <c r="D55" s="545">
        <f>SUMIF($C$60:$C$841,"&lt;="&amp;DATE($C55,12,31),$D$60:$D$841)-SUM(D$25:D54)</f>
        <v>0</v>
      </c>
      <c r="E55" s="545">
        <f>SUMIF($C$60:$C$841,"&lt;="&amp;DATE($C55,12,31),$E$60:$E$841)-SUM(E$25:E54)</f>
        <v>0</v>
      </c>
      <c r="F55" s="546"/>
      <c r="G55" s="545">
        <f>SUMIF($C$60:$C$841,"&lt;="&amp;DATE($C55,12,31),$G$60:$G$841)-SUM(G$25:G54)</f>
        <v>0</v>
      </c>
      <c r="H55" s="545">
        <f>SUMIF($C$60:$C$841,"&lt;="&amp;DATE($C55,12,31),$H$60:$H$841)-SUM(H$25:H54)</f>
        <v>0</v>
      </c>
      <c r="I55" s="545">
        <f t="shared" si="2"/>
        <v>0</v>
      </c>
      <c r="K55" s="547"/>
    </row>
    <row r="56" spans="2:11">
      <c r="B56" s="548"/>
      <c r="C56" s="544">
        <f t="shared" si="1"/>
        <v>2061</v>
      </c>
      <c r="D56" s="545">
        <f>SUMIF($C$60:$C$841,"&lt;="&amp;DATE($C56,12,31),$D$60:$D$841)-SUM(D$25:D55)</f>
        <v>0</v>
      </c>
      <c r="E56" s="545">
        <f>SUMIF($C$60:$C$841,"&lt;="&amp;DATE($C56,12,31),$E$60:$E$841)-SUM(E$25:E55)</f>
        <v>0</v>
      </c>
      <c r="F56" s="546"/>
      <c r="G56" s="545">
        <f>SUMIF($C$60:$C$841,"&lt;="&amp;DATE($C56,12,31),$G$60:$G$841)-SUM(G$25:G55)</f>
        <v>0</v>
      </c>
      <c r="H56" s="545">
        <f>SUMIF($C$60:$C$841,"&lt;="&amp;DATE($C56,12,31),$H$60:$H$841)-SUM(H$25:H55)</f>
        <v>0</v>
      </c>
      <c r="I56" s="545">
        <f t="shared" si="2"/>
        <v>0</v>
      </c>
    </row>
    <row r="57" spans="2:11">
      <c r="I57" s="531"/>
    </row>
    <row r="58" spans="2:11" ht="15">
      <c r="B58" s="534" t="s">
        <v>707</v>
      </c>
      <c r="C58" s="534"/>
      <c r="D58" s="534"/>
      <c r="E58" s="534"/>
      <c r="F58" s="534"/>
      <c r="G58" s="534"/>
      <c r="H58" s="534"/>
    </row>
    <row r="59" spans="2:11" ht="26.25" thickBot="1">
      <c r="B59" s="549" t="s">
        <v>708</v>
      </c>
      <c r="C59" s="550" t="s">
        <v>709</v>
      </c>
      <c r="D59" s="550" t="s">
        <v>710</v>
      </c>
      <c r="E59" s="550" t="s">
        <v>711</v>
      </c>
      <c r="F59" s="537"/>
      <c r="G59" s="551" t="s">
        <v>45</v>
      </c>
      <c r="H59" s="551" t="s">
        <v>44</v>
      </c>
      <c r="I59" s="551" t="s">
        <v>492</v>
      </c>
    </row>
    <row r="60" spans="2:11">
      <c r="B60" s="552"/>
      <c r="C60" s="553"/>
      <c r="D60" s="552"/>
      <c r="E60" s="552"/>
      <c r="F60" s="552"/>
      <c r="G60" s="554"/>
      <c r="H60" s="554"/>
      <c r="I60" s="554">
        <f>$E$6</f>
        <v>0</v>
      </c>
    </row>
    <row r="61" spans="2:11">
      <c r="B61" s="555" t="str">
        <f t="shared" ref="B61:B124" si="3">IF(I60="","",IF(roundOpt,IF(OR(B60&gt;=nper,ROUND(I60,2)&lt;=0),"",B60+1),IF(OR(B60&gt;=nper,I60&lt;=0),"",B60+1)))</f>
        <v/>
      </c>
      <c r="C61" s="556" t="str">
        <f t="shared" ref="C61:C124" si="4">IF(B61="","",IF(OR(periods_per_year=26,periods_per_year=52),IF(periods_per_year=26,IF(B61=1,fpdate,C60+14),IF(periods_per_year=52,IF(B61=1,fpdate,C60+7),"n/a")),IF(periods_per_year=24,DATE(YEAR(fpdate),MONTH(fpdate)+(B61-1)/2+IF(AND(DAY(fpdate)&gt;=15,MOD(B61,2)=0),1,0),IF(MOD(B61,2)=0,IF(DAY(fpdate)&gt;=15,DAY(fpdate)-14,DAY(fpdate)+14),DAY(fpdate))),IF(DAY(DATE(YEAR(fpdate),MONTH(fpdate)+(B61-1)*months_per_period,DAY(fpdate)))&lt;&gt;DAY(fpdate),DATE(YEAR(fpdate),MONTH(fpdate)+(B61-1)*months_per_period+1,0),DATE(YEAR(fpdate),MONTH(fpdate)+(B61-1)*months_per_period,DAY(fpdate))))))</f>
        <v/>
      </c>
      <c r="D61" s="557" t="str">
        <f t="shared" ref="D61:D124" si="5">IF(B61="","",IF(roundOpt,IF(OR(B61=nper,payment&gt;ROUND((1+rate)*I60,2)),ROUND((1+rate)*I60,2),payment),IF(OR(B61=nper,payment&gt;(1+rate)*I60),(1+rate)*I60,payment)))</f>
        <v/>
      </c>
      <c r="E61" s="558"/>
      <c r="F61" s="559"/>
      <c r="G61" s="559" t="str">
        <f t="shared" ref="G61:G124" si="6">IF(B61="","",IF(AND(B61=1,pmtType=1),0,IF(roundOpt,ROUND(rate*I60,2),rate*I60)))</f>
        <v/>
      </c>
      <c r="H61" s="559" t="str">
        <f t="shared" ref="H61:H124" si="7">IF(B61="","",D61-G61+E61)</f>
        <v/>
      </c>
      <c r="I61" s="559" t="str">
        <f t="shared" ref="I61:I124" si="8">IF(B61="","",I60-H61)</f>
        <v/>
      </c>
    </row>
    <row r="62" spans="2:11">
      <c r="B62" s="555" t="str">
        <f t="shared" si="3"/>
        <v/>
      </c>
      <c r="C62" s="556" t="str">
        <f t="shared" si="4"/>
        <v/>
      </c>
      <c r="D62" s="557" t="str">
        <f t="shared" si="5"/>
        <v/>
      </c>
      <c r="E62" s="560"/>
      <c r="F62" s="559"/>
      <c r="G62" s="559" t="str">
        <f t="shared" si="6"/>
        <v/>
      </c>
      <c r="H62" s="559" t="str">
        <f t="shared" si="7"/>
        <v/>
      </c>
      <c r="I62" s="559" t="str">
        <f t="shared" si="8"/>
        <v/>
      </c>
    </row>
    <row r="63" spans="2:11">
      <c r="B63" s="555" t="str">
        <f t="shared" si="3"/>
        <v/>
      </c>
      <c r="C63" s="556" t="str">
        <f t="shared" si="4"/>
        <v/>
      </c>
      <c r="D63" s="557" t="str">
        <f t="shared" si="5"/>
        <v/>
      </c>
      <c r="E63" s="560"/>
      <c r="F63" s="559"/>
      <c r="G63" s="559" t="str">
        <f t="shared" si="6"/>
        <v/>
      </c>
      <c r="H63" s="559" t="str">
        <f t="shared" si="7"/>
        <v/>
      </c>
      <c r="I63" s="559" t="str">
        <f t="shared" si="8"/>
        <v/>
      </c>
    </row>
    <row r="64" spans="2:11">
      <c r="B64" s="555" t="str">
        <f t="shared" si="3"/>
        <v/>
      </c>
      <c r="C64" s="556" t="str">
        <f t="shared" si="4"/>
        <v/>
      </c>
      <c r="D64" s="557" t="str">
        <f t="shared" si="5"/>
        <v/>
      </c>
      <c r="E64" s="560"/>
      <c r="F64" s="559"/>
      <c r="G64" s="559" t="str">
        <f t="shared" si="6"/>
        <v/>
      </c>
      <c r="H64" s="559" t="str">
        <f t="shared" si="7"/>
        <v/>
      </c>
      <c r="I64" s="559" t="str">
        <f t="shared" si="8"/>
        <v/>
      </c>
    </row>
    <row r="65" spans="2:10" ht="15">
      <c r="B65" s="555" t="str">
        <f t="shared" si="3"/>
        <v/>
      </c>
      <c r="C65" s="556" t="str">
        <f t="shared" si="4"/>
        <v/>
      </c>
      <c r="D65" s="557" t="str">
        <f t="shared" si="5"/>
        <v/>
      </c>
      <c r="E65" s="560"/>
      <c r="F65" s="559"/>
      <c r="G65" s="559" t="str">
        <f t="shared" si="6"/>
        <v/>
      </c>
      <c r="H65" s="559" t="str">
        <f t="shared" si="7"/>
        <v/>
      </c>
      <c r="I65" s="559" t="str">
        <f t="shared" si="8"/>
        <v/>
      </c>
      <c r="J65" s="561"/>
    </row>
    <row r="66" spans="2:10" ht="15">
      <c r="B66" s="555" t="str">
        <f t="shared" si="3"/>
        <v/>
      </c>
      <c r="C66" s="556" t="str">
        <f t="shared" si="4"/>
        <v/>
      </c>
      <c r="D66" s="557" t="str">
        <f t="shared" si="5"/>
        <v/>
      </c>
      <c r="E66" s="560"/>
      <c r="F66" s="559"/>
      <c r="G66" s="559" t="str">
        <f t="shared" si="6"/>
        <v/>
      </c>
      <c r="H66" s="559" t="str">
        <f t="shared" si="7"/>
        <v/>
      </c>
      <c r="I66" s="559" t="str">
        <f t="shared" si="8"/>
        <v/>
      </c>
      <c r="J66" s="561"/>
    </row>
    <row r="67" spans="2:10" ht="15">
      <c r="B67" s="555" t="str">
        <f t="shared" si="3"/>
        <v/>
      </c>
      <c r="C67" s="556" t="str">
        <f t="shared" si="4"/>
        <v/>
      </c>
      <c r="D67" s="557" t="str">
        <f t="shared" si="5"/>
        <v/>
      </c>
      <c r="E67" s="560"/>
      <c r="F67" s="559"/>
      <c r="G67" s="559" t="str">
        <f t="shared" si="6"/>
        <v/>
      </c>
      <c r="H67" s="559" t="str">
        <f t="shared" si="7"/>
        <v/>
      </c>
      <c r="I67" s="559" t="str">
        <f t="shared" si="8"/>
        <v/>
      </c>
      <c r="J67" s="562"/>
    </row>
    <row r="68" spans="2:10">
      <c r="B68" s="555" t="str">
        <f t="shared" si="3"/>
        <v/>
      </c>
      <c r="C68" s="556" t="str">
        <f t="shared" si="4"/>
        <v/>
      </c>
      <c r="D68" s="557" t="str">
        <f t="shared" si="5"/>
        <v/>
      </c>
      <c r="E68" s="560"/>
      <c r="F68" s="559"/>
      <c r="G68" s="559" t="str">
        <f t="shared" si="6"/>
        <v/>
      </c>
      <c r="H68" s="559" t="str">
        <f t="shared" si="7"/>
        <v/>
      </c>
      <c r="I68" s="559" t="str">
        <f t="shared" si="8"/>
        <v/>
      </c>
    </row>
    <row r="69" spans="2:10">
      <c r="B69" s="555" t="str">
        <f t="shared" si="3"/>
        <v/>
      </c>
      <c r="C69" s="556" t="str">
        <f t="shared" si="4"/>
        <v/>
      </c>
      <c r="D69" s="557" t="str">
        <f t="shared" si="5"/>
        <v/>
      </c>
      <c r="E69" s="560"/>
      <c r="F69" s="559"/>
      <c r="G69" s="559" t="str">
        <f t="shared" si="6"/>
        <v/>
      </c>
      <c r="H69" s="559" t="str">
        <f t="shared" si="7"/>
        <v/>
      </c>
      <c r="I69" s="559" t="str">
        <f t="shared" si="8"/>
        <v/>
      </c>
    </row>
    <row r="70" spans="2:10">
      <c r="B70" s="555" t="str">
        <f t="shared" si="3"/>
        <v/>
      </c>
      <c r="C70" s="556" t="str">
        <f t="shared" si="4"/>
        <v/>
      </c>
      <c r="D70" s="557" t="str">
        <f t="shared" si="5"/>
        <v/>
      </c>
      <c r="E70" s="560"/>
      <c r="F70" s="559"/>
      <c r="G70" s="559" t="str">
        <f t="shared" si="6"/>
        <v/>
      </c>
      <c r="H70" s="559" t="str">
        <f t="shared" si="7"/>
        <v/>
      </c>
      <c r="I70" s="559" t="str">
        <f t="shared" si="8"/>
        <v/>
      </c>
    </row>
    <row r="71" spans="2:10">
      <c r="B71" s="555" t="str">
        <f t="shared" si="3"/>
        <v/>
      </c>
      <c r="C71" s="556" t="str">
        <f t="shared" si="4"/>
        <v/>
      </c>
      <c r="D71" s="557" t="str">
        <f t="shared" si="5"/>
        <v/>
      </c>
      <c r="E71" s="560"/>
      <c r="F71" s="559"/>
      <c r="G71" s="559" t="str">
        <f t="shared" si="6"/>
        <v/>
      </c>
      <c r="H71" s="559" t="str">
        <f t="shared" si="7"/>
        <v/>
      </c>
      <c r="I71" s="559" t="str">
        <f t="shared" si="8"/>
        <v/>
      </c>
    </row>
    <row r="72" spans="2:10">
      <c r="B72" s="555" t="str">
        <f t="shared" si="3"/>
        <v/>
      </c>
      <c r="C72" s="556" t="str">
        <f t="shared" si="4"/>
        <v/>
      </c>
      <c r="D72" s="557" t="str">
        <f t="shared" si="5"/>
        <v/>
      </c>
      <c r="E72" s="560"/>
      <c r="F72" s="559"/>
      <c r="G72" s="559" t="str">
        <f t="shared" si="6"/>
        <v/>
      </c>
      <c r="H72" s="559" t="str">
        <f t="shared" si="7"/>
        <v/>
      </c>
      <c r="I72" s="559" t="str">
        <f t="shared" si="8"/>
        <v/>
      </c>
    </row>
    <row r="73" spans="2:10">
      <c r="B73" s="555" t="str">
        <f t="shared" si="3"/>
        <v/>
      </c>
      <c r="C73" s="556" t="str">
        <f t="shared" si="4"/>
        <v/>
      </c>
      <c r="D73" s="557" t="str">
        <f t="shared" si="5"/>
        <v/>
      </c>
      <c r="E73" s="560"/>
      <c r="F73" s="559"/>
      <c r="G73" s="559" t="str">
        <f t="shared" si="6"/>
        <v/>
      </c>
      <c r="H73" s="559" t="str">
        <f t="shared" si="7"/>
        <v/>
      </c>
      <c r="I73" s="559" t="str">
        <f t="shared" si="8"/>
        <v/>
      </c>
    </row>
    <row r="74" spans="2:10">
      <c r="B74" s="555" t="str">
        <f t="shared" si="3"/>
        <v/>
      </c>
      <c r="C74" s="556" t="str">
        <f t="shared" si="4"/>
        <v/>
      </c>
      <c r="D74" s="557" t="str">
        <f t="shared" si="5"/>
        <v/>
      </c>
      <c r="E74" s="560"/>
      <c r="F74" s="559"/>
      <c r="G74" s="559" t="str">
        <f t="shared" si="6"/>
        <v/>
      </c>
      <c r="H74" s="559" t="str">
        <f t="shared" si="7"/>
        <v/>
      </c>
      <c r="I74" s="559" t="str">
        <f t="shared" si="8"/>
        <v/>
      </c>
    </row>
    <row r="75" spans="2:10">
      <c r="B75" s="555" t="str">
        <f t="shared" si="3"/>
        <v/>
      </c>
      <c r="C75" s="556" t="str">
        <f t="shared" si="4"/>
        <v/>
      </c>
      <c r="D75" s="557" t="str">
        <f t="shared" si="5"/>
        <v/>
      </c>
      <c r="E75" s="560"/>
      <c r="F75" s="559"/>
      <c r="G75" s="559" t="str">
        <f t="shared" si="6"/>
        <v/>
      </c>
      <c r="H75" s="559" t="str">
        <f t="shared" si="7"/>
        <v/>
      </c>
      <c r="I75" s="559" t="str">
        <f t="shared" si="8"/>
        <v/>
      </c>
    </row>
    <row r="76" spans="2:10">
      <c r="B76" s="555" t="str">
        <f t="shared" si="3"/>
        <v/>
      </c>
      <c r="C76" s="556" t="str">
        <f t="shared" si="4"/>
        <v/>
      </c>
      <c r="D76" s="557" t="str">
        <f t="shared" si="5"/>
        <v/>
      </c>
      <c r="E76" s="560"/>
      <c r="F76" s="559"/>
      <c r="G76" s="559" t="str">
        <f t="shared" si="6"/>
        <v/>
      </c>
      <c r="H76" s="559" t="str">
        <f t="shared" si="7"/>
        <v/>
      </c>
      <c r="I76" s="559" t="str">
        <f t="shared" si="8"/>
        <v/>
      </c>
    </row>
    <row r="77" spans="2:10">
      <c r="B77" s="555" t="str">
        <f t="shared" si="3"/>
        <v/>
      </c>
      <c r="C77" s="556" t="str">
        <f t="shared" si="4"/>
        <v/>
      </c>
      <c r="D77" s="557" t="str">
        <f t="shared" si="5"/>
        <v/>
      </c>
      <c r="E77" s="560"/>
      <c r="F77" s="559"/>
      <c r="G77" s="559" t="str">
        <f t="shared" si="6"/>
        <v/>
      </c>
      <c r="H77" s="559" t="str">
        <f t="shared" si="7"/>
        <v/>
      </c>
      <c r="I77" s="559" t="str">
        <f t="shared" si="8"/>
        <v/>
      </c>
    </row>
    <row r="78" spans="2:10">
      <c r="B78" s="555" t="str">
        <f t="shared" si="3"/>
        <v/>
      </c>
      <c r="C78" s="556" t="str">
        <f t="shared" si="4"/>
        <v/>
      </c>
      <c r="D78" s="557" t="str">
        <f t="shared" si="5"/>
        <v/>
      </c>
      <c r="E78" s="560"/>
      <c r="F78" s="559"/>
      <c r="G78" s="559" t="str">
        <f t="shared" si="6"/>
        <v/>
      </c>
      <c r="H78" s="559" t="str">
        <f t="shared" si="7"/>
        <v/>
      </c>
      <c r="I78" s="559" t="str">
        <f t="shared" si="8"/>
        <v/>
      </c>
    </row>
    <row r="79" spans="2:10">
      <c r="B79" s="555" t="str">
        <f t="shared" si="3"/>
        <v/>
      </c>
      <c r="C79" s="556" t="str">
        <f t="shared" si="4"/>
        <v/>
      </c>
      <c r="D79" s="557" t="str">
        <f t="shared" si="5"/>
        <v/>
      </c>
      <c r="E79" s="560"/>
      <c r="F79" s="559"/>
      <c r="G79" s="559" t="str">
        <f t="shared" si="6"/>
        <v/>
      </c>
      <c r="H79" s="559" t="str">
        <f t="shared" si="7"/>
        <v/>
      </c>
      <c r="I79" s="559" t="str">
        <f t="shared" si="8"/>
        <v/>
      </c>
    </row>
    <row r="80" spans="2:10">
      <c r="B80" s="555" t="str">
        <f t="shared" si="3"/>
        <v/>
      </c>
      <c r="C80" s="556" t="str">
        <f t="shared" si="4"/>
        <v/>
      </c>
      <c r="D80" s="557" t="str">
        <f t="shared" si="5"/>
        <v/>
      </c>
      <c r="E80" s="560"/>
      <c r="F80" s="559"/>
      <c r="G80" s="559" t="str">
        <f t="shared" si="6"/>
        <v/>
      </c>
      <c r="H80" s="559" t="str">
        <f t="shared" si="7"/>
        <v/>
      </c>
      <c r="I80" s="559" t="str">
        <f t="shared" si="8"/>
        <v/>
      </c>
    </row>
    <row r="81" spans="2:9">
      <c r="B81" s="555" t="str">
        <f t="shared" si="3"/>
        <v/>
      </c>
      <c r="C81" s="556" t="str">
        <f t="shared" si="4"/>
        <v/>
      </c>
      <c r="D81" s="557" t="str">
        <f t="shared" si="5"/>
        <v/>
      </c>
      <c r="E81" s="560"/>
      <c r="F81" s="559"/>
      <c r="G81" s="559" t="str">
        <f t="shared" si="6"/>
        <v/>
      </c>
      <c r="H81" s="559" t="str">
        <f t="shared" si="7"/>
        <v/>
      </c>
      <c r="I81" s="559" t="str">
        <f t="shared" si="8"/>
        <v/>
      </c>
    </row>
    <row r="82" spans="2:9">
      <c r="B82" s="555" t="str">
        <f t="shared" si="3"/>
        <v/>
      </c>
      <c r="C82" s="556" t="str">
        <f t="shared" si="4"/>
        <v/>
      </c>
      <c r="D82" s="557" t="str">
        <f t="shared" si="5"/>
        <v/>
      </c>
      <c r="E82" s="560"/>
      <c r="F82" s="559"/>
      <c r="G82" s="559" t="str">
        <f t="shared" si="6"/>
        <v/>
      </c>
      <c r="H82" s="559" t="str">
        <f t="shared" si="7"/>
        <v/>
      </c>
      <c r="I82" s="559" t="str">
        <f t="shared" si="8"/>
        <v/>
      </c>
    </row>
    <row r="83" spans="2:9">
      <c r="B83" s="555" t="str">
        <f t="shared" si="3"/>
        <v/>
      </c>
      <c r="C83" s="556" t="str">
        <f t="shared" si="4"/>
        <v/>
      </c>
      <c r="D83" s="557" t="str">
        <f t="shared" si="5"/>
        <v/>
      </c>
      <c r="E83" s="560"/>
      <c r="F83" s="559"/>
      <c r="G83" s="559" t="str">
        <f t="shared" si="6"/>
        <v/>
      </c>
      <c r="H83" s="559" t="str">
        <f t="shared" si="7"/>
        <v/>
      </c>
      <c r="I83" s="559" t="str">
        <f t="shared" si="8"/>
        <v/>
      </c>
    </row>
    <row r="84" spans="2:9">
      <c r="B84" s="555" t="str">
        <f t="shared" si="3"/>
        <v/>
      </c>
      <c r="C84" s="556" t="str">
        <f t="shared" si="4"/>
        <v/>
      </c>
      <c r="D84" s="557" t="str">
        <f t="shared" si="5"/>
        <v/>
      </c>
      <c r="E84" s="560"/>
      <c r="F84" s="559"/>
      <c r="G84" s="559" t="str">
        <f t="shared" si="6"/>
        <v/>
      </c>
      <c r="H84" s="559" t="str">
        <f t="shared" si="7"/>
        <v/>
      </c>
      <c r="I84" s="559" t="str">
        <f t="shared" si="8"/>
        <v/>
      </c>
    </row>
    <row r="85" spans="2:9">
      <c r="B85" s="555" t="str">
        <f t="shared" si="3"/>
        <v/>
      </c>
      <c r="C85" s="556" t="str">
        <f t="shared" si="4"/>
        <v/>
      </c>
      <c r="D85" s="557" t="str">
        <f t="shared" si="5"/>
        <v/>
      </c>
      <c r="E85" s="560"/>
      <c r="F85" s="559"/>
      <c r="G85" s="559" t="str">
        <f t="shared" si="6"/>
        <v/>
      </c>
      <c r="H85" s="559" t="str">
        <f t="shared" si="7"/>
        <v/>
      </c>
      <c r="I85" s="559" t="str">
        <f t="shared" si="8"/>
        <v/>
      </c>
    </row>
    <row r="86" spans="2:9">
      <c r="B86" s="555" t="str">
        <f t="shared" si="3"/>
        <v/>
      </c>
      <c r="C86" s="556" t="str">
        <f t="shared" si="4"/>
        <v/>
      </c>
      <c r="D86" s="557" t="str">
        <f t="shared" si="5"/>
        <v/>
      </c>
      <c r="E86" s="560"/>
      <c r="F86" s="559"/>
      <c r="G86" s="559" t="str">
        <f t="shared" si="6"/>
        <v/>
      </c>
      <c r="H86" s="559" t="str">
        <f t="shared" si="7"/>
        <v/>
      </c>
      <c r="I86" s="559" t="str">
        <f t="shared" si="8"/>
        <v/>
      </c>
    </row>
    <row r="87" spans="2:9">
      <c r="B87" s="555" t="str">
        <f t="shared" si="3"/>
        <v/>
      </c>
      <c r="C87" s="556" t="str">
        <f t="shared" si="4"/>
        <v/>
      </c>
      <c r="D87" s="557" t="str">
        <f t="shared" si="5"/>
        <v/>
      </c>
      <c r="E87" s="560"/>
      <c r="F87" s="559"/>
      <c r="G87" s="559" t="str">
        <f t="shared" si="6"/>
        <v/>
      </c>
      <c r="H87" s="559" t="str">
        <f t="shared" si="7"/>
        <v/>
      </c>
      <c r="I87" s="559" t="str">
        <f t="shared" si="8"/>
        <v/>
      </c>
    </row>
    <row r="88" spans="2:9">
      <c r="B88" s="555" t="str">
        <f t="shared" si="3"/>
        <v/>
      </c>
      <c r="C88" s="556" t="str">
        <f t="shared" si="4"/>
        <v/>
      </c>
      <c r="D88" s="557" t="str">
        <f t="shared" si="5"/>
        <v/>
      </c>
      <c r="E88" s="560"/>
      <c r="F88" s="559"/>
      <c r="G88" s="559" t="str">
        <f t="shared" si="6"/>
        <v/>
      </c>
      <c r="H88" s="559" t="str">
        <f t="shared" si="7"/>
        <v/>
      </c>
      <c r="I88" s="559" t="str">
        <f t="shared" si="8"/>
        <v/>
      </c>
    </row>
    <row r="89" spans="2:9">
      <c r="B89" s="555" t="str">
        <f t="shared" si="3"/>
        <v/>
      </c>
      <c r="C89" s="556" t="str">
        <f t="shared" si="4"/>
        <v/>
      </c>
      <c r="D89" s="557" t="str">
        <f t="shared" si="5"/>
        <v/>
      </c>
      <c r="E89" s="560"/>
      <c r="F89" s="559"/>
      <c r="G89" s="559" t="str">
        <f t="shared" si="6"/>
        <v/>
      </c>
      <c r="H89" s="559" t="str">
        <f t="shared" si="7"/>
        <v/>
      </c>
      <c r="I89" s="559" t="str">
        <f t="shared" si="8"/>
        <v/>
      </c>
    </row>
    <row r="90" spans="2:9">
      <c r="B90" s="555" t="str">
        <f t="shared" si="3"/>
        <v/>
      </c>
      <c r="C90" s="556" t="str">
        <f t="shared" si="4"/>
        <v/>
      </c>
      <c r="D90" s="557" t="str">
        <f t="shared" si="5"/>
        <v/>
      </c>
      <c r="E90" s="560"/>
      <c r="F90" s="559"/>
      <c r="G90" s="559" t="str">
        <f t="shared" si="6"/>
        <v/>
      </c>
      <c r="H90" s="559" t="str">
        <f t="shared" si="7"/>
        <v/>
      </c>
      <c r="I90" s="559" t="str">
        <f t="shared" si="8"/>
        <v/>
      </c>
    </row>
    <row r="91" spans="2:9">
      <c r="B91" s="555"/>
      <c r="C91" s="556"/>
      <c r="D91" s="557"/>
      <c r="E91" s="560"/>
      <c r="F91" s="559"/>
      <c r="G91" s="559"/>
      <c r="H91" s="559"/>
      <c r="I91" s="559"/>
    </row>
    <row r="92" spans="2:9" ht="15.75">
      <c r="B92" s="555"/>
      <c r="C92" s="556"/>
      <c r="D92" s="596" t="s">
        <v>718</v>
      </c>
      <c r="E92" s="597">
        <f>SUM(D27:D56)</f>
        <v>0</v>
      </c>
      <c r="F92" s="559"/>
      <c r="G92" s="559"/>
      <c r="H92" s="559"/>
      <c r="I92" s="559"/>
    </row>
    <row r="93" spans="2:9">
      <c r="B93" s="555"/>
      <c r="C93" s="556"/>
      <c r="D93" s="557"/>
      <c r="E93" s="560"/>
      <c r="F93" s="559"/>
      <c r="G93" s="559"/>
      <c r="H93" s="559"/>
      <c r="I93" s="559"/>
    </row>
    <row r="94" spans="2:9">
      <c r="B94" s="555"/>
      <c r="C94" s="556"/>
      <c r="D94" s="557"/>
      <c r="E94" s="560"/>
      <c r="F94" s="559"/>
      <c r="G94" s="559"/>
      <c r="H94" s="559"/>
      <c r="I94" s="559"/>
    </row>
    <row r="95" spans="2:9">
      <c r="B95" s="555"/>
      <c r="C95" s="556"/>
      <c r="D95" s="557"/>
      <c r="E95" s="560"/>
      <c r="F95" s="559"/>
      <c r="G95" s="559"/>
      <c r="H95" s="559"/>
      <c r="I95" s="559"/>
    </row>
    <row r="96" spans="2:9">
      <c r="B96" s="555"/>
      <c r="C96" s="556"/>
      <c r="D96" s="557"/>
      <c r="E96" s="560"/>
      <c r="F96" s="559"/>
      <c r="G96" s="559"/>
      <c r="H96" s="559"/>
      <c r="I96" s="559"/>
    </row>
    <row r="97" spans="2:9">
      <c r="B97" s="555"/>
      <c r="C97" s="556"/>
      <c r="D97" s="557"/>
      <c r="E97" s="560"/>
      <c r="F97" s="559"/>
      <c r="G97" s="559"/>
      <c r="H97" s="559"/>
      <c r="I97" s="559"/>
    </row>
    <row r="98" spans="2:9">
      <c r="B98" s="555" t="str">
        <f t="shared" si="3"/>
        <v/>
      </c>
      <c r="C98" s="556" t="str">
        <f t="shared" si="4"/>
        <v/>
      </c>
      <c r="D98" s="557" t="str">
        <f t="shared" si="5"/>
        <v/>
      </c>
      <c r="E98" s="560"/>
      <c r="F98" s="559"/>
      <c r="G98" s="559" t="str">
        <f t="shared" si="6"/>
        <v/>
      </c>
      <c r="H98" s="559" t="str">
        <f t="shared" si="7"/>
        <v/>
      </c>
      <c r="I98" s="559" t="str">
        <f t="shared" si="8"/>
        <v/>
      </c>
    </row>
    <row r="99" spans="2:9">
      <c r="B99" s="555" t="str">
        <f t="shared" si="3"/>
        <v/>
      </c>
      <c r="C99" s="556" t="str">
        <f t="shared" si="4"/>
        <v/>
      </c>
      <c r="D99" s="557" t="str">
        <f t="shared" si="5"/>
        <v/>
      </c>
      <c r="E99" s="560"/>
      <c r="F99" s="559"/>
      <c r="G99" s="559" t="str">
        <f t="shared" si="6"/>
        <v/>
      </c>
      <c r="H99" s="559" t="str">
        <f t="shared" si="7"/>
        <v/>
      </c>
      <c r="I99" s="559" t="str">
        <f t="shared" si="8"/>
        <v/>
      </c>
    </row>
    <row r="100" spans="2:9">
      <c r="B100" s="555" t="str">
        <f t="shared" si="3"/>
        <v/>
      </c>
      <c r="C100" s="556" t="str">
        <f t="shared" si="4"/>
        <v/>
      </c>
      <c r="D100" s="557" t="str">
        <f t="shared" si="5"/>
        <v/>
      </c>
      <c r="E100" s="560"/>
      <c r="F100" s="559"/>
      <c r="G100" s="559" t="str">
        <f t="shared" si="6"/>
        <v/>
      </c>
      <c r="H100" s="559" t="str">
        <f t="shared" si="7"/>
        <v/>
      </c>
      <c r="I100" s="559" t="str">
        <f t="shared" si="8"/>
        <v/>
      </c>
    </row>
    <row r="101" spans="2:9">
      <c r="B101" s="555" t="str">
        <f t="shared" si="3"/>
        <v/>
      </c>
      <c r="C101" s="556" t="str">
        <f t="shared" si="4"/>
        <v/>
      </c>
      <c r="D101" s="557" t="str">
        <f t="shared" si="5"/>
        <v/>
      </c>
      <c r="E101" s="560"/>
      <c r="F101" s="559"/>
      <c r="G101" s="559" t="str">
        <f t="shared" si="6"/>
        <v/>
      </c>
      <c r="H101" s="559" t="str">
        <f t="shared" si="7"/>
        <v/>
      </c>
      <c r="I101" s="559" t="str">
        <f t="shared" si="8"/>
        <v/>
      </c>
    </row>
    <row r="102" spans="2:9">
      <c r="B102" s="555" t="str">
        <f t="shared" si="3"/>
        <v/>
      </c>
      <c r="C102" s="556" t="str">
        <f t="shared" si="4"/>
        <v/>
      </c>
      <c r="D102" s="557" t="str">
        <f t="shared" si="5"/>
        <v/>
      </c>
      <c r="E102" s="560"/>
      <c r="F102" s="559"/>
      <c r="G102" s="559" t="str">
        <f t="shared" si="6"/>
        <v/>
      </c>
      <c r="H102" s="559" t="str">
        <f t="shared" si="7"/>
        <v/>
      </c>
      <c r="I102" s="559" t="str">
        <f t="shared" si="8"/>
        <v/>
      </c>
    </row>
    <row r="103" spans="2:9">
      <c r="B103" s="555" t="str">
        <f t="shared" si="3"/>
        <v/>
      </c>
      <c r="C103" s="556" t="str">
        <f t="shared" si="4"/>
        <v/>
      </c>
      <c r="D103" s="557" t="str">
        <f t="shared" si="5"/>
        <v/>
      </c>
      <c r="E103" s="560"/>
      <c r="F103" s="559"/>
      <c r="G103" s="559" t="str">
        <f t="shared" si="6"/>
        <v/>
      </c>
      <c r="H103" s="559" t="str">
        <f t="shared" si="7"/>
        <v/>
      </c>
      <c r="I103" s="559" t="str">
        <f t="shared" si="8"/>
        <v/>
      </c>
    </row>
    <row r="104" spans="2:9">
      <c r="B104" s="555" t="str">
        <f t="shared" si="3"/>
        <v/>
      </c>
      <c r="C104" s="556" t="str">
        <f t="shared" si="4"/>
        <v/>
      </c>
      <c r="D104" s="557" t="str">
        <f t="shared" si="5"/>
        <v/>
      </c>
      <c r="E104" s="560"/>
      <c r="F104" s="559"/>
      <c r="G104" s="559" t="str">
        <f t="shared" si="6"/>
        <v/>
      </c>
      <c r="H104" s="559" t="str">
        <f t="shared" si="7"/>
        <v/>
      </c>
      <c r="I104" s="559" t="str">
        <f t="shared" si="8"/>
        <v/>
      </c>
    </row>
    <row r="105" spans="2:9">
      <c r="B105" s="555" t="str">
        <f t="shared" si="3"/>
        <v/>
      </c>
      <c r="C105" s="556" t="str">
        <f t="shared" si="4"/>
        <v/>
      </c>
      <c r="D105" s="557" t="str">
        <f t="shared" si="5"/>
        <v/>
      </c>
      <c r="E105" s="560"/>
      <c r="F105" s="559"/>
      <c r="G105" s="559" t="str">
        <f t="shared" si="6"/>
        <v/>
      </c>
      <c r="H105" s="559" t="str">
        <f t="shared" si="7"/>
        <v/>
      </c>
      <c r="I105" s="559" t="str">
        <f t="shared" si="8"/>
        <v/>
      </c>
    </row>
    <row r="106" spans="2:9">
      <c r="B106" s="555" t="str">
        <f t="shared" si="3"/>
        <v/>
      </c>
      <c r="C106" s="556" t="str">
        <f t="shared" si="4"/>
        <v/>
      </c>
      <c r="D106" s="557" t="str">
        <f t="shared" si="5"/>
        <v/>
      </c>
      <c r="E106" s="560"/>
      <c r="F106" s="559"/>
      <c r="G106" s="559" t="str">
        <f t="shared" si="6"/>
        <v/>
      </c>
      <c r="H106" s="559" t="str">
        <f t="shared" si="7"/>
        <v/>
      </c>
      <c r="I106" s="559" t="str">
        <f t="shared" si="8"/>
        <v/>
      </c>
    </row>
    <row r="107" spans="2:9">
      <c r="B107" s="555" t="str">
        <f t="shared" si="3"/>
        <v/>
      </c>
      <c r="C107" s="556" t="str">
        <f t="shared" si="4"/>
        <v/>
      </c>
      <c r="D107" s="557" t="str">
        <f t="shared" si="5"/>
        <v/>
      </c>
      <c r="E107" s="560"/>
      <c r="F107" s="559"/>
      <c r="G107" s="559" t="str">
        <f t="shared" si="6"/>
        <v/>
      </c>
      <c r="H107" s="559" t="str">
        <f t="shared" si="7"/>
        <v/>
      </c>
      <c r="I107" s="559" t="str">
        <f t="shared" si="8"/>
        <v/>
      </c>
    </row>
    <row r="108" spans="2:9">
      <c r="B108" s="555" t="str">
        <f t="shared" si="3"/>
        <v/>
      </c>
      <c r="C108" s="556" t="str">
        <f t="shared" si="4"/>
        <v/>
      </c>
      <c r="D108" s="557" t="str">
        <f t="shared" si="5"/>
        <v/>
      </c>
      <c r="E108" s="560"/>
      <c r="F108" s="559"/>
      <c r="G108" s="559" t="str">
        <f t="shared" si="6"/>
        <v/>
      </c>
      <c r="H108" s="559" t="str">
        <f t="shared" si="7"/>
        <v/>
      </c>
      <c r="I108" s="559" t="str">
        <f t="shared" si="8"/>
        <v/>
      </c>
    </row>
    <row r="109" spans="2:9">
      <c r="B109" s="555" t="str">
        <f t="shared" si="3"/>
        <v/>
      </c>
      <c r="C109" s="556" t="str">
        <f t="shared" si="4"/>
        <v/>
      </c>
      <c r="D109" s="557" t="str">
        <f t="shared" si="5"/>
        <v/>
      </c>
      <c r="E109" s="560"/>
      <c r="F109" s="559"/>
      <c r="G109" s="559" t="str">
        <f t="shared" si="6"/>
        <v/>
      </c>
      <c r="H109" s="559" t="str">
        <f t="shared" si="7"/>
        <v/>
      </c>
      <c r="I109" s="559" t="str">
        <f t="shared" si="8"/>
        <v/>
      </c>
    </row>
    <row r="110" spans="2:9">
      <c r="B110" s="555" t="str">
        <f t="shared" si="3"/>
        <v/>
      </c>
      <c r="C110" s="556" t="str">
        <f t="shared" si="4"/>
        <v/>
      </c>
      <c r="D110" s="557" t="str">
        <f t="shared" si="5"/>
        <v/>
      </c>
      <c r="E110" s="560"/>
      <c r="F110" s="559"/>
      <c r="G110" s="559" t="str">
        <f t="shared" si="6"/>
        <v/>
      </c>
      <c r="H110" s="559" t="str">
        <f t="shared" si="7"/>
        <v/>
      </c>
      <c r="I110" s="559" t="str">
        <f t="shared" si="8"/>
        <v/>
      </c>
    </row>
    <row r="111" spans="2:9">
      <c r="B111" s="555" t="str">
        <f t="shared" si="3"/>
        <v/>
      </c>
      <c r="C111" s="556" t="str">
        <f t="shared" si="4"/>
        <v/>
      </c>
      <c r="D111" s="557" t="str">
        <f t="shared" si="5"/>
        <v/>
      </c>
      <c r="E111" s="560"/>
      <c r="F111" s="559"/>
      <c r="G111" s="559" t="str">
        <f t="shared" si="6"/>
        <v/>
      </c>
      <c r="H111" s="559" t="str">
        <f t="shared" si="7"/>
        <v/>
      </c>
      <c r="I111" s="559" t="str">
        <f t="shared" si="8"/>
        <v/>
      </c>
    </row>
    <row r="112" spans="2:9">
      <c r="B112" s="555" t="str">
        <f t="shared" si="3"/>
        <v/>
      </c>
      <c r="C112" s="556" t="str">
        <f t="shared" si="4"/>
        <v/>
      </c>
      <c r="D112" s="557" t="str">
        <f t="shared" si="5"/>
        <v/>
      </c>
      <c r="E112" s="560"/>
      <c r="F112" s="559"/>
      <c r="G112" s="559" t="str">
        <f t="shared" si="6"/>
        <v/>
      </c>
      <c r="H112" s="559" t="str">
        <f t="shared" si="7"/>
        <v/>
      </c>
      <c r="I112" s="559" t="str">
        <f t="shared" si="8"/>
        <v/>
      </c>
    </row>
    <row r="113" spans="2:9">
      <c r="B113" s="555" t="str">
        <f t="shared" si="3"/>
        <v/>
      </c>
      <c r="C113" s="556" t="str">
        <f t="shared" si="4"/>
        <v/>
      </c>
      <c r="D113" s="557" t="str">
        <f t="shared" si="5"/>
        <v/>
      </c>
      <c r="E113" s="560"/>
      <c r="F113" s="559"/>
      <c r="G113" s="559" t="str">
        <f t="shared" si="6"/>
        <v/>
      </c>
      <c r="H113" s="559" t="str">
        <f t="shared" si="7"/>
        <v/>
      </c>
      <c r="I113" s="559" t="str">
        <f t="shared" si="8"/>
        <v/>
      </c>
    </row>
    <row r="114" spans="2:9">
      <c r="B114" s="555" t="str">
        <f t="shared" si="3"/>
        <v/>
      </c>
      <c r="C114" s="556" t="str">
        <f t="shared" si="4"/>
        <v/>
      </c>
      <c r="D114" s="557" t="str">
        <f t="shared" si="5"/>
        <v/>
      </c>
      <c r="E114" s="560"/>
      <c r="F114" s="559"/>
      <c r="G114" s="559" t="str">
        <f t="shared" si="6"/>
        <v/>
      </c>
      <c r="H114" s="559" t="str">
        <f t="shared" si="7"/>
        <v/>
      </c>
      <c r="I114" s="559" t="str">
        <f t="shared" si="8"/>
        <v/>
      </c>
    </row>
    <row r="115" spans="2:9">
      <c r="B115" s="555" t="str">
        <f t="shared" si="3"/>
        <v/>
      </c>
      <c r="C115" s="556" t="str">
        <f t="shared" si="4"/>
        <v/>
      </c>
      <c r="D115" s="557" t="str">
        <f t="shared" si="5"/>
        <v/>
      </c>
      <c r="E115" s="560"/>
      <c r="F115" s="559"/>
      <c r="G115" s="559" t="str">
        <f t="shared" si="6"/>
        <v/>
      </c>
      <c r="H115" s="559" t="str">
        <f t="shared" si="7"/>
        <v/>
      </c>
      <c r="I115" s="559" t="str">
        <f t="shared" si="8"/>
        <v/>
      </c>
    </row>
    <row r="116" spans="2:9">
      <c r="B116" s="555" t="str">
        <f t="shared" si="3"/>
        <v/>
      </c>
      <c r="C116" s="556" t="str">
        <f t="shared" si="4"/>
        <v/>
      </c>
      <c r="D116" s="557" t="str">
        <f t="shared" si="5"/>
        <v/>
      </c>
      <c r="E116" s="560"/>
      <c r="F116" s="559"/>
      <c r="G116" s="559" t="str">
        <f t="shared" si="6"/>
        <v/>
      </c>
      <c r="H116" s="559" t="str">
        <f t="shared" si="7"/>
        <v/>
      </c>
      <c r="I116" s="559" t="str">
        <f t="shared" si="8"/>
        <v/>
      </c>
    </row>
    <row r="117" spans="2:9">
      <c r="B117" s="555" t="str">
        <f t="shared" si="3"/>
        <v/>
      </c>
      <c r="C117" s="556" t="str">
        <f t="shared" si="4"/>
        <v/>
      </c>
      <c r="D117" s="557" t="str">
        <f t="shared" si="5"/>
        <v/>
      </c>
      <c r="E117" s="560"/>
      <c r="F117" s="559"/>
      <c r="G117" s="559" t="str">
        <f t="shared" si="6"/>
        <v/>
      </c>
      <c r="H117" s="559" t="str">
        <f t="shared" si="7"/>
        <v/>
      </c>
      <c r="I117" s="559" t="str">
        <f t="shared" si="8"/>
        <v/>
      </c>
    </row>
    <row r="118" spans="2:9">
      <c r="B118" s="555" t="str">
        <f t="shared" si="3"/>
        <v/>
      </c>
      <c r="C118" s="556" t="str">
        <f t="shared" si="4"/>
        <v/>
      </c>
      <c r="D118" s="557" t="str">
        <f t="shared" si="5"/>
        <v/>
      </c>
      <c r="E118" s="560"/>
      <c r="F118" s="559"/>
      <c r="G118" s="559" t="str">
        <f t="shared" si="6"/>
        <v/>
      </c>
      <c r="H118" s="559" t="str">
        <f t="shared" si="7"/>
        <v/>
      </c>
      <c r="I118" s="559" t="str">
        <f t="shared" si="8"/>
        <v/>
      </c>
    </row>
    <row r="119" spans="2:9">
      <c r="B119" s="555" t="str">
        <f t="shared" si="3"/>
        <v/>
      </c>
      <c r="C119" s="556" t="str">
        <f t="shared" si="4"/>
        <v/>
      </c>
      <c r="D119" s="557" t="str">
        <f t="shared" si="5"/>
        <v/>
      </c>
      <c r="E119" s="560"/>
      <c r="F119" s="559"/>
      <c r="G119" s="559" t="str">
        <f t="shared" si="6"/>
        <v/>
      </c>
      <c r="H119" s="559" t="str">
        <f t="shared" si="7"/>
        <v/>
      </c>
      <c r="I119" s="559" t="str">
        <f t="shared" si="8"/>
        <v/>
      </c>
    </row>
    <row r="120" spans="2:9">
      <c r="B120" s="555" t="str">
        <f t="shared" si="3"/>
        <v/>
      </c>
      <c r="C120" s="556" t="str">
        <f t="shared" si="4"/>
        <v/>
      </c>
      <c r="D120" s="557" t="str">
        <f t="shared" si="5"/>
        <v/>
      </c>
      <c r="E120" s="560"/>
      <c r="F120" s="559"/>
      <c r="G120" s="559" t="str">
        <f t="shared" si="6"/>
        <v/>
      </c>
      <c r="H120" s="559" t="str">
        <f t="shared" si="7"/>
        <v/>
      </c>
      <c r="I120" s="559" t="str">
        <f t="shared" si="8"/>
        <v/>
      </c>
    </row>
    <row r="121" spans="2:9">
      <c r="B121" s="555" t="str">
        <f t="shared" si="3"/>
        <v/>
      </c>
      <c r="C121" s="556" t="str">
        <f t="shared" si="4"/>
        <v/>
      </c>
      <c r="D121" s="557" t="str">
        <f t="shared" si="5"/>
        <v/>
      </c>
      <c r="E121" s="560"/>
      <c r="F121" s="559"/>
      <c r="G121" s="559" t="str">
        <f t="shared" si="6"/>
        <v/>
      </c>
      <c r="H121" s="559" t="str">
        <f t="shared" si="7"/>
        <v/>
      </c>
      <c r="I121" s="559" t="str">
        <f t="shared" si="8"/>
        <v/>
      </c>
    </row>
    <row r="122" spans="2:9">
      <c r="B122" s="555" t="str">
        <f t="shared" si="3"/>
        <v/>
      </c>
      <c r="C122" s="556" t="str">
        <f t="shared" si="4"/>
        <v/>
      </c>
      <c r="D122" s="557" t="str">
        <f t="shared" si="5"/>
        <v/>
      </c>
      <c r="E122" s="560"/>
      <c r="F122" s="559"/>
      <c r="G122" s="559" t="str">
        <f t="shared" si="6"/>
        <v/>
      </c>
      <c r="H122" s="559" t="str">
        <f t="shared" si="7"/>
        <v/>
      </c>
      <c r="I122" s="559" t="str">
        <f t="shared" si="8"/>
        <v/>
      </c>
    </row>
    <row r="123" spans="2:9">
      <c r="B123" s="555" t="str">
        <f t="shared" si="3"/>
        <v/>
      </c>
      <c r="C123" s="556" t="str">
        <f t="shared" si="4"/>
        <v/>
      </c>
      <c r="D123" s="557" t="str">
        <f t="shared" si="5"/>
        <v/>
      </c>
      <c r="E123" s="560"/>
      <c r="F123" s="559"/>
      <c r="G123" s="559" t="str">
        <f t="shared" si="6"/>
        <v/>
      </c>
      <c r="H123" s="559" t="str">
        <f t="shared" si="7"/>
        <v/>
      </c>
      <c r="I123" s="559" t="str">
        <f t="shared" si="8"/>
        <v/>
      </c>
    </row>
    <row r="124" spans="2:9">
      <c r="B124" s="555" t="str">
        <f t="shared" si="3"/>
        <v/>
      </c>
      <c r="C124" s="556" t="str">
        <f t="shared" si="4"/>
        <v/>
      </c>
      <c r="D124" s="557" t="str">
        <f t="shared" si="5"/>
        <v/>
      </c>
      <c r="E124" s="560"/>
      <c r="F124" s="559"/>
      <c r="G124" s="559" t="str">
        <f t="shared" si="6"/>
        <v/>
      </c>
      <c r="H124" s="559" t="str">
        <f t="shared" si="7"/>
        <v/>
      </c>
      <c r="I124" s="559" t="str">
        <f t="shared" si="8"/>
        <v/>
      </c>
    </row>
    <row r="125" spans="2:9">
      <c r="B125" s="555" t="str">
        <f t="shared" ref="B125:B188" si="9">IF(I124="","",IF(roundOpt,IF(OR(B124&gt;=nper,ROUND(I124,2)&lt;=0),"",B124+1),IF(OR(B124&gt;=nper,I124&lt;=0),"",B124+1)))</f>
        <v/>
      </c>
      <c r="C125" s="556" t="str">
        <f t="shared" ref="C125:C188" si="10">IF(B125="","",IF(OR(periods_per_year=26,periods_per_year=52),IF(periods_per_year=26,IF(B125=1,fpdate,C124+14),IF(periods_per_year=52,IF(B125=1,fpdate,C124+7),"n/a")),IF(periods_per_year=24,DATE(YEAR(fpdate),MONTH(fpdate)+(B125-1)/2+IF(AND(DAY(fpdate)&gt;=15,MOD(B125,2)=0),1,0),IF(MOD(B125,2)=0,IF(DAY(fpdate)&gt;=15,DAY(fpdate)-14,DAY(fpdate)+14),DAY(fpdate))),IF(DAY(DATE(YEAR(fpdate),MONTH(fpdate)+(B125-1)*months_per_period,DAY(fpdate)))&lt;&gt;DAY(fpdate),DATE(YEAR(fpdate),MONTH(fpdate)+(B125-1)*months_per_period+1,0),DATE(YEAR(fpdate),MONTH(fpdate)+(B125-1)*months_per_period,DAY(fpdate))))))</f>
        <v/>
      </c>
      <c r="D125" s="557" t="str">
        <f t="shared" ref="D125:D188" si="11">IF(B125="","",IF(roundOpt,IF(OR(B125=nper,payment&gt;ROUND((1+rate)*I124,2)),ROUND((1+rate)*I124,2),payment),IF(OR(B125=nper,payment&gt;(1+rate)*I124),(1+rate)*I124,payment)))</f>
        <v/>
      </c>
      <c r="E125" s="560"/>
      <c r="F125" s="559"/>
      <c r="G125" s="559" t="str">
        <f t="shared" ref="G125:G188" si="12">IF(B125="","",IF(AND(B125=1,pmtType=1),0,IF(roundOpt,ROUND(rate*I124,2),rate*I124)))</f>
        <v/>
      </c>
      <c r="H125" s="559" t="str">
        <f t="shared" ref="H125:H188" si="13">IF(B125="","",D125-G125+E125)</f>
        <v/>
      </c>
      <c r="I125" s="559" t="str">
        <f t="shared" ref="I125:I188" si="14">IF(B125="","",I124-H125)</f>
        <v/>
      </c>
    </row>
    <row r="126" spans="2:9">
      <c r="B126" s="555" t="str">
        <f t="shared" si="9"/>
        <v/>
      </c>
      <c r="C126" s="556" t="str">
        <f t="shared" si="10"/>
        <v/>
      </c>
      <c r="D126" s="557" t="str">
        <f t="shared" si="11"/>
        <v/>
      </c>
      <c r="E126" s="560"/>
      <c r="F126" s="559"/>
      <c r="G126" s="559" t="str">
        <f t="shared" si="12"/>
        <v/>
      </c>
      <c r="H126" s="559" t="str">
        <f t="shared" si="13"/>
        <v/>
      </c>
      <c r="I126" s="559" t="str">
        <f t="shared" si="14"/>
        <v/>
      </c>
    </row>
    <row r="127" spans="2:9">
      <c r="B127" s="555" t="str">
        <f t="shared" si="9"/>
        <v/>
      </c>
      <c r="C127" s="556" t="str">
        <f t="shared" si="10"/>
        <v/>
      </c>
      <c r="D127" s="557" t="str">
        <f t="shared" si="11"/>
        <v/>
      </c>
      <c r="E127" s="560"/>
      <c r="F127" s="559"/>
      <c r="G127" s="559" t="str">
        <f t="shared" si="12"/>
        <v/>
      </c>
      <c r="H127" s="559" t="str">
        <f t="shared" si="13"/>
        <v/>
      </c>
      <c r="I127" s="559" t="str">
        <f t="shared" si="14"/>
        <v/>
      </c>
    </row>
    <row r="128" spans="2:9">
      <c r="B128" s="555" t="str">
        <f t="shared" si="9"/>
        <v/>
      </c>
      <c r="C128" s="556" t="str">
        <f t="shared" si="10"/>
        <v/>
      </c>
      <c r="D128" s="557" t="str">
        <f t="shared" si="11"/>
        <v/>
      </c>
      <c r="E128" s="560"/>
      <c r="F128" s="559"/>
      <c r="G128" s="559" t="str">
        <f t="shared" si="12"/>
        <v/>
      </c>
      <c r="H128" s="559" t="str">
        <f t="shared" si="13"/>
        <v/>
      </c>
      <c r="I128" s="559" t="str">
        <f t="shared" si="14"/>
        <v/>
      </c>
    </row>
    <row r="129" spans="2:9">
      <c r="B129" s="555" t="str">
        <f t="shared" si="9"/>
        <v/>
      </c>
      <c r="C129" s="556" t="str">
        <f t="shared" si="10"/>
        <v/>
      </c>
      <c r="D129" s="557" t="str">
        <f t="shared" si="11"/>
        <v/>
      </c>
      <c r="E129" s="560"/>
      <c r="F129" s="559"/>
      <c r="G129" s="559" t="str">
        <f t="shared" si="12"/>
        <v/>
      </c>
      <c r="H129" s="559" t="str">
        <f t="shared" si="13"/>
        <v/>
      </c>
      <c r="I129" s="559" t="str">
        <f t="shared" si="14"/>
        <v/>
      </c>
    </row>
    <row r="130" spans="2:9">
      <c r="B130" s="555" t="str">
        <f t="shared" si="9"/>
        <v/>
      </c>
      <c r="C130" s="556" t="str">
        <f t="shared" si="10"/>
        <v/>
      </c>
      <c r="D130" s="557" t="str">
        <f t="shared" si="11"/>
        <v/>
      </c>
      <c r="E130" s="560"/>
      <c r="F130" s="559"/>
      <c r="G130" s="559" t="str">
        <f t="shared" si="12"/>
        <v/>
      </c>
      <c r="H130" s="559" t="str">
        <f t="shared" si="13"/>
        <v/>
      </c>
      <c r="I130" s="559" t="str">
        <f t="shared" si="14"/>
        <v/>
      </c>
    </row>
    <row r="131" spans="2:9">
      <c r="B131" s="555" t="str">
        <f t="shared" si="9"/>
        <v/>
      </c>
      <c r="C131" s="556" t="str">
        <f t="shared" si="10"/>
        <v/>
      </c>
      <c r="D131" s="557" t="str">
        <f t="shared" si="11"/>
        <v/>
      </c>
      <c r="E131" s="560"/>
      <c r="F131" s="559"/>
      <c r="G131" s="559" t="str">
        <f t="shared" si="12"/>
        <v/>
      </c>
      <c r="H131" s="559" t="str">
        <f t="shared" si="13"/>
        <v/>
      </c>
      <c r="I131" s="559" t="str">
        <f t="shared" si="14"/>
        <v/>
      </c>
    </row>
    <row r="132" spans="2:9">
      <c r="B132" s="555" t="str">
        <f t="shared" si="9"/>
        <v/>
      </c>
      <c r="C132" s="556" t="str">
        <f t="shared" si="10"/>
        <v/>
      </c>
      <c r="D132" s="557" t="str">
        <f t="shared" si="11"/>
        <v/>
      </c>
      <c r="E132" s="560"/>
      <c r="F132" s="559"/>
      <c r="G132" s="559" t="str">
        <f t="shared" si="12"/>
        <v/>
      </c>
      <c r="H132" s="559" t="str">
        <f t="shared" si="13"/>
        <v/>
      </c>
      <c r="I132" s="559" t="str">
        <f t="shared" si="14"/>
        <v/>
      </c>
    </row>
    <row r="133" spans="2:9">
      <c r="B133" s="555" t="str">
        <f t="shared" si="9"/>
        <v/>
      </c>
      <c r="C133" s="556" t="str">
        <f t="shared" si="10"/>
        <v/>
      </c>
      <c r="D133" s="557" t="str">
        <f t="shared" si="11"/>
        <v/>
      </c>
      <c r="E133" s="560"/>
      <c r="F133" s="559"/>
      <c r="G133" s="559" t="str">
        <f t="shared" si="12"/>
        <v/>
      </c>
      <c r="H133" s="559" t="str">
        <f t="shared" si="13"/>
        <v/>
      </c>
      <c r="I133" s="559" t="str">
        <f t="shared" si="14"/>
        <v/>
      </c>
    </row>
    <row r="134" spans="2:9">
      <c r="B134" s="555" t="str">
        <f t="shared" si="9"/>
        <v/>
      </c>
      <c r="C134" s="556" t="str">
        <f t="shared" si="10"/>
        <v/>
      </c>
      <c r="D134" s="557" t="str">
        <f t="shared" si="11"/>
        <v/>
      </c>
      <c r="E134" s="560"/>
      <c r="F134" s="559"/>
      <c r="G134" s="559" t="str">
        <f t="shared" si="12"/>
        <v/>
      </c>
      <c r="H134" s="559" t="str">
        <f t="shared" si="13"/>
        <v/>
      </c>
      <c r="I134" s="559" t="str">
        <f t="shared" si="14"/>
        <v/>
      </c>
    </row>
    <row r="135" spans="2:9">
      <c r="B135" s="555" t="str">
        <f t="shared" si="9"/>
        <v/>
      </c>
      <c r="C135" s="556" t="str">
        <f t="shared" si="10"/>
        <v/>
      </c>
      <c r="D135" s="557" t="str">
        <f t="shared" si="11"/>
        <v/>
      </c>
      <c r="E135" s="560"/>
      <c r="F135" s="559"/>
      <c r="G135" s="559" t="str">
        <f t="shared" si="12"/>
        <v/>
      </c>
      <c r="H135" s="559" t="str">
        <f t="shared" si="13"/>
        <v/>
      </c>
      <c r="I135" s="559" t="str">
        <f t="shared" si="14"/>
        <v/>
      </c>
    </row>
    <row r="136" spans="2:9">
      <c r="B136" s="555" t="str">
        <f t="shared" si="9"/>
        <v/>
      </c>
      <c r="C136" s="556" t="str">
        <f t="shared" si="10"/>
        <v/>
      </c>
      <c r="D136" s="557" t="str">
        <f t="shared" si="11"/>
        <v/>
      </c>
      <c r="E136" s="560"/>
      <c r="F136" s="559"/>
      <c r="G136" s="559" t="str">
        <f t="shared" si="12"/>
        <v/>
      </c>
      <c r="H136" s="559" t="str">
        <f t="shared" si="13"/>
        <v/>
      </c>
      <c r="I136" s="559" t="str">
        <f t="shared" si="14"/>
        <v/>
      </c>
    </row>
    <row r="137" spans="2:9">
      <c r="B137" s="555" t="str">
        <f t="shared" si="9"/>
        <v/>
      </c>
      <c r="C137" s="556" t="str">
        <f t="shared" si="10"/>
        <v/>
      </c>
      <c r="D137" s="557" t="str">
        <f t="shared" si="11"/>
        <v/>
      </c>
      <c r="E137" s="560"/>
      <c r="F137" s="559"/>
      <c r="G137" s="559" t="str">
        <f t="shared" si="12"/>
        <v/>
      </c>
      <c r="H137" s="559" t="str">
        <f t="shared" si="13"/>
        <v/>
      </c>
      <c r="I137" s="559" t="str">
        <f t="shared" si="14"/>
        <v/>
      </c>
    </row>
    <row r="138" spans="2:9">
      <c r="B138" s="555" t="str">
        <f t="shared" si="9"/>
        <v/>
      </c>
      <c r="C138" s="556" t="str">
        <f t="shared" si="10"/>
        <v/>
      </c>
      <c r="D138" s="557" t="str">
        <f t="shared" si="11"/>
        <v/>
      </c>
      <c r="E138" s="560"/>
      <c r="F138" s="559"/>
      <c r="G138" s="559" t="str">
        <f t="shared" si="12"/>
        <v/>
      </c>
      <c r="H138" s="559" t="str">
        <f t="shared" si="13"/>
        <v/>
      </c>
      <c r="I138" s="559" t="str">
        <f t="shared" si="14"/>
        <v/>
      </c>
    </row>
    <row r="139" spans="2:9">
      <c r="B139" s="555" t="str">
        <f t="shared" si="9"/>
        <v/>
      </c>
      <c r="C139" s="556" t="str">
        <f t="shared" si="10"/>
        <v/>
      </c>
      <c r="D139" s="557" t="str">
        <f t="shared" si="11"/>
        <v/>
      </c>
      <c r="E139" s="560"/>
      <c r="F139" s="559"/>
      <c r="G139" s="559" t="str">
        <f t="shared" si="12"/>
        <v/>
      </c>
      <c r="H139" s="559" t="str">
        <f t="shared" si="13"/>
        <v/>
      </c>
      <c r="I139" s="559" t="str">
        <f t="shared" si="14"/>
        <v/>
      </c>
    </row>
    <row r="140" spans="2:9">
      <c r="B140" s="555" t="str">
        <f t="shared" si="9"/>
        <v/>
      </c>
      <c r="C140" s="556" t="str">
        <f t="shared" si="10"/>
        <v/>
      </c>
      <c r="D140" s="557" t="str">
        <f t="shared" si="11"/>
        <v/>
      </c>
      <c r="E140" s="560"/>
      <c r="F140" s="559"/>
      <c r="G140" s="559" t="str">
        <f t="shared" si="12"/>
        <v/>
      </c>
      <c r="H140" s="559" t="str">
        <f t="shared" si="13"/>
        <v/>
      </c>
      <c r="I140" s="559" t="str">
        <f t="shared" si="14"/>
        <v/>
      </c>
    </row>
    <row r="141" spans="2:9">
      <c r="B141" s="555" t="str">
        <f t="shared" si="9"/>
        <v/>
      </c>
      <c r="C141" s="556" t="str">
        <f t="shared" si="10"/>
        <v/>
      </c>
      <c r="D141" s="557" t="str">
        <f t="shared" si="11"/>
        <v/>
      </c>
      <c r="E141" s="560"/>
      <c r="F141" s="559"/>
      <c r="G141" s="559" t="str">
        <f t="shared" si="12"/>
        <v/>
      </c>
      <c r="H141" s="559" t="str">
        <f t="shared" si="13"/>
        <v/>
      </c>
      <c r="I141" s="559" t="str">
        <f t="shared" si="14"/>
        <v/>
      </c>
    </row>
    <row r="142" spans="2:9">
      <c r="B142" s="555" t="str">
        <f t="shared" si="9"/>
        <v/>
      </c>
      <c r="C142" s="556" t="str">
        <f t="shared" si="10"/>
        <v/>
      </c>
      <c r="D142" s="557" t="str">
        <f t="shared" si="11"/>
        <v/>
      </c>
      <c r="E142" s="560"/>
      <c r="F142" s="559"/>
      <c r="G142" s="559" t="str">
        <f t="shared" si="12"/>
        <v/>
      </c>
      <c r="H142" s="559" t="str">
        <f t="shared" si="13"/>
        <v/>
      </c>
      <c r="I142" s="559" t="str">
        <f t="shared" si="14"/>
        <v/>
      </c>
    </row>
    <row r="143" spans="2:9">
      <c r="B143" s="555" t="str">
        <f t="shared" si="9"/>
        <v/>
      </c>
      <c r="C143" s="556" t="str">
        <f t="shared" si="10"/>
        <v/>
      </c>
      <c r="D143" s="557" t="str">
        <f t="shared" si="11"/>
        <v/>
      </c>
      <c r="E143" s="560"/>
      <c r="F143" s="559"/>
      <c r="G143" s="559" t="str">
        <f t="shared" si="12"/>
        <v/>
      </c>
      <c r="H143" s="559" t="str">
        <f t="shared" si="13"/>
        <v/>
      </c>
      <c r="I143" s="559" t="str">
        <f t="shared" si="14"/>
        <v/>
      </c>
    </row>
    <row r="144" spans="2:9">
      <c r="B144" s="555" t="str">
        <f t="shared" si="9"/>
        <v/>
      </c>
      <c r="C144" s="556" t="str">
        <f t="shared" si="10"/>
        <v/>
      </c>
      <c r="D144" s="557" t="str">
        <f t="shared" si="11"/>
        <v/>
      </c>
      <c r="E144" s="560"/>
      <c r="F144" s="559"/>
      <c r="G144" s="559" t="str">
        <f t="shared" si="12"/>
        <v/>
      </c>
      <c r="H144" s="559" t="str">
        <f t="shared" si="13"/>
        <v/>
      </c>
      <c r="I144" s="559" t="str">
        <f t="shared" si="14"/>
        <v/>
      </c>
    </row>
    <row r="145" spans="2:9">
      <c r="B145" s="555" t="str">
        <f t="shared" si="9"/>
        <v/>
      </c>
      <c r="C145" s="556" t="str">
        <f t="shared" si="10"/>
        <v/>
      </c>
      <c r="D145" s="557" t="str">
        <f t="shared" si="11"/>
        <v/>
      </c>
      <c r="E145" s="560"/>
      <c r="F145" s="559"/>
      <c r="G145" s="559" t="str">
        <f t="shared" si="12"/>
        <v/>
      </c>
      <c r="H145" s="559" t="str">
        <f t="shared" si="13"/>
        <v/>
      </c>
      <c r="I145" s="559" t="str">
        <f t="shared" si="14"/>
        <v/>
      </c>
    </row>
    <row r="146" spans="2:9">
      <c r="B146" s="555" t="str">
        <f t="shared" si="9"/>
        <v/>
      </c>
      <c r="C146" s="556" t="str">
        <f t="shared" si="10"/>
        <v/>
      </c>
      <c r="D146" s="557" t="str">
        <f t="shared" si="11"/>
        <v/>
      </c>
      <c r="E146" s="560"/>
      <c r="F146" s="559"/>
      <c r="G146" s="559" t="str">
        <f t="shared" si="12"/>
        <v/>
      </c>
      <c r="H146" s="559" t="str">
        <f t="shared" si="13"/>
        <v/>
      </c>
      <c r="I146" s="559" t="str">
        <f t="shared" si="14"/>
        <v/>
      </c>
    </row>
    <row r="147" spans="2:9">
      <c r="B147" s="555" t="str">
        <f t="shared" si="9"/>
        <v/>
      </c>
      <c r="C147" s="556" t="str">
        <f t="shared" si="10"/>
        <v/>
      </c>
      <c r="D147" s="557" t="str">
        <f t="shared" si="11"/>
        <v/>
      </c>
      <c r="E147" s="560"/>
      <c r="F147" s="559"/>
      <c r="G147" s="559" t="str">
        <f t="shared" si="12"/>
        <v/>
      </c>
      <c r="H147" s="559" t="str">
        <f t="shared" si="13"/>
        <v/>
      </c>
      <c r="I147" s="559" t="str">
        <f t="shared" si="14"/>
        <v/>
      </c>
    </row>
    <row r="148" spans="2:9">
      <c r="B148" s="555" t="str">
        <f t="shared" si="9"/>
        <v/>
      </c>
      <c r="C148" s="556" t="str">
        <f t="shared" si="10"/>
        <v/>
      </c>
      <c r="D148" s="557" t="str">
        <f t="shared" si="11"/>
        <v/>
      </c>
      <c r="E148" s="560"/>
      <c r="F148" s="559"/>
      <c r="G148" s="559" t="str">
        <f t="shared" si="12"/>
        <v/>
      </c>
      <c r="H148" s="559" t="str">
        <f t="shared" si="13"/>
        <v/>
      </c>
      <c r="I148" s="559" t="str">
        <f t="shared" si="14"/>
        <v/>
      </c>
    </row>
    <row r="149" spans="2:9">
      <c r="B149" s="555" t="str">
        <f t="shared" si="9"/>
        <v/>
      </c>
      <c r="C149" s="556" t="str">
        <f t="shared" si="10"/>
        <v/>
      </c>
      <c r="D149" s="557" t="str">
        <f t="shared" si="11"/>
        <v/>
      </c>
      <c r="E149" s="560"/>
      <c r="F149" s="559"/>
      <c r="G149" s="559" t="str">
        <f t="shared" si="12"/>
        <v/>
      </c>
      <c r="H149" s="559" t="str">
        <f t="shared" si="13"/>
        <v/>
      </c>
      <c r="I149" s="559" t="str">
        <f t="shared" si="14"/>
        <v/>
      </c>
    </row>
    <row r="150" spans="2:9">
      <c r="B150" s="555" t="str">
        <f t="shared" si="9"/>
        <v/>
      </c>
      <c r="C150" s="556" t="str">
        <f t="shared" si="10"/>
        <v/>
      </c>
      <c r="D150" s="557" t="str">
        <f t="shared" si="11"/>
        <v/>
      </c>
      <c r="E150" s="560"/>
      <c r="F150" s="559"/>
      <c r="G150" s="559" t="str">
        <f t="shared" si="12"/>
        <v/>
      </c>
      <c r="H150" s="559" t="str">
        <f t="shared" si="13"/>
        <v/>
      </c>
      <c r="I150" s="559" t="str">
        <f t="shared" si="14"/>
        <v/>
      </c>
    </row>
    <row r="151" spans="2:9">
      <c r="B151" s="555" t="str">
        <f t="shared" si="9"/>
        <v/>
      </c>
      <c r="C151" s="556" t="str">
        <f t="shared" si="10"/>
        <v/>
      </c>
      <c r="D151" s="557" t="str">
        <f t="shared" si="11"/>
        <v/>
      </c>
      <c r="E151" s="560"/>
      <c r="F151" s="559"/>
      <c r="G151" s="559" t="str">
        <f t="shared" si="12"/>
        <v/>
      </c>
      <c r="H151" s="559" t="str">
        <f t="shared" si="13"/>
        <v/>
      </c>
      <c r="I151" s="559" t="str">
        <f t="shared" si="14"/>
        <v/>
      </c>
    </row>
    <row r="152" spans="2:9">
      <c r="B152" s="555" t="str">
        <f t="shared" si="9"/>
        <v/>
      </c>
      <c r="C152" s="556" t="str">
        <f t="shared" si="10"/>
        <v/>
      </c>
      <c r="D152" s="557" t="str">
        <f t="shared" si="11"/>
        <v/>
      </c>
      <c r="E152" s="560"/>
      <c r="F152" s="559"/>
      <c r="G152" s="559" t="str">
        <f t="shared" si="12"/>
        <v/>
      </c>
      <c r="H152" s="559" t="str">
        <f t="shared" si="13"/>
        <v/>
      </c>
      <c r="I152" s="559" t="str">
        <f t="shared" si="14"/>
        <v/>
      </c>
    </row>
    <row r="153" spans="2:9">
      <c r="B153" s="555" t="str">
        <f t="shared" si="9"/>
        <v/>
      </c>
      <c r="C153" s="556" t="str">
        <f t="shared" si="10"/>
        <v/>
      </c>
      <c r="D153" s="557" t="str">
        <f t="shared" si="11"/>
        <v/>
      </c>
      <c r="E153" s="560"/>
      <c r="F153" s="559"/>
      <c r="G153" s="559" t="str">
        <f t="shared" si="12"/>
        <v/>
      </c>
      <c r="H153" s="559" t="str">
        <f t="shared" si="13"/>
        <v/>
      </c>
      <c r="I153" s="559" t="str">
        <f t="shared" si="14"/>
        <v/>
      </c>
    </row>
    <row r="154" spans="2:9">
      <c r="B154" s="555" t="str">
        <f t="shared" si="9"/>
        <v/>
      </c>
      <c r="C154" s="556" t="str">
        <f t="shared" si="10"/>
        <v/>
      </c>
      <c r="D154" s="557" t="str">
        <f t="shared" si="11"/>
        <v/>
      </c>
      <c r="E154" s="560"/>
      <c r="F154" s="559"/>
      <c r="G154" s="559" t="str">
        <f t="shared" si="12"/>
        <v/>
      </c>
      <c r="H154" s="559" t="str">
        <f t="shared" si="13"/>
        <v/>
      </c>
      <c r="I154" s="559" t="str">
        <f t="shared" si="14"/>
        <v/>
      </c>
    </row>
    <row r="155" spans="2:9">
      <c r="B155" s="555" t="str">
        <f t="shared" si="9"/>
        <v/>
      </c>
      <c r="C155" s="556" t="str">
        <f t="shared" si="10"/>
        <v/>
      </c>
      <c r="D155" s="557" t="str">
        <f t="shared" si="11"/>
        <v/>
      </c>
      <c r="E155" s="560"/>
      <c r="F155" s="559"/>
      <c r="G155" s="559" t="str">
        <f t="shared" si="12"/>
        <v/>
      </c>
      <c r="H155" s="559" t="str">
        <f t="shared" si="13"/>
        <v/>
      </c>
      <c r="I155" s="559" t="str">
        <f t="shared" si="14"/>
        <v/>
      </c>
    </row>
    <row r="156" spans="2:9">
      <c r="B156" s="555" t="str">
        <f t="shared" si="9"/>
        <v/>
      </c>
      <c r="C156" s="556" t="str">
        <f t="shared" si="10"/>
        <v/>
      </c>
      <c r="D156" s="557" t="str">
        <f t="shared" si="11"/>
        <v/>
      </c>
      <c r="E156" s="560"/>
      <c r="F156" s="559"/>
      <c r="G156" s="559" t="str">
        <f t="shared" si="12"/>
        <v/>
      </c>
      <c r="H156" s="559" t="str">
        <f t="shared" si="13"/>
        <v/>
      </c>
      <c r="I156" s="559" t="str">
        <f t="shared" si="14"/>
        <v/>
      </c>
    </row>
    <row r="157" spans="2:9">
      <c r="B157" s="555" t="str">
        <f t="shared" si="9"/>
        <v/>
      </c>
      <c r="C157" s="556" t="str">
        <f t="shared" si="10"/>
        <v/>
      </c>
      <c r="D157" s="557" t="str">
        <f t="shared" si="11"/>
        <v/>
      </c>
      <c r="E157" s="560"/>
      <c r="F157" s="559"/>
      <c r="G157" s="559" t="str">
        <f t="shared" si="12"/>
        <v/>
      </c>
      <c r="H157" s="559" t="str">
        <f t="shared" si="13"/>
        <v/>
      </c>
      <c r="I157" s="559" t="str">
        <f t="shared" si="14"/>
        <v/>
      </c>
    </row>
    <row r="158" spans="2:9">
      <c r="B158" s="555" t="str">
        <f t="shared" si="9"/>
        <v/>
      </c>
      <c r="C158" s="556" t="str">
        <f t="shared" si="10"/>
        <v/>
      </c>
      <c r="D158" s="557" t="str">
        <f t="shared" si="11"/>
        <v/>
      </c>
      <c r="E158" s="560"/>
      <c r="F158" s="559"/>
      <c r="G158" s="559" t="str">
        <f t="shared" si="12"/>
        <v/>
      </c>
      <c r="H158" s="559" t="str">
        <f t="shared" si="13"/>
        <v/>
      </c>
      <c r="I158" s="559" t="str">
        <f t="shared" si="14"/>
        <v/>
      </c>
    </row>
    <row r="159" spans="2:9">
      <c r="B159" s="555" t="str">
        <f t="shared" si="9"/>
        <v/>
      </c>
      <c r="C159" s="556" t="str">
        <f t="shared" si="10"/>
        <v/>
      </c>
      <c r="D159" s="557" t="str">
        <f t="shared" si="11"/>
        <v/>
      </c>
      <c r="E159" s="560"/>
      <c r="F159" s="559"/>
      <c r="G159" s="559" t="str">
        <f t="shared" si="12"/>
        <v/>
      </c>
      <c r="H159" s="559" t="str">
        <f t="shared" si="13"/>
        <v/>
      </c>
      <c r="I159" s="559" t="str">
        <f t="shared" si="14"/>
        <v/>
      </c>
    </row>
    <row r="160" spans="2:9">
      <c r="B160" s="555" t="str">
        <f t="shared" si="9"/>
        <v/>
      </c>
      <c r="C160" s="556" t="str">
        <f t="shared" si="10"/>
        <v/>
      </c>
      <c r="D160" s="557" t="str">
        <f t="shared" si="11"/>
        <v/>
      </c>
      <c r="E160" s="560"/>
      <c r="F160" s="559"/>
      <c r="G160" s="559" t="str">
        <f t="shared" si="12"/>
        <v/>
      </c>
      <c r="H160" s="559" t="str">
        <f t="shared" si="13"/>
        <v/>
      </c>
      <c r="I160" s="559" t="str">
        <f t="shared" si="14"/>
        <v/>
      </c>
    </row>
    <row r="161" spans="2:9">
      <c r="B161" s="555" t="str">
        <f t="shared" si="9"/>
        <v/>
      </c>
      <c r="C161" s="556" t="str">
        <f t="shared" si="10"/>
        <v/>
      </c>
      <c r="D161" s="557" t="str">
        <f t="shared" si="11"/>
        <v/>
      </c>
      <c r="E161" s="560"/>
      <c r="F161" s="559"/>
      <c r="G161" s="559" t="str">
        <f t="shared" si="12"/>
        <v/>
      </c>
      <c r="H161" s="559" t="str">
        <f t="shared" si="13"/>
        <v/>
      </c>
      <c r="I161" s="559" t="str">
        <f t="shared" si="14"/>
        <v/>
      </c>
    </row>
    <row r="162" spans="2:9">
      <c r="B162" s="555" t="str">
        <f t="shared" si="9"/>
        <v/>
      </c>
      <c r="C162" s="556" t="str">
        <f t="shared" si="10"/>
        <v/>
      </c>
      <c r="D162" s="557" t="str">
        <f t="shared" si="11"/>
        <v/>
      </c>
      <c r="E162" s="560"/>
      <c r="F162" s="559"/>
      <c r="G162" s="559" t="str">
        <f t="shared" si="12"/>
        <v/>
      </c>
      <c r="H162" s="559" t="str">
        <f t="shared" si="13"/>
        <v/>
      </c>
      <c r="I162" s="559" t="str">
        <f t="shared" si="14"/>
        <v/>
      </c>
    </row>
    <row r="163" spans="2:9">
      <c r="B163" s="555" t="str">
        <f t="shared" si="9"/>
        <v/>
      </c>
      <c r="C163" s="556" t="str">
        <f t="shared" si="10"/>
        <v/>
      </c>
      <c r="D163" s="557" t="str">
        <f t="shared" si="11"/>
        <v/>
      </c>
      <c r="E163" s="560"/>
      <c r="F163" s="559"/>
      <c r="G163" s="559" t="str">
        <f t="shared" si="12"/>
        <v/>
      </c>
      <c r="H163" s="559" t="str">
        <f t="shared" si="13"/>
        <v/>
      </c>
      <c r="I163" s="559" t="str">
        <f t="shared" si="14"/>
        <v/>
      </c>
    </row>
    <row r="164" spans="2:9">
      <c r="B164" s="555" t="str">
        <f t="shared" si="9"/>
        <v/>
      </c>
      <c r="C164" s="556" t="str">
        <f t="shared" si="10"/>
        <v/>
      </c>
      <c r="D164" s="557" t="str">
        <f t="shared" si="11"/>
        <v/>
      </c>
      <c r="E164" s="560"/>
      <c r="F164" s="559"/>
      <c r="G164" s="559" t="str">
        <f t="shared" si="12"/>
        <v/>
      </c>
      <c r="H164" s="559" t="str">
        <f t="shared" si="13"/>
        <v/>
      </c>
      <c r="I164" s="559" t="str">
        <f t="shared" si="14"/>
        <v/>
      </c>
    </row>
    <row r="165" spans="2:9">
      <c r="B165" s="555" t="str">
        <f t="shared" si="9"/>
        <v/>
      </c>
      <c r="C165" s="556" t="str">
        <f t="shared" si="10"/>
        <v/>
      </c>
      <c r="D165" s="557" t="str">
        <f t="shared" si="11"/>
        <v/>
      </c>
      <c r="E165" s="560"/>
      <c r="F165" s="559"/>
      <c r="G165" s="559" t="str">
        <f t="shared" si="12"/>
        <v/>
      </c>
      <c r="H165" s="559" t="str">
        <f t="shared" si="13"/>
        <v/>
      </c>
      <c r="I165" s="559" t="str">
        <f t="shared" si="14"/>
        <v/>
      </c>
    </row>
    <row r="166" spans="2:9">
      <c r="B166" s="555" t="str">
        <f t="shared" si="9"/>
        <v/>
      </c>
      <c r="C166" s="556" t="str">
        <f t="shared" si="10"/>
        <v/>
      </c>
      <c r="D166" s="557" t="str">
        <f t="shared" si="11"/>
        <v/>
      </c>
      <c r="E166" s="560"/>
      <c r="F166" s="559"/>
      <c r="G166" s="559" t="str">
        <f t="shared" si="12"/>
        <v/>
      </c>
      <c r="H166" s="559" t="str">
        <f t="shared" si="13"/>
        <v/>
      </c>
      <c r="I166" s="559" t="str">
        <f t="shared" si="14"/>
        <v/>
      </c>
    </row>
    <row r="167" spans="2:9">
      <c r="B167" s="555" t="str">
        <f t="shared" si="9"/>
        <v/>
      </c>
      <c r="C167" s="556" t="str">
        <f t="shared" si="10"/>
        <v/>
      </c>
      <c r="D167" s="557" t="str">
        <f t="shared" si="11"/>
        <v/>
      </c>
      <c r="E167" s="560"/>
      <c r="F167" s="559"/>
      <c r="G167" s="559" t="str">
        <f t="shared" si="12"/>
        <v/>
      </c>
      <c r="H167" s="559" t="str">
        <f t="shared" si="13"/>
        <v/>
      </c>
      <c r="I167" s="559" t="str">
        <f t="shared" si="14"/>
        <v/>
      </c>
    </row>
    <row r="168" spans="2:9">
      <c r="B168" s="555" t="str">
        <f t="shared" si="9"/>
        <v/>
      </c>
      <c r="C168" s="556" t="str">
        <f t="shared" si="10"/>
        <v/>
      </c>
      <c r="D168" s="557" t="str">
        <f t="shared" si="11"/>
        <v/>
      </c>
      <c r="E168" s="560"/>
      <c r="F168" s="559"/>
      <c r="G168" s="559" t="str">
        <f t="shared" si="12"/>
        <v/>
      </c>
      <c r="H168" s="559" t="str">
        <f t="shared" si="13"/>
        <v/>
      </c>
      <c r="I168" s="559" t="str">
        <f t="shared" si="14"/>
        <v/>
      </c>
    </row>
    <row r="169" spans="2:9">
      <c r="B169" s="555" t="str">
        <f t="shared" si="9"/>
        <v/>
      </c>
      <c r="C169" s="556" t="str">
        <f t="shared" si="10"/>
        <v/>
      </c>
      <c r="D169" s="557" t="str">
        <f t="shared" si="11"/>
        <v/>
      </c>
      <c r="E169" s="560"/>
      <c r="F169" s="559"/>
      <c r="G169" s="559" t="str">
        <f t="shared" si="12"/>
        <v/>
      </c>
      <c r="H169" s="559" t="str">
        <f t="shared" si="13"/>
        <v/>
      </c>
      <c r="I169" s="559" t="str">
        <f t="shared" si="14"/>
        <v/>
      </c>
    </row>
    <row r="170" spans="2:9">
      <c r="B170" s="555" t="str">
        <f t="shared" si="9"/>
        <v/>
      </c>
      <c r="C170" s="556" t="str">
        <f t="shared" si="10"/>
        <v/>
      </c>
      <c r="D170" s="557" t="str">
        <f t="shared" si="11"/>
        <v/>
      </c>
      <c r="E170" s="560"/>
      <c r="F170" s="559"/>
      <c r="G170" s="559" t="str">
        <f t="shared" si="12"/>
        <v/>
      </c>
      <c r="H170" s="559" t="str">
        <f t="shared" si="13"/>
        <v/>
      </c>
      <c r="I170" s="559" t="str">
        <f t="shared" si="14"/>
        <v/>
      </c>
    </row>
    <row r="171" spans="2:9">
      <c r="B171" s="555" t="str">
        <f t="shared" si="9"/>
        <v/>
      </c>
      <c r="C171" s="556" t="str">
        <f t="shared" si="10"/>
        <v/>
      </c>
      <c r="D171" s="557" t="str">
        <f t="shared" si="11"/>
        <v/>
      </c>
      <c r="E171" s="560"/>
      <c r="F171" s="559"/>
      <c r="G171" s="559" t="str">
        <f t="shared" si="12"/>
        <v/>
      </c>
      <c r="H171" s="559" t="str">
        <f t="shared" si="13"/>
        <v/>
      </c>
      <c r="I171" s="559" t="str">
        <f t="shared" si="14"/>
        <v/>
      </c>
    </row>
    <row r="172" spans="2:9">
      <c r="B172" s="555" t="str">
        <f t="shared" si="9"/>
        <v/>
      </c>
      <c r="C172" s="556" t="str">
        <f t="shared" si="10"/>
        <v/>
      </c>
      <c r="D172" s="557" t="str">
        <f t="shared" si="11"/>
        <v/>
      </c>
      <c r="E172" s="560"/>
      <c r="F172" s="559"/>
      <c r="G172" s="559" t="str">
        <f t="shared" si="12"/>
        <v/>
      </c>
      <c r="H172" s="559" t="str">
        <f t="shared" si="13"/>
        <v/>
      </c>
      <c r="I172" s="559" t="str">
        <f t="shared" si="14"/>
        <v/>
      </c>
    </row>
    <row r="173" spans="2:9">
      <c r="B173" s="555" t="str">
        <f t="shared" si="9"/>
        <v/>
      </c>
      <c r="C173" s="556" t="str">
        <f t="shared" si="10"/>
        <v/>
      </c>
      <c r="D173" s="557" t="str">
        <f t="shared" si="11"/>
        <v/>
      </c>
      <c r="E173" s="560"/>
      <c r="F173" s="559"/>
      <c r="G173" s="559" t="str">
        <f t="shared" si="12"/>
        <v/>
      </c>
      <c r="H173" s="559" t="str">
        <f t="shared" si="13"/>
        <v/>
      </c>
      <c r="I173" s="559" t="str">
        <f t="shared" si="14"/>
        <v/>
      </c>
    </row>
    <row r="174" spans="2:9">
      <c r="B174" s="555" t="str">
        <f t="shared" si="9"/>
        <v/>
      </c>
      <c r="C174" s="556" t="str">
        <f t="shared" si="10"/>
        <v/>
      </c>
      <c r="D174" s="557" t="str">
        <f t="shared" si="11"/>
        <v/>
      </c>
      <c r="E174" s="560"/>
      <c r="F174" s="559"/>
      <c r="G174" s="559" t="str">
        <f t="shared" si="12"/>
        <v/>
      </c>
      <c r="H174" s="559" t="str">
        <f t="shared" si="13"/>
        <v/>
      </c>
      <c r="I174" s="559" t="str">
        <f t="shared" si="14"/>
        <v/>
      </c>
    </row>
    <row r="175" spans="2:9">
      <c r="B175" s="555" t="str">
        <f t="shared" si="9"/>
        <v/>
      </c>
      <c r="C175" s="556" t="str">
        <f t="shared" si="10"/>
        <v/>
      </c>
      <c r="D175" s="557" t="str">
        <f t="shared" si="11"/>
        <v/>
      </c>
      <c r="E175" s="560"/>
      <c r="F175" s="559"/>
      <c r="G175" s="559" t="str">
        <f t="shared" si="12"/>
        <v/>
      </c>
      <c r="H175" s="559" t="str">
        <f t="shared" si="13"/>
        <v/>
      </c>
      <c r="I175" s="559" t="str">
        <f t="shared" si="14"/>
        <v/>
      </c>
    </row>
    <row r="176" spans="2:9">
      <c r="B176" s="555" t="str">
        <f t="shared" si="9"/>
        <v/>
      </c>
      <c r="C176" s="556" t="str">
        <f t="shared" si="10"/>
        <v/>
      </c>
      <c r="D176" s="557" t="str">
        <f t="shared" si="11"/>
        <v/>
      </c>
      <c r="E176" s="560"/>
      <c r="F176" s="559"/>
      <c r="G176" s="559" t="str">
        <f t="shared" si="12"/>
        <v/>
      </c>
      <c r="H176" s="559" t="str">
        <f t="shared" si="13"/>
        <v/>
      </c>
      <c r="I176" s="559" t="str">
        <f t="shared" si="14"/>
        <v/>
      </c>
    </row>
    <row r="177" spans="2:9">
      <c r="B177" s="555" t="str">
        <f t="shared" si="9"/>
        <v/>
      </c>
      <c r="C177" s="556" t="str">
        <f t="shared" si="10"/>
        <v/>
      </c>
      <c r="D177" s="557" t="str">
        <f t="shared" si="11"/>
        <v/>
      </c>
      <c r="E177" s="560"/>
      <c r="F177" s="559"/>
      <c r="G177" s="559" t="str">
        <f t="shared" si="12"/>
        <v/>
      </c>
      <c r="H177" s="559" t="str">
        <f t="shared" si="13"/>
        <v/>
      </c>
      <c r="I177" s="559" t="str">
        <f t="shared" si="14"/>
        <v/>
      </c>
    </row>
    <row r="178" spans="2:9">
      <c r="B178" s="555" t="str">
        <f t="shared" si="9"/>
        <v/>
      </c>
      <c r="C178" s="556" t="str">
        <f t="shared" si="10"/>
        <v/>
      </c>
      <c r="D178" s="557" t="str">
        <f t="shared" si="11"/>
        <v/>
      </c>
      <c r="E178" s="560"/>
      <c r="F178" s="559"/>
      <c r="G178" s="559" t="str">
        <f t="shared" si="12"/>
        <v/>
      </c>
      <c r="H178" s="559" t="str">
        <f t="shared" si="13"/>
        <v/>
      </c>
      <c r="I178" s="559" t="str">
        <f t="shared" si="14"/>
        <v/>
      </c>
    </row>
    <row r="179" spans="2:9">
      <c r="B179" s="555" t="str">
        <f t="shared" si="9"/>
        <v/>
      </c>
      <c r="C179" s="556" t="str">
        <f t="shared" si="10"/>
        <v/>
      </c>
      <c r="D179" s="557" t="str">
        <f t="shared" si="11"/>
        <v/>
      </c>
      <c r="E179" s="560"/>
      <c r="F179" s="559"/>
      <c r="G179" s="559" t="str">
        <f t="shared" si="12"/>
        <v/>
      </c>
      <c r="H179" s="559" t="str">
        <f t="shared" si="13"/>
        <v/>
      </c>
      <c r="I179" s="559" t="str">
        <f t="shared" si="14"/>
        <v/>
      </c>
    </row>
    <row r="180" spans="2:9">
      <c r="B180" s="555" t="str">
        <f t="shared" si="9"/>
        <v/>
      </c>
      <c r="C180" s="556" t="str">
        <f t="shared" si="10"/>
        <v/>
      </c>
      <c r="D180" s="557" t="str">
        <f t="shared" si="11"/>
        <v/>
      </c>
      <c r="E180" s="560"/>
      <c r="F180" s="559"/>
      <c r="G180" s="559" t="str">
        <f t="shared" si="12"/>
        <v/>
      </c>
      <c r="H180" s="559" t="str">
        <f t="shared" si="13"/>
        <v/>
      </c>
      <c r="I180" s="559" t="str">
        <f t="shared" si="14"/>
        <v/>
      </c>
    </row>
    <row r="181" spans="2:9">
      <c r="B181" s="555" t="str">
        <f t="shared" si="9"/>
        <v/>
      </c>
      <c r="C181" s="556" t="str">
        <f t="shared" si="10"/>
        <v/>
      </c>
      <c r="D181" s="557" t="str">
        <f t="shared" si="11"/>
        <v/>
      </c>
      <c r="E181" s="560"/>
      <c r="F181" s="559"/>
      <c r="G181" s="559" t="str">
        <f t="shared" si="12"/>
        <v/>
      </c>
      <c r="H181" s="559" t="str">
        <f t="shared" si="13"/>
        <v/>
      </c>
      <c r="I181" s="559" t="str">
        <f t="shared" si="14"/>
        <v/>
      </c>
    </row>
    <row r="182" spans="2:9">
      <c r="B182" s="555" t="str">
        <f t="shared" si="9"/>
        <v/>
      </c>
      <c r="C182" s="556" t="str">
        <f t="shared" si="10"/>
        <v/>
      </c>
      <c r="D182" s="557" t="str">
        <f t="shared" si="11"/>
        <v/>
      </c>
      <c r="E182" s="560"/>
      <c r="F182" s="559"/>
      <c r="G182" s="559" t="str">
        <f t="shared" si="12"/>
        <v/>
      </c>
      <c r="H182" s="559" t="str">
        <f t="shared" si="13"/>
        <v/>
      </c>
      <c r="I182" s="559" t="str">
        <f t="shared" si="14"/>
        <v/>
      </c>
    </row>
    <row r="183" spans="2:9">
      <c r="B183" s="555" t="str">
        <f t="shared" si="9"/>
        <v/>
      </c>
      <c r="C183" s="556" t="str">
        <f t="shared" si="10"/>
        <v/>
      </c>
      <c r="D183" s="557" t="str">
        <f t="shared" si="11"/>
        <v/>
      </c>
      <c r="E183" s="560"/>
      <c r="F183" s="559"/>
      <c r="G183" s="559" t="str">
        <f t="shared" si="12"/>
        <v/>
      </c>
      <c r="H183" s="559" t="str">
        <f t="shared" si="13"/>
        <v/>
      </c>
      <c r="I183" s="559" t="str">
        <f t="shared" si="14"/>
        <v/>
      </c>
    </row>
    <row r="184" spans="2:9">
      <c r="B184" s="555" t="str">
        <f t="shared" si="9"/>
        <v/>
      </c>
      <c r="C184" s="556" t="str">
        <f t="shared" si="10"/>
        <v/>
      </c>
      <c r="D184" s="557" t="str">
        <f t="shared" si="11"/>
        <v/>
      </c>
      <c r="E184" s="560"/>
      <c r="F184" s="559"/>
      <c r="G184" s="559" t="str">
        <f t="shared" si="12"/>
        <v/>
      </c>
      <c r="H184" s="559" t="str">
        <f t="shared" si="13"/>
        <v/>
      </c>
      <c r="I184" s="559" t="str">
        <f t="shared" si="14"/>
        <v/>
      </c>
    </row>
    <row r="185" spans="2:9">
      <c r="B185" s="555" t="str">
        <f t="shared" si="9"/>
        <v/>
      </c>
      <c r="C185" s="556" t="str">
        <f t="shared" si="10"/>
        <v/>
      </c>
      <c r="D185" s="557" t="str">
        <f t="shared" si="11"/>
        <v/>
      </c>
      <c r="E185" s="560"/>
      <c r="F185" s="559"/>
      <c r="G185" s="559" t="str">
        <f t="shared" si="12"/>
        <v/>
      </c>
      <c r="H185" s="559" t="str">
        <f t="shared" si="13"/>
        <v/>
      </c>
      <c r="I185" s="559" t="str">
        <f t="shared" si="14"/>
        <v/>
      </c>
    </row>
    <row r="186" spans="2:9">
      <c r="B186" s="555" t="str">
        <f t="shared" si="9"/>
        <v/>
      </c>
      <c r="C186" s="556" t="str">
        <f t="shared" si="10"/>
        <v/>
      </c>
      <c r="D186" s="557" t="str">
        <f t="shared" si="11"/>
        <v/>
      </c>
      <c r="E186" s="560"/>
      <c r="F186" s="559"/>
      <c r="G186" s="559" t="str">
        <f t="shared" si="12"/>
        <v/>
      </c>
      <c r="H186" s="559" t="str">
        <f t="shared" si="13"/>
        <v/>
      </c>
      <c r="I186" s="559" t="str">
        <f t="shared" si="14"/>
        <v/>
      </c>
    </row>
    <row r="187" spans="2:9">
      <c r="B187" s="555" t="str">
        <f t="shared" si="9"/>
        <v/>
      </c>
      <c r="C187" s="556" t="str">
        <f t="shared" si="10"/>
        <v/>
      </c>
      <c r="D187" s="557" t="str">
        <f t="shared" si="11"/>
        <v/>
      </c>
      <c r="E187" s="560"/>
      <c r="F187" s="559"/>
      <c r="G187" s="559" t="str">
        <f t="shared" si="12"/>
        <v/>
      </c>
      <c r="H187" s="559" t="str">
        <f t="shared" si="13"/>
        <v/>
      </c>
      <c r="I187" s="559" t="str">
        <f t="shared" si="14"/>
        <v/>
      </c>
    </row>
    <row r="188" spans="2:9">
      <c r="B188" s="555" t="str">
        <f t="shared" si="9"/>
        <v/>
      </c>
      <c r="C188" s="556" t="str">
        <f t="shared" si="10"/>
        <v/>
      </c>
      <c r="D188" s="557" t="str">
        <f t="shared" si="11"/>
        <v/>
      </c>
      <c r="E188" s="560"/>
      <c r="F188" s="559"/>
      <c r="G188" s="559" t="str">
        <f t="shared" si="12"/>
        <v/>
      </c>
      <c r="H188" s="559" t="str">
        <f t="shared" si="13"/>
        <v/>
      </c>
      <c r="I188" s="559" t="str">
        <f t="shared" si="14"/>
        <v/>
      </c>
    </row>
    <row r="189" spans="2:9">
      <c r="B189" s="555" t="str">
        <f t="shared" ref="B189:B252" si="15">IF(I188="","",IF(roundOpt,IF(OR(B188&gt;=nper,ROUND(I188,2)&lt;=0),"",B188+1),IF(OR(B188&gt;=nper,I188&lt;=0),"",B188+1)))</f>
        <v/>
      </c>
      <c r="C189" s="556" t="str">
        <f t="shared" ref="C189:C252" si="16">IF(B189="","",IF(OR(periods_per_year=26,periods_per_year=52),IF(periods_per_year=26,IF(B189=1,fpdate,C188+14),IF(periods_per_year=52,IF(B189=1,fpdate,C188+7),"n/a")),IF(periods_per_year=24,DATE(YEAR(fpdate),MONTH(fpdate)+(B189-1)/2+IF(AND(DAY(fpdate)&gt;=15,MOD(B189,2)=0),1,0),IF(MOD(B189,2)=0,IF(DAY(fpdate)&gt;=15,DAY(fpdate)-14,DAY(fpdate)+14),DAY(fpdate))),IF(DAY(DATE(YEAR(fpdate),MONTH(fpdate)+(B189-1)*months_per_period,DAY(fpdate)))&lt;&gt;DAY(fpdate),DATE(YEAR(fpdate),MONTH(fpdate)+(B189-1)*months_per_period+1,0),DATE(YEAR(fpdate),MONTH(fpdate)+(B189-1)*months_per_period,DAY(fpdate))))))</f>
        <v/>
      </c>
      <c r="D189" s="557" t="str">
        <f t="shared" ref="D189:D252" si="17">IF(B189="","",IF(roundOpt,IF(OR(B189=nper,payment&gt;ROUND((1+rate)*I188,2)),ROUND((1+rate)*I188,2),payment),IF(OR(B189=nper,payment&gt;(1+rate)*I188),(1+rate)*I188,payment)))</f>
        <v/>
      </c>
      <c r="E189" s="560"/>
      <c r="F189" s="559"/>
      <c r="G189" s="559" t="str">
        <f t="shared" ref="G189:G252" si="18">IF(B189="","",IF(AND(B189=1,pmtType=1),0,IF(roundOpt,ROUND(rate*I188,2),rate*I188)))</f>
        <v/>
      </c>
      <c r="H189" s="559" t="str">
        <f t="shared" ref="H189:H252" si="19">IF(B189="","",D189-G189+E189)</f>
        <v/>
      </c>
      <c r="I189" s="559" t="str">
        <f t="shared" ref="I189:I252" si="20">IF(B189="","",I188-H189)</f>
        <v/>
      </c>
    </row>
    <row r="190" spans="2:9">
      <c r="B190" s="555" t="str">
        <f t="shared" si="15"/>
        <v/>
      </c>
      <c r="C190" s="556" t="str">
        <f t="shared" si="16"/>
        <v/>
      </c>
      <c r="D190" s="557" t="str">
        <f t="shared" si="17"/>
        <v/>
      </c>
      <c r="E190" s="560"/>
      <c r="F190" s="559"/>
      <c r="G190" s="559" t="str">
        <f t="shared" si="18"/>
        <v/>
      </c>
      <c r="H190" s="559" t="str">
        <f t="shared" si="19"/>
        <v/>
      </c>
      <c r="I190" s="559" t="str">
        <f t="shared" si="20"/>
        <v/>
      </c>
    </row>
    <row r="191" spans="2:9">
      <c r="B191" s="555" t="str">
        <f t="shared" si="15"/>
        <v/>
      </c>
      <c r="C191" s="556" t="str">
        <f t="shared" si="16"/>
        <v/>
      </c>
      <c r="D191" s="557" t="str">
        <f t="shared" si="17"/>
        <v/>
      </c>
      <c r="E191" s="560"/>
      <c r="F191" s="559"/>
      <c r="G191" s="559" t="str">
        <f t="shared" si="18"/>
        <v/>
      </c>
      <c r="H191" s="559" t="str">
        <f t="shared" si="19"/>
        <v/>
      </c>
      <c r="I191" s="559" t="str">
        <f t="shared" si="20"/>
        <v/>
      </c>
    </row>
    <row r="192" spans="2:9">
      <c r="B192" s="555" t="str">
        <f t="shared" si="15"/>
        <v/>
      </c>
      <c r="C192" s="556" t="str">
        <f t="shared" si="16"/>
        <v/>
      </c>
      <c r="D192" s="557" t="str">
        <f t="shared" si="17"/>
        <v/>
      </c>
      <c r="E192" s="560"/>
      <c r="F192" s="559"/>
      <c r="G192" s="559" t="str">
        <f t="shared" si="18"/>
        <v/>
      </c>
      <c r="H192" s="559" t="str">
        <f t="shared" si="19"/>
        <v/>
      </c>
      <c r="I192" s="559" t="str">
        <f t="shared" si="20"/>
        <v/>
      </c>
    </row>
    <row r="193" spans="2:9">
      <c r="B193" s="555" t="str">
        <f t="shared" si="15"/>
        <v/>
      </c>
      <c r="C193" s="556" t="str">
        <f t="shared" si="16"/>
        <v/>
      </c>
      <c r="D193" s="557" t="str">
        <f t="shared" si="17"/>
        <v/>
      </c>
      <c r="E193" s="560"/>
      <c r="F193" s="559"/>
      <c r="G193" s="559" t="str">
        <f t="shared" si="18"/>
        <v/>
      </c>
      <c r="H193" s="559" t="str">
        <f t="shared" si="19"/>
        <v/>
      </c>
      <c r="I193" s="559" t="str">
        <f t="shared" si="20"/>
        <v/>
      </c>
    </row>
    <row r="194" spans="2:9">
      <c r="B194" s="555" t="str">
        <f t="shared" si="15"/>
        <v/>
      </c>
      <c r="C194" s="556" t="str">
        <f t="shared" si="16"/>
        <v/>
      </c>
      <c r="D194" s="557" t="str">
        <f t="shared" si="17"/>
        <v/>
      </c>
      <c r="E194" s="560"/>
      <c r="F194" s="559"/>
      <c r="G194" s="559" t="str">
        <f t="shared" si="18"/>
        <v/>
      </c>
      <c r="H194" s="559" t="str">
        <f t="shared" si="19"/>
        <v/>
      </c>
      <c r="I194" s="559" t="str">
        <f t="shared" si="20"/>
        <v/>
      </c>
    </row>
    <row r="195" spans="2:9">
      <c r="B195" s="555" t="str">
        <f t="shared" si="15"/>
        <v/>
      </c>
      <c r="C195" s="556" t="str">
        <f t="shared" si="16"/>
        <v/>
      </c>
      <c r="D195" s="557" t="str">
        <f t="shared" si="17"/>
        <v/>
      </c>
      <c r="E195" s="560"/>
      <c r="F195" s="559"/>
      <c r="G195" s="559" t="str">
        <f t="shared" si="18"/>
        <v/>
      </c>
      <c r="H195" s="559" t="str">
        <f t="shared" si="19"/>
        <v/>
      </c>
      <c r="I195" s="559" t="str">
        <f t="shared" si="20"/>
        <v/>
      </c>
    </row>
    <row r="196" spans="2:9">
      <c r="B196" s="555" t="str">
        <f t="shared" si="15"/>
        <v/>
      </c>
      <c r="C196" s="556" t="str">
        <f t="shared" si="16"/>
        <v/>
      </c>
      <c r="D196" s="557" t="str">
        <f t="shared" si="17"/>
        <v/>
      </c>
      <c r="E196" s="560"/>
      <c r="F196" s="559"/>
      <c r="G196" s="559" t="str">
        <f t="shared" si="18"/>
        <v/>
      </c>
      <c r="H196" s="559" t="str">
        <f t="shared" si="19"/>
        <v/>
      </c>
      <c r="I196" s="559" t="str">
        <f t="shared" si="20"/>
        <v/>
      </c>
    </row>
    <row r="197" spans="2:9">
      <c r="B197" s="555" t="str">
        <f t="shared" si="15"/>
        <v/>
      </c>
      <c r="C197" s="556" t="str">
        <f t="shared" si="16"/>
        <v/>
      </c>
      <c r="D197" s="557" t="str">
        <f t="shared" si="17"/>
        <v/>
      </c>
      <c r="E197" s="560"/>
      <c r="F197" s="559"/>
      <c r="G197" s="559" t="str">
        <f t="shared" si="18"/>
        <v/>
      </c>
      <c r="H197" s="559" t="str">
        <f t="shared" si="19"/>
        <v/>
      </c>
      <c r="I197" s="559" t="str">
        <f t="shared" si="20"/>
        <v/>
      </c>
    </row>
    <row r="198" spans="2:9">
      <c r="B198" s="555" t="str">
        <f t="shared" si="15"/>
        <v/>
      </c>
      <c r="C198" s="556" t="str">
        <f t="shared" si="16"/>
        <v/>
      </c>
      <c r="D198" s="557" t="str">
        <f t="shared" si="17"/>
        <v/>
      </c>
      <c r="E198" s="560"/>
      <c r="F198" s="559"/>
      <c r="G198" s="559" t="str">
        <f t="shared" si="18"/>
        <v/>
      </c>
      <c r="H198" s="559" t="str">
        <f t="shared" si="19"/>
        <v/>
      </c>
      <c r="I198" s="559" t="str">
        <f t="shared" si="20"/>
        <v/>
      </c>
    </row>
    <row r="199" spans="2:9">
      <c r="B199" s="555" t="str">
        <f t="shared" si="15"/>
        <v/>
      </c>
      <c r="C199" s="556" t="str">
        <f t="shared" si="16"/>
        <v/>
      </c>
      <c r="D199" s="557" t="str">
        <f t="shared" si="17"/>
        <v/>
      </c>
      <c r="E199" s="560"/>
      <c r="F199" s="559"/>
      <c r="G199" s="559" t="str">
        <f t="shared" si="18"/>
        <v/>
      </c>
      <c r="H199" s="559" t="str">
        <f t="shared" si="19"/>
        <v/>
      </c>
      <c r="I199" s="559" t="str">
        <f t="shared" si="20"/>
        <v/>
      </c>
    </row>
    <row r="200" spans="2:9">
      <c r="B200" s="555" t="str">
        <f t="shared" si="15"/>
        <v/>
      </c>
      <c r="C200" s="556" t="str">
        <f t="shared" si="16"/>
        <v/>
      </c>
      <c r="D200" s="557" t="str">
        <f t="shared" si="17"/>
        <v/>
      </c>
      <c r="E200" s="560"/>
      <c r="F200" s="559"/>
      <c r="G200" s="559" t="str">
        <f t="shared" si="18"/>
        <v/>
      </c>
      <c r="H200" s="559" t="str">
        <f t="shared" si="19"/>
        <v/>
      </c>
      <c r="I200" s="559" t="str">
        <f t="shared" si="20"/>
        <v/>
      </c>
    </row>
    <row r="201" spans="2:9">
      <c r="B201" s="555" t="str">
        <f t="shared" si="15"/>
        <v/>
      </c>
      <c r="C201" s="556" t="str">
        <f t="shared" si="16"/>
        <v/>
      </c>
      <c r="D201" s="557" t="str">
        <f t="shared" si="17"/>
        <v/>
      </c>
      <c r="E201" s="560"/>
      <c r="F201" s="559"/>
      <c r="G201" s="559" t="str">
        <f t="shared" si="18"/>
        <v/>
      </c>
      <c r="H201" s="559" t="str">
        <f t="shared" si="19"/>
        <v/>
      </c>
      <c r="I201" s="559" t="str">
        <f t="shared" si="20"/>
        <v/>
      </c>
    </row>
    <row r="202" spans="2:9">
      <c r="B202" s="555" t="str">
        <f t="shared" si="15"/>
        <v/>
      </c>
      <c r="C202" s="556" t="str">
        <f t="shared" si="16"/>
        <v/>
      </c>
      <c r="D202" s="557" t="str">
        <f t="shared" si="17"/>
        <v/>
      </c>
      <c r="E202" s="560"/>
      <c r="F202" s="559"/>
      <c r="G202" s="559" t="str">
        <f t="shared" si="18"/>
        <v/>
      </c>
      <c r="H202" s="559" t="str">
        <f t="shared" si="19"/>
        <v/>
      </c>
      <c r="I202" s="559" t="str">
        <f t="shared" si="20"/>
        <v/>
      </c>
    </row>
    <row r="203" spans="2:9">
      <c r="B203" s="555" t="str">
        <f t="shared" si="15"/>
        <v/>
      </c>
      <c r="C203" s="556" t="str">
        <f t="shared" si="16"/>
        <v/>
      </c>
      <c r="D203" s="557" t="str">
        <f t="shared" si="17"/>
        <v/>
      </c>
      <c r="E203" s="560"/>
      <c r="F203" s="559"/>
      <c r="G203" s="559" t="str">
        <f t="shared" si="18"/>
        <v/>
      </c>
      <c r="H203" s="559" t="str">
        <f t="shared" si="19"/>
        <v/>
      </c>
      <c r="I203" s="559" t="str">
        <f t="shared" si="20"/>
        <v/>
      </c>
    </row>
    <row r="204" spans="2:9">
      <c r="B204" s="555" t="str">
        <f t="shared" si="15"/>
        <v/>
      </c>
      <c r="C204" s="556" t="str">
        <f t="shared" si="16"/>
        <v/>
      </c>
      <c r="D204" s="557" t="str">
        <f t="shared" si="17"/>
        <v/>
      </c>
      <c r="E204" s="560"/>
      <c r="F204" s="559"/>
      <c r="G204" s="559" t="str">
        <f t="shared" si="18"/>
        <v/>
      </c>
      <c r="H204" s="559" t="str">
        <f t="shared" si="19"/>
        <v/>
      </c>
      <c r="I204" s="559" t="str">
        <f t="shared" si="20"/>
        <v/>
      </c>
    </row>
    <row r="205" spans="2:9">
      <c r="B205" s="555" t="str">
        <f t="shared" si="15"/>
        <v/>
      </c>
      <c r="C205" s="556" t="str">
        <f t="shared" si="16"/>
        <v/>
      </c>
      <c r="D205" s="557" t="str">
        <f t="shared" si="17"/>
        <v/>
      </c>
      <c r="E205" s="560"/>
      <c r="F205" s="559"/>
      <c r="G205" s="559" t="str">
        <f t="shared" si="18"/>
        <v/>
      </c>
      <c r="H205" s="559" t="str">
        <f t="shared" si="19"/>
        <v/>
      </c>
      <c r="I205" s="559" t="str">
        <f t="shared" si="20"/>
        <v/>
      </c>
    </row>
    <row r="206" spans="2:9">
      <c r="B206" s="555" t="str">
        <f t="shared" si="15"/>
        <v/>
      </c>
      <c r="C206" s="556" t="str">
        <f t="shared" si="16"/>
        <v/>
      </c>
      <c r="D206" s="557" t="str">
        <f t="shared" si="17"/>
        <v/>
      </c>
      <c r="E206" s="560"/>
      <c r="F206" s="559"/>
      <c r="G206" s="559" t="str">
        <f t="shared" si="18"/>
        <v/>
      </c>
      <c r="H206" s="559" t="str">
        <f t="shared" si="19"/>
        <v/>
      </c>
      <c r="I206" s="559" t="str">
        <f t="shared" si="20"/>
        <v/>
      </c>
    </row>
    <row r="207" spans="2:9">
      <c r="B207" s="555" t="str">
        <f t="shared" si="15"/>
        <v/>
      </c>
      <c r="C207" s="556" t="str">
        <f t="shared" si="16"/>
        <v/>
      </c>
      <c r="D207" s="557" t="str">
        <f t="shared" si="17"/>
        <v/>
      </c>
      <c r="E207" s="560"/>
      <c r="F207" s="559"/>
      <c r="G207" s="559" t="str">
        <f t="shared" si="18"/>
        <v/>
      </c>
      <c r="H207" s="559" t="str">
        <f t="shared" si="19"/>
        <v/>
      </c>
      <c r="I207" s="559" t="str">
        <f t="shared" si="20"/>
        <v/>
      </c>
    </row>
    <row r="208" spans="2:9">
      <c r="B208" s="555" t="str">
        <f t="shared" si="15"/>
        <v/>
      </c>
      <c r="C208" s="556" t="str">
        <f t="shared" si="16"/>
        <v/>
      </c>
      <c r="D208" s="557" t="str">
        <f t="shared" si="17"/>
        <v/>
      </c>
      <c r="E208" s="560"/>
      <c r="F208" s="559"/>
      <c r="G208" s="559" t="str">
        <f t="shared" si="18"/>
        <v/>
      </c>
      <c r="H208" s="559" t="str">
        <f t="shared" si="19"/>
        <v/>
      </c>
      <c r="I208" s="559" t="str">
        <f t="shared" si="20"/>
        <v/>
      </c>
    </row>
    <row r="209" spans="2:9">
      <c r="B209" s="555" t="str">
        <f t="shared" si="15"/>
        <v/>
      </c>
      <c r="C209" s="556" t="str">
        <f t="shared" si="16"/>
        <v/>
      </c>
      <c r="D209" s="557" t="str">
        <f t="shared" si="17"/>
        <v/>
      </c>
      <c r="E209" s="560"/>
      <c r="F209" s="559"/>
      <c r="G209" s="559" t="str">
        <f t="shared" si="18"/>
        <v/>
      </c>
      <c r="H209" s="559" t="str">
        <f t="shared" si="19"/>
        <v/>
      </c>
      <c r="I209" s="559" t="str">
        <f t="shared" si="20"/>
        <v/>
      </c>
    </row>
    <row r="210" spans="2:9">
      <c r="B210" s="555" t="str">
        <f t="shared" si="15"/>
        <v/>
      </c>
      <c r="C210" s="556" t="str">
        <f t="shared" si="16"/>
        <v/>
      </c>
      <c r="D210" s="557" t="str">
        <f t="shared" si="17"/>
        <v/>
      </c>
      <c r="E210" s="560"/>
      <c r="F210" s="559"/>
      <c r="G210" s="559" t="str">
        <f t="shared" si="18"/>
        <v/>
      </c>
      <c r="H210" s="559" t="str">
        <f t="shared" si="19"/>
        <v/>
      </c>
      <c r="I210" s="559" t="str">
        <f t="shared" si="20"/>
        <v/>
      </c>
    </row>
    <row r="211" spans="2:9">
      <c r="B211" s="555" t="str">
        <f t="shared" si="15"/>
        <v/>
      </c>
      <c r="C211" s="556" t="str">
        <f t="shared" si="16"/>
        <v/>
      </c>
      <c r="D211" s="557" t="str">
        <f t="shared" si="17"/>
        <v/>
      </c>
      <c r="E211" s="560"/>
      <c r="F211" s="559"/>
      <c r="G211" s="559" t="str">
        <f t="shared" si="18"/>
        <v/>
      </c>
      <c r="H211" s="559" t="str">
        <f t="shared" si="19"/>
        <v/>
      </c>
      <c r="I211" s="559" t="str">
        <f t="shared" si="20"/>
        <v/>
      </c>
    </row>
    <row r="212" spans="2:9">
      <c r="B212" s="555" t="str">
        <f t="shared" si="15"/>
        <v/>
      </c>
      <c r="C212" s="556" t="str">
        <f t="shared" si="16"/>
        <v/>
      </c>
      <c r="D212" s="557" t="str">
        <f t="shared" si="17"/>
        <v/>
      </c>
      <c r="E212" s="560"/>
      <c r="F212" s="559"/>
      <c r="G212" s="559" t="str">
        <f t="shared" si="18"/>
        <v/>
      </c>
      <c r="H212" s="559" t="str">
        <f t="shared" si="19"/>
        <v/>
      </c>
      <c r="I212" s="559" t="str">
        <f t="shared" si="20"/>
        <v/>
      </c>
    </row>
    <row r="213" spans="2:9">
      <c r="B213" s="555" t="str">
        <f t="shared" si="15"/>
        <v/>
      </c>
      <c r="C213" s="556" t="str">
        <f t="shared" si="16"/>
        <v/>
      </c>
      <c r="D213" s="557" t="str">
        <f t="shared" si="17"/>
        <v/>
      </c>
      <c r="E213" s="560"/>
      <c r="F213" s="559"/>
      <c r="G213" s="559" t="str">
        <f t="shared" si="18"/>
        <v/>
      </c>
      <c r="H213" s="559" t="str">
        <f t="shared" si="19"/>
        <v/>
      </c>
      <c r="I213" s="559" t="str">
        <f t="shared" si="20"/>
        <v/>
      </c>
    </row>
    <row r="214" spans="2:9">
      <c r="B214" s="555" t="str">
        <f t="shared" si="15"/>
        <v/>
      </c>
      <c r="C214" s="556" t="str">
        <f t="shared" si="16"/>
        <v/>
      </c>
      <c r="D214" s="557" t="str">
        <f t="shared" si="17"/>
        <v/>
      </c>
      <c r="E214" s="560"/>
      <c r="F214" s="559"/>
      <c r="G214" s="559" t="str">
        <f t="shared" si="18"/>
        <v/>
      </c>
      <c r="H214" s="559" t="str">
        <f t="shared" si="19"/>
        <v/>
      </c>
      <c r="I214" s="559" t="str">
        <f t="shared" si="20"/>
        <v/>
      </c>
    </row>
    <row r="215" spans="2:9">
      <c r="B215" s="555" t="str">
        <f t="shared" si="15"/>
        <v/>
      </c>
      <c r="C215" s="556" t="str">
        <f t="shared" si="16"/>
        <v/>
      </c>
      <c r="D215" s="557" t="str">
        <f t="shared" si="17"/>
        <v/>
      </c>
      <c r="E215" s="560"/>
      <c r="F215" s="559"/>
      <c r="G215" s="559" t="str">
        <f t="shared" si="18"/>
        <v/>
      </c>
      <c r="H215" s="559" t="str">
        <f t="shared" si="19"/>
        <v/>
      </c>
      <c r="I215" s="559" t="str">
        <f t="shared" si="20"/>
        <v/>
      </c>
    </row>
    <row r="216" spans="2:9">
      <c r="B216" s="555" t="str">
        <f t="shared" si="15"/>
        <v/>
      </c>
      <c r="C216" s="556" t="str">
        <f t="shared" si="16"/>
        <v/>
      </c>
      <c r="D216" s="557" t="str">
        <f t="shared" si="17"/>
        <v/>
      </c>
      <c r="E216" s="560"/>
      <c r="F216" s="559"/>
      <c r="G216" s="559" t="str">
        <f t="shared" si="18"/>
        <v/>
      </c>
      <c r="H216" s="559" t="str">
        <f t="shared" si="19"/>
        <v/>
      </c>
      <c r="I216" s="559" t="str">
        <f t="shared" si="20"/>
        <v/>
      </c>
    </row>
    <row r="217" spans="2:9">
      <c r="B217" s="555" t="str">
        <f t="shared" si="15"/>
        <v/>
      </c>
      <c r="C217" s="556" t="str">
        <f t="shared" si="16"/>
        <v/>
      </c>
      <c r="D217" s="557" t="str">
        <f t="shared" si="17"/>
        <v/>
      </c>
      <c r="E217" s="560"/>
      <c r="F217" s="559"/>
      <c r="G217" s="559" t="str">
        <f t="shared" si="18"/>
        <v/>
      </c>
      <c r="H217" s="559" t="str">
        <f t="shared" si="19"/>
        <v/>
      </c>
      <c r="I217" s="559" t="str">
        <f t="shared" si="20"/>
        <v/>
      </c>
    </row>
    <row r="218" spans="2:9">
      <c r="B218" s="555" t="str">
        <f t="shared" si="15"/>
        <v/>
      </c>
      <c r="C218" s="556" t="str">
        <f t="shared" si="16"/>
        <v/>
      </c>
      <c r="D218" s="557" t="str">
        <f t="shared" si="17"/>
        <v/>
      </c>
      <c r="E218" s="560"/>
      <c r="F218" s="559"/>
      <c r="G218" s="559" t="str">
        <f t="shared" si="18"/>
        <v/>
      </c>
      <c r="H218" s="559" t="str">
        <f t="shared" si="19"/>
        <v/>
      </c>
      <c r="I218" s="559" t="str">
        <f t="shared" si="20"/>
        <v/>
      </c>
    </row>
    <row r="219" spans="2:9">
      <c r="B219" s="555" t="str">
        <f t="shared" si="15"/>
        <v/>
      </c>
      <c r="C219" s="556" t="str">
        <f t="shared" si="16"/>
        <v/>
      </c>
      <c r="D219" s="557" t="str">
        <f t="shared" si="17"/>
        <v/>
      </c>
      <c r="E219" s="560"/>
      <c r="F219" s="559"/>
      <c r="G219" s="559" t="str">
        <f t="shared" si="18"/>
        <v/>
      </c>
      <c r="H219" s="559" t="str">
        <f t="shared" si="19"/>
        <v/>
      </c>
      <c r="I219" s="559" t="str">
        <f t="shared" si="20"/>
        <v/>
      </c>
    </row>
    <row r="220" spans="2:9">
      <c r="B220" s="555" t="str">
        <f t="shared" si="15"/>
        <v/>
      </c>
      <c r="C220" s="556" t="str">
        <f t="shared" si="16"/>
        <v/>
      </c>
      <c r="D220" s="557" t="str">
        <f t="shared" si="17"/>
        <v/>
      </c>
      <c r="E220" s="560"/>
      <c r="F220" s="559"/>
      <c r="G220" s="559" t="str">
        <f t="shared" si="18"/>
        <v/>
      </c>
      <c r="H220" s="559" t="str">
        <f t="shared" si="19"/>
        <v/>
      </c>
      <c r="I220" s="559" t="str">
        <f t="shared" si="20"/>
        <v/>
      </c>
    </row>
    <row r="221" spans="2:9">
      <c r="B221" s="555" t="str">
        <f t="shared" si="15"/>
        <v/>
      </c>
      <c r="C221" s="556" t="str">
        <f t="shared" si="16"/>
        <v/>
      </c>
      <c r="D221" s="557" t="str">
        <f t="shared" si="17"/>
        <v/>
      </c>
      <c r="E221" s="560"/>
      <c r="F221" s="559"/>
      <c r="G221" s="559" t="str">
        <f t="shared" si="18"/>
        <v/>
      </c>
      <c r="H221" s="559" t="str">
        <f t="shared" si="19"/>
        <v/>
      </c>
      <c r="I221" s="559" t="str">
        <f t="shared" si="20"/>
        <v/>
      </c>
    </row>
    <row r="222" spans="2:9">
      <c r="B222" s="555" t="str">
        <f t="shared" si="15"/>
        <v/>
      </c>
      <c r="C222" s="556" t="str">
        <f t="shared" si="16"/>
        <v/>
      </c>
      <c r="D222" s="557" t="str">
        <f t="shared" si="17"/>
        <v/>
      </c>
      <c r="E222" s="560"/>
      <c r="F222" s="559"/>
      <c r="G222" s="559" t="str">
        <f t="shared" si="18"/>
        <v/>
      </c>
      <c r="H222" s="559" t="str">
        <f t="shared" si="19"/>
        <v/>
      </c>
      <c r="I222" s="559" t="str">
        <f t="shared" si="20"/>
        <v/>
      </c>
    </row>
    <row r="223" spans="2:9">
      <c r="B223" s="555" t="str">
        <f t="shared" si="15"/>
        <v/>
      </c>
      <c r="C223" s="556" t="str">
        <f t="shared" si="16"/>
        <v/>
      </c>
      <c r="D223" s="557" t="str">
        <f t="shared" si="17"/>
        <v/>
      </c>
      <c r="E223" s="560"/>
      <c r="F223" s="559"/>
      <c r="G223" s="559" t="str">
        <f t="shared" si="18"/>
        <v/>
      </c>
      <c r="H223" s="559" t="str">
        <f t="shared" si="19"/>
        <v/>
      </c>
      <c r="I223" s="559" t="str">
        <f t="shared" si="20"/>
        <v/>
      </c>
    </row>
    <row r="224" spans="2:9">
      <c r="B224" s="555" t="str">
        <f t="shared" si="15"/>
        <v/>
      </c>
      <c r="C224" s="556" t="str">
        <f t="shared" si="16"/>
        <v/>
      </c>
      <c r="D224" s="557" t="str">
        <f t="shared" si="17"/>
        <v/>
      </c>
      <c r="E224" s="560"/>
      <c r="F224" s="559"/>
      <c r="G224" s="559" t="str">
        <f t="shared" si="18"/>
        <v/>
      </c>
      <c r="H224" s="559" t="str">
        <f t="shared" si="19"/>
        <v/>
      </c>
      <c r="I224" s="559" t="str">
        <f t="shared" si="20"/>
        <v/>
      </c>
    </row>
    <row r="225" spans="2:9">
      <c r="B225" s="555" t="str">
        <f t="shared" si="15"/>
        <v/>
      </c>
      <c r="C225" s="556" t="str">
        <f t="shared" si="16"/>
        <v/>
      </c>
      <c r="D225" s="557" t="str">
        <f t="shared" si="17"/>
        <v/>
      </c>
      <c r="E225" s="560"/>
      <c r="F225" s="559"/>
      <c r="G225" s="559" t="str">
        <f t="shared" si="18"/>
        <v/>
      </c>
      <c r="H225" s="559" t="str">
        <f t="shared" si="19"/>
        <v/>
      </c>
      <c r="I225" s="559" t="str">
        <f t="shared" si="20"/>
        <v/>
      </c>
    </row>
    <row r="226" spans="2:9">
      <c r="B226" s="555" t="str">
        <f t="shared" si="15"/>
        <v/>
      </c>
      <c r="C226" s="556" t="str">
        <f t="shared" si="16"/>
        <v/>
      </c>
      <c r="D226" s="557" t="str">
        <f t="shared" si="17"/>
        <v/>
      </c>
      <c r="E226" s="560"/>
      <c r="F226" s="559"/>
      <c r="G226" s="559" t="str">
        <f t="shared" si="18"/>
        <v/>
      </c>
      <c r="H226" s="559" t="str">
        <f t="shared" si="19"/>
        <v/>
      </c>
      <c r="I226" s="559" t="str">
        <f t="shared" si="20"/>
        <v/>
      </c>
    </row>
    <row r="227" spans="2:9">
      <c r="B227" s="555" t="str">
        <f t="shared" si="15"/>
        <v/>
      </c>
      <c r="C227" s="556" t="str">
        <f t="shared" si="16"/>
        <v/>
      </c>
      <c r="D227" s="557" t="str">
        <f t="shared" si="17"/>
        <v/>
      </c>
      <c r="E227" s="560"/>
      <c r="F227" s="559"/>
      <c r="G227" s="559" t="str">
        <f t="shared" si="18"/>
        <v/>
      </c>
      <c r="H227" s="559" t="str">
        <f t="shared" si="19"/>
        <v/>
      </c>
      <c r="I227" s="559" t="str">
        <f t="shared" si="20"/>
        <v/>
      </c>
    </row>
    <row r="228" spans="2:9">
      <c r="B228" s="555" t="str">
        <f t="shared" si="15"/>
        <v/>
      </c>
      <c r="C228" s="556" t="str">
        <f t="shared" si="16"/>
        <v/>
      </c>
      <c r="D228" s="557" t="str">
        <f t="shared" si="17"/>
        <v/>
      </c>
      <c r="E228" s="560"/>
      <c r="F228" s="559"/>
      <c r="G228" s="559" t="str">
        <f t="shared" si="18"/>
        <v/>
      </c>
      <c r="H228" s="559" t="str">
        <f t="shared" si="19"/>
        <v/>
      </c>
      <c r="I228" s="559" t="str">
        <f t="shared" si="20"/>
        <v/>
      </c>
    </row>
    <row r="229" spans="2:9">
      <c r="B229" s="555" t="str">
        <f t="shared" si="15"/>
        <v/>
      </c>
      <c r="C229" s="556" t="str">
        <f t="shared" si="16"/>
        <v/>
      </c>
      <c r="D229" s="557" t="str">
        <f t="shared" si="17"/>
        <v/>
      </c>
      <c r="E229" s="560"/>
      <c r="F229" s="559"/>
      <c r="G229" s="559" t="str">
        <f t="shared" si="18"/>
        <v/>
      </c>
      <c r="H229" s="559" t="str">
        <f t="shared" si="19"/>
        <v/>
      </c>
      <c r="I229" s="559" t="str">
        <f t="shared" si="20"/>
        <v/>
      </c>
    </row>
    <row r="230" spans="2:9">
      <c r="B230" s="555" t="str">
        <f t="shared" si="15"/>
        <v/>
      </c>
      <c r="C230" s="556" t="str">
        <f t="shared" si="16"/>
        <v/>
      </c>
      <c r="D230" s="557" t="str">
        <f t="shared" si="17"/>
        <v/>
      </c>
      <c r="E230" s="560"/>
      <c r="F230" s="559"/>
      <c r="G230" s="559" t="str">
        <f t="shared" si="18"/>
        <v/>
      </c>
      <c r="H230" s="559" t="str">
        <f t="shared" si="19"/>
        <v/>
      </c>
      <c r="I230" s="559" t="str">
        <f t="shared" si="20"/>
        <v/>
      </c>
    </row>
    <row r="231" spans="2:9">
      <c r="B231" s="555" t="str">
        <f t="shared" si="15"/>
        <v/>
      </c>
      <c r="C231" s="556" t="str">
        <f t="shared" si="16"/>
        <v/>
      </c>
      <c r="D231" s="557" t="str">
        <f t="shared" si="17"/>
        <v/>
      </c>
      <c r="E231" s="560"/>
      <c r="F231" s="559"/>
      <c r="G231" s="559" t="str">
        <f t="shared" si="18"/>
        <v/>
      </c>
      <c r="H231" s="559" t="str">
        <f t="shared" si="19"/>
        <v/>
      </c>
      <c r="I231" s="559" t="str">
        <f t="shared" si="20"/>
        <v/>
      </c>
    </row>
    <row r="232" spans="2:9">
      <c r="B232" s="555" t="str">
        <f t="shared" si="15"/>
        <v/>
      </c>
      <c r="C232" s="556" t="str">
        <f t="shared" si="16"/>
        <v/>
      </c>
      <c r="D232" s="557" t="str">
        <f t="shared" si="17"/>
        <v/>
      </c>
      <c r="E232" s="560"/>
      <c r="F232" s="559"/>
      <c r="G232" s="559" t="str">
        <f t="shared" si="18"/>
        <v/>
      </c>
      <c r="H232" s="559" t="str">
        <f t="shared" si="19"/>
        <v/>
      </c>
      <c r="I232" s="559" t="str">
        <f t="shared" si="20"/>
        <v/>
      </c>
    </row>
    <row r="233" spans="2:9">
      <c r="B233" s="555" t="str">
        <f t="shared" si="15"/>
        <v/>
      </c>
      <c r="C233" s="556" t="str">
        <f t="shared" si="16"/>
        <v/>
      </c>
      <c r="D233" s="557" t="str">
        <f t="shared" si="17"/>
        <v/>
      </c>
      <c r="E233" s="560"/>
      <c r="F233" s="559"/>
      <c r="G233" s="559" t="str">
        <f t="shared" si="18"/>
        <v/>
      </c>
      <c r="H233" s="559" t="str">
        <f t="shared" si="19"/>
        <v/>
      </c>
      <c r="I233" s="559" t="str">
        <f t="shared" si="20"/>
        <v/>
      </c>
    </row>
    <row r="234" spans="2:9">
      <c r="B234" s="555" t="str">
        <f t="shared" si="15"/>
        <v/>
      </c>
      <c r="C234" s="556" t="str">
        <f t="shared" si="16"/>
        <v/>
      </c>
      <c r="D234" s="557" t="str">
        <f t="shared" si="17"/>
        <v/>
      </c>
      <c r="E234" s="560"/>
      <c r="F234" s="559"/>
      <c r="G234" s="559" t="str">
        <f t="shared" si="18"/>
        <v/>
      </c>
      <c r="H234" s="559" t="str">
        <f t="shared" si="19"/>
        <v/>
      </c>
      <c r="I234" s="559" t="str">
        <f t="shared" si="20"/>
        <v/>
      </c>
    </row>
    <row r="235" spans="2:9">
      <c r="B235" s="555" t="str">
        <f t="shared" si="15"/>
        <v/>
      </c>
      <c r="C235" s="556" t="str">
        <f t="shared" si="16"/>
        <v/>
      </c>
      <c r="D235" s="557" t="str">
        <f t="shared" si="17"/>
        <v/>
      </c>
      <c r="E235" s="560"/>
      <c r="F235" s="559"/>
      <c r="G235" s="559" t="str">
        <f t="shared" si="18"/>
        <v/>
      </c>
      <c r="H235" s="559" t="str">
        <f t="shared" si="19"/>
        <v/>
      </c>
      <c r="I235" s="559" t="str">
        <f t="shared" si="20"/>
        <v/>
      </c>
    </row>
    <row r="236" spans="2:9">
      <c r="B236" s="555" t="str">
        <f t="shared" si="15"/>
        <v/>
      </c>
      <c r="C236" s="556" t="str">
        <f t="shared" si="16"/>
        <v/>
      </c>
      <c r="D236" s="557" t="str">
        <f t="shared" si="17"/>
        <v/>
      </c>
      <c r="E236" s="560"/>
      <c r="F236" s="559"/>
      <c r="G236" s="559" t="str">
        <f t="shared" si="18"/>
        <v/>
      </c>
      <c r="H236" s="559" t="str">
        <f t="shared" si="19"/>
        <v/>
      </c>
      <c r="I236" s="559" t="str">
        <f t="shared" si="20"/>
        <v/>
      </c>
    </row>
    <row r="237" spans="2:9">
      <c r="B237" s="555" t="str">
        <f t="shared" si="15"/>
        <v/>
      </c>
      <c r="C237" s="556" t="str">
        <f t="shared" si="16"/>
        <v/>
      </c>
      <c r="D237" s="557" t="str">
        <f t="shared" si="17"/>
        <v/>
      </c>
      <c r="E237" s="560"/>
      <c r="F237" s="559"/>
      <c r="G237" s="559" t="str">
        <f t="shared" si="18"/>
        <v/>
      </c>
      <c r="H237" s="559" t="str">
        <f t="shared" si="19"/>
        <v/>
      </c>
      <c r="I237" s="559" t="str">
        <f t="shared" si="20"/>
        <v/>
      </c>
    </row>
    <row r="238" spans="2:9">
      <c r="B238" s="555" t="str">
        <f t="shared" si="15"/>
        <v/>
      </c>
      <c r="C238" s="556" t="str">
        <f t="shared" si="16"/>
        <v/>
      </c>
      <c r="D238" s="557" t="str">
        <f t="shared" si="17"/>
        <v/>
      </c>
      <c r="E238" s="560"/>
      <c r="F238" s="559"/>
      <c r="G238" s="559" t="str">
        <f t="shared" si="18"/>
        <v/>
      </c>
      <c r="H238" s="559" t="str">
        <f t="shared" si="19"/>
        <v/>
      </c>
      <c r="I238" s="559" t="str">
        <f t="shared" si="20"/>
        <v/>
      </c>
    </row>
    <row r="239" spans="2:9">
      <c r="B239" s="555" t="str">
        <f t="shared" si="15"/>
        <v/>
      </c>
      <c r="C239" s="556" t="str">
        <f t="shared" si="16"/>
        <v/>
      </c>
      <c r="D239" s="557" t="str">
        <f t="shared" si="17"/>
        <v/>
      </c>
      <c r="E239" s="560"/>
      <c r="F239" s="559"/>
      <c r="G239" s="559" t="str">
        <f t="shared" si="18"/>
        <v/>
      </c>
      <c r="H239" s="559" t="str">
        <f t="shared" si="19"/>
        <v/>
      </c>
      <c r="I239" s="559" t="str">
        <f t="shared" si="20"/>
        <v/>
      </c>
    </row>
    <row r="240" spans="2:9">
      <c r="B240" s="555" t="str">
        <f t="shared" si="15"/>
        <v/>
      </c>
      <c r="C240" s="556" t="str">
        <f t="shared" si="16"/>
        <v/>
      </c>
      <c r="D240" s="557" t="str">
        <f t="shared" si="17"/>
        <v/>
      </c>
      <c r="E240" s="560"/>
      <c r="F240" s="559"/>
      <c r="G240" s="559" t="str">
        <f t="shared" si="18"/>
        <v/>
      </c>
      <c r="H240" s="559" t="str">
        <f t="shared" si="19"/>
        <v/>
      </c>
      <c r="I240" s="559" t="str">
        <f t="shared" si="20"/>
        <v/>
      </c>
    </row>
    <row r="241" spans="2:9">
      <c r="B241" s="555" t="str">
        <f t="shared" si="15"/>
        <v/>
      </c>
      <c r="C241" s="556" t="str">
        <f t="shared" si="16"/>
        <v/>
      </c>
      <c r="D241" s="557" t="str">
        <f t="shared" si="17"/>
        <v/>
      </c>
      <c r="E241" s="560"/>
      <c r="F241" s="559"/>
      <c r="G241" s="559" t="str">
        <f t="shared" si="18"/>
        <v/>
      </c>
      <c r="H241" s="559" t="str">
        <f t="shared" si="19"/>
        <v/>
      </c>
      <c r="I241" s="559" t="str">
        <f t="shared" si="20"/>
        <v/>
      </c>
    </row>
    <row r="242" spans="2:9">
      <c r="B242" s="555" t="str">
        <f t="shared" si="15"/>
        <v/>
      </c>
      <c r="C242" s="556" t="str">
        <f t="shared" si="16"/>
        <v/>
      </c>
      <c r="D242" s="557" t="str">
        <f t="shared" si="17"/>
        <v/>
      </c>
      <c r="E242" s="560"/>
      <c r="F242" s="559"/>
      <c r="G242" s="559" t="str">
        <f t="shared" si="18"/>
        <v/>
      </c>
      <c r="H242" s="559" t="str">
        <f t="shared" si="19"/>
        <v/>
      </c>
      <c r="I242" s="559" t="str">
        <f t="shared" si="20"/>
        <v/>
      </c>
    </row>
    <row r="243" spans="2:9">
      <c r="B243" s="555" t="str">
        <f t="shared" si="15"/>
        <v/>
      </c>
      <c r="C243" s="556" t="str">
        <f t="shared" si="16"/>
        <v/>
      </c>
      <c r="D243" s="557" t="str">
        <f t="shared" si="17"/>
        <v/>
      </c>
      <c r="E243" s="560"/>
      <c r="F243" s="559"/>
      <c r="G243" s="559" t="str">
        <f t="shared" si="18"/>
        <v/>
      </c>
      <c r="H243" s="559" t="str">
        <f t="shared" si="19"/>
        <v/>
      </c>
      <c r="I243" s="559" t="str">
        <f t="shared" si="20"/>
        <v/>
      </c>
    </row>
    <row r="244" spans="2:9">
      <c r="B244" s="555" t="str">
        <f t="shared" si="15"/>
        <v/>
      </c>
      <c r="C244" s="556" t="str">
        <f t="shared" si="16"/>
        <v/>
      </c>
      <c r="D244" s="557" t="str">
        <f t="shared" si="17"/>
        <v/>
      </c>
      <c r="E244" s="560"/>
      <c r="F244" s="559"/>
      <c r="G244" s="559" t="str">
        <f t="shared" si="18"/>
        <v/>
      </c>
      <c r="H244" s="559" t="str">
        <f t="shared" si="19"/>
        <v/>
      </c>
      <c r="I244" s="559" t="str">
        <f t="shared" si="20"/>
        <v/>
      </c>
    </row>
    <row r="245" spans="2:9">
      <c r="B245" s="555" t="str">
        <f t="shared" si="15"/>
        <v/>
      </c>
      <c r="C245" s="556" t="str">
        <f t="shared" si="16"/>
        <v/>
      </c>
      <c r="D245" s="557" t="str">
        <f t="shared" si="17"/>
        <v/>
      </c>
      <c r="E245" s="560"/>
      <c r="F245" s="559"/>
      <c r="G245" s="559" t="str">
        <f t="shared" si="18"/>
        <v/>
      </c>
      <c r="H245" s="559" t="str">
        <f t="shared" si="19"/>
        <v/>
      </c>
      <c r="I245" s="559" t="str">
        <f t="shared" si="20"/>
        <v/>
      </c>
    </row>
    <row r="246" spans="2:9">
      <c r="B246" s="555" t="str">
        <f t="shared" si="15"/>
        <v/>
      </c>
      <c r="C246" s="556" t="str">
        <f t="shared" si="16"/>
        <v/>
      </c>
      <c r="D246" s="557" t="str">
        <f t="shared" si="17"/>
        <v/>
      </c>
      <c r="E246" s="560"/>
      <c r="F246" s="559"/>
      <c r="G246" s="559" t="str">
        <f t="shared" si="18"/>
        <v/>
      </c>
      <c r="H246" s="559" t="str">
        <f t="shared" si="19"/>
        <v/>
      </c>
      <c r="I246" s="559" t="str">
        <f t="shared" si="20"/>
        <v/>
      </c>
    </row>
    <row r="247" spans="2:9">
      <c r="B247" s="555" t="str">
        <f t="shared" si="15"/>
        <v/>
      </c>
      <c r="C247" s="556" t="str">
        <f t="shared" si="16"/>
        <v/>
      </c>
      <c r="D247" s="557" t="str">
        <f t="shared" si="17"/>
        <v/>
      </c>
      <c r="E247" s="560"/>
      <c r="F247" s="559"/>
      <c r="G247" s="559" t="str">
        <f t="shared" si="18"/>
        <v/>
      </c>
      <c r="H247" s="559" t="str">
        <f t="shared" si="19"/>
        <v/>
      </c>
      <c r="I247" s="559" t="str">
        <f t="shared" si="20"/>
        <v/>
      </c>
    </row>
    <row r="248" spans="2:9">
      <c r="B248" s="555" t="str">
        <f t="shared" si="15"/>
        <v/>
      </c>
      <c r="C248" s="556" t="str">
        <f t="shared" si="16"/>
        <v/>
      </c>
      <c r="D248" s="557" t="str">
        <f t="shared" si="17"/>
        <v/>
      </c>
      <c r="E248" s="560"/>
      <c r="F248" s="559"/>
      <c r="G248" s="559" t="str">
        <f t="shared" si="18"/>
        <v/>
      </c>
      <c r="H248" s="559" t="str">
        <f t="shared" si="19"/>
        <v/>
      </c>
      <c r="I248" s="559" t="str">
        <f t="shared" si="20"/>
        <v/>
      </c>
    </row>
    <row r="249" spans="2:9">
      <c r="B249" s="555" t="str">
        <f t="shared" si="15"/>
        <v/>
      </c>
      <c r="C249" s="556" t="str">
        <f t="shared" si="16"/>
        <v/>
      </c>
      <c r="D249" s="557" t="str">
        <f t="shared" si="17"/>
        <v/>
      </c>
      <c r="E249" s="560"/>
      <c r="F249" s="559"/>
      <c r="G249" s="559" t="str">
        <f t="shared" si="18"/>
        <v/>
      </c>
      <c r="H249" s="559" t="str">
        <f t="shared" si="19"/>
        <v/>
      </c>
      <c r="I249" s="559" t="str">
        <f t="shared" si="20"/>
        <v/>
      </c>
    </row>
    <row r="250" spans="2:9">
      <c r="B250" s="555" t="str">
        <f t="shared" si="15"/>
        <v/>
      </c>
      <c r="C250" s="556" t="str">
        <f t="shared" si="16"/>
        <v/>
      </c>
      <c r="D250" s="557" t="str">
        <f t="shared" si="17"/>
        <v/>
      </c>
      <c r="E250" s="560"/>
      <c r="F250" s="559"/>
      <c r="G250" s="559" t="str">
        <f t="shared" si="18"/>
        <v/>
      </c>
      <c r="H250" s="559" t="str">
        <f t="shared" si="19"/>
        <v/>
      </c>
      <c r="I250" s="559" t="str">
        <f t="shared" si="20"/>
        <v/>
      </c>
    </row>
    <row r="251" spans="2:9">
      <c r="B251" s="555" t="str">
        <f t="shared" si="15"/>
        <v/>
      </c>
      <c r="C251" s="556" t="str">
        <f t="shared" si="16"/>
        <v/>
      </c>
      <c r="D251" s="557" t="str">
        <f t="shared" si="17"/>
        <v/>
      </c>
      <c r="E251" s="560"/>
      <c r="F251" s="559"/>
      <c r="G251" s="559" t="str">
        <f t="shared" si="18"/>
        <v/>
      </c>
      <c r="H251" s="559" t="str">
        <f t="shared" si="19"/>
        <v/>
      </c>
      <c r="I251" s="559" t="str">
        <f t="shared" si="20"/>
        <v/>
      </c>
    </row>
    <row r="252" spans="2:9">
      <c r="B252" s="555" t="str">
        <f t="shared" si="15"/>
        <v/>
      </c>
      <c r="C252" s="556" t="str">
        <f t="shared" si="16"/>
        <v/>
      </c>
      <c r="D252" s="557" t="str">
        <f t="shared" si="17"/>
        <v/>
      </c>
      <c r="E252" s="560"/>
      <c r="F252" s="559"/>
      <c r="G252" s="559" t="str">
        <f t="shared" si="18"/>
        <v/>
      </c>
      <c r="H252" s="559" t="str">
        <f t="shared" si="19"/>
        <v/>
      </c>
      <c r="I252" s="559" t="str">
        <f t="shared" si="20"/>
        <v/>
      </c>
    </row>
    <row r="253" spans="2:9">
      <c r="B253" s="555" t="str">
        <f t="shared" ref="B253:B316" si="21">IF(I252="","",IF(roundOpt,IF(OR(B252&gt;=nper,ROUND(I252,2)&lt;=0),"",B252+1),IF(OR(B252&gt;=nper,I252&lt;=0),"",B252+1)))</f>
        <v/>
      </c>
      <c r="C253" s="556" t="str">
        <f t="shared" ref="C253:C316" si="22">IF(B253="","",IF(OR(periods_per_year=26,periods_per_year=52),IF(periods_per_year=26,IF(B253=1,fpdate,C252+14),IF(periods_per_year=52,IF(B253=1,fpdate,C252+7),"n/a")),IF(periods_per_year=24,DATE(YEAR(fpdate),MONTH(fpdate)+(B253-1)/2+IF(AND(DAY(fpdate)&gt;=15,MOD(B253,2)=0),1,0),IF(MOD(B253,2)=0,IF(DAY(fpdate)&gt;=15,DAY(fpdate)-14,DAY(fpdate)+14),DAY(fpdate))),IF(DAY(DATE(YEAR(fpdate),MONTH(fpdate)+(B253-1)*months_per_period,DAY(fpdate)))&lt;&gt;DAY(fpdate),DATE(YEAR(fpdate),MONTH(fpdate)+(B253-1)*months_per_period+1,0),DATE(YEAR(fpdate),MONTH(fpdate)+(B253-1)*months_per_period,DAY(fpdate))))))</f>
        <v/>
      </c>
      <c r="D253" s="557" t="str">
        <f t="shared" ref="D253:D316" si="23">IF(B253="","",IF(roundOpt,IF(OR(B253=nper,payment&gt;ROUND((1+rate)*I252,2)),ROUND((1+rate)*I252,2),payment),IF(OR(B253=nper,payment&gt;(1+rate)*I252),(1+rate)*I252,payment)))</f>
        <v/>
      </c>
      <c r="E253" s="560"/>
      <c r="F253" s="559"/>
      <c r="G253" s="559" t="str">
        <f t="shared" ref="G253:G316" si="24">IF(B253="","",IF(AND(B253=1,pmtType=1),0,IF(roundOpt,ROUND(rate*I252,2),rate*I252)))</f>
        <v/>
      </c>
      <c r="H253" s="559" t="str">
        <f t="shared" ref="H253:H316" si="25">IF(B253="","",D253-G253+E253)</f>
        <v/>
      </c>
      <c r="I253" s="559" t="str">
        <f t="shared" ref="I253:I316" si="26">IF(B253="","",I252-H253)</f>
        <v/>
      </c>
    </row>
    <row r="254" spans="2:9">
      <c r="B254" s="555" t="str">
        <f t="shared" si="21"/>
        <v/>
      </c>
      <c r="C254" s="556" t="str">
        <f t="shared" si="22"/>
        <v/>
      </c>
      <c r="D254" s="557" t="str">
        <f t="shared" si="23"/>
        <v/>
      </c>
      <c r="E254" s="560"/>
      <c r="F254" s="559"/>
      <c r="G254" s="559" t="str">
        <f t="shared" si="24"/>
        <v/>
      </c>
      <c r="H254" s="559" t="str">
        <f t="shared" si="25"/>
        <v/>
      </c>
      <c r="I254" s="559" t="str">
        <f t="shared" si="26"/>
        <v/>
      </c>
    </row>
    <row r="255" spans="2:9">
      <c r="B255" s="555" t="str">
        <f t="shared" si="21"/>
        <v/>
      </c>
      <c r="C255" s="556" t="str">
        <f t="shared" si="22"/>
        <v/>
      </c>
      <c r="D255" s="557" t="str">
        <f t="shared" si="23"/>
        <v/>
      </c>
      <c r="E255" s="560"/>
      <c r="F255" s="559"/>
      <c r="G255" s="559" t="str">
        <f t="shared" si="24"/>
        <v/>
      </c>
      <c r="H255" s="559" t="str">
        <f t="shared" si="25"/>
        <v/>
      </c>
      <c r="I255" s="559" t="str">
        <f t="shared" si="26"/>
        <v/>
      </c>
    </row>
    <row r="256" spans="2:9">
      <c r="B256" s="555" t="str">
        <f t="shared" si="21"/>
        <v/>
      </c>
      <c r="C256" s="556" t="str">
        <f t="shared" si="22"/>
        <v/>
      </c>
      <c r="D256" s="557" t="str">
        <f t="shared" si="23"/>
        <v/>
      </c>
      <c r="E256" s="560"/>
      <c r="F256" s="559"/>
      <c r="G256" s="559" t="str">
        <f t="shared" si="24"/>
        <v/>
      </c>
      <c r="H256" s="559" t="str">
        <f t="shared" si="25"/>
        <v/>
      </c>
      <c r="I256" s="559" t="str">
        <f t="shared" si="26"/>
        <v/>
      </c>
    </row>
    <row r="257" spans="2:9">
      <c r="B257" s="555" t="str">
        <f t="shared" si="21"/>
        <v/>
      </c>
      <c r="C257" s="556" t="str">
        <f t="shared" si="22"/>
        <v/>
      </c>
      <c r="D257" s="557" t="str">
        <f t="shared" si="23"/>
        <v/>
      </c>
      <c r="E257" s="560"/>
      <c r="F257" s="559"/>
      <c r="G257" s="559" t="str">
        <f t="shared" si="24"/>
        <v/>
      </c>
      <c r="H257" s="559" t="str">
        <f t="shared" si="25"/>
        <v/>
      </c>
      <c r="I257" s="559" t="str">
        <f t="shared" si="26"/>
        <v/>
      </c>
    </row>
    <row r="258" spans="2:9">
      <c r="B258" s="555" t="str">
        <f t="shared" si="21"/>
        <v/>
      </c>
      <c r="C258" s="556" t="str">
        <f t="shared" si="22"/>
        <v/>
      </c>
      <c r="D258" s="557" t="str">
        <f t="shared" si="23"/>
        <v/>
      </c>
      <c r="E258" s="560"/>
      <c r="F258" s="559"/>
      <c r="G258" s="559" t="str">
        <f t="shared" si="24"/>
        <v/>
      </c>
      <c r="H258" s="559" t="str">
        <f t="shared" si="25"/>
        <v/>
      </c>
      <c r="I258" s="559" t="str">
        <f t="shared" si="26"/>
        <v/>
      </c>
    </row>
    <row r="259" spans="2:9">
      <c r="B259" s="555" t="str">
        <f t="shared" si="21"/>
        <v/>
      </c>
      <c r="C259" s="556" t="str">
        <f t="shared" si="22"/>
        <v/>
      </c>
      <c r="D259" s="557" t="str">
        <f t="shared" si="23"/>
        <v/>
      </c>
      <c r="E259" s="560"/>
      <c r="F259" s="559"/>
      <c r="G259" s="559" t="str">
        <f t="shared" si="24"/>
        <v/>
      </c>
      <c r="H259" s="559" t="str">
        <f t="shared" si="25"/>
        <v/>
      </c>
      <c r="I259" s="559" t="str">
        <f t="shared" si="26"/>
        <v/>
      </c>
    </row>
    <row r="260" spans="2:9">
      <c r="B260" s="555" t="str">
        <f t="shared" si="21"/>
        <v/>
      </c>
      <c r="C260" s="556" t="str">
        <f t="shared" si="22"/>
        <v/>
      </c>
      <c r="D260" s="557" t="str">
        <f t="shared" si="23"/>
        <v/>
      </c>
      <c r="E260" s="560"/>
      <c r="F260" s="559"/>
      <c r="G260" s="559" t="str">
        <f t="shared" si="24"/>
        <v/>
      </c>
      <c r="H260" s="559" t="str">
        <f t="shared" si="25"/>
        <v/>
      </c>
      <c r="I260" s="559" t="str">
        <f t="shared" si="26"/>
        <v/>
      </c>
    </row>
    <row r="261" spans="2:9">
      <c r="B261" s="555" t="str">
        <f t="shared" si="21"/>
        <v/>
      </c>
      <c r="C261" s="556" t="str">
        <f t="shared" si="22"/>
        <v/>
      </c>
      <c r="D261" s="557" t="str">
        <f t="shared" si="23"/>
        <v/>
      </c>
      <c r="E261" s="560"/>
      <c r="F261" s="559"/>
      <c r="G261" s="559" t="str">
        <f t="shared" si="24"/>
        <v/>
      </c>
      <c r="H261" s="559" t="str">
        <f t="shared" si="25"/>
        <v/>
      </c>
      <c r="I261" s="559" t="str">
        <f t="shared" si="26"/>
        <v/>
      </c>
    </row>
    <row r="262" spans="2:9">
      <c r="B262" s="555" t="str">
        <f t="shared" si="21"/>
        <v/>
      </c>
      <c r="C262" s="556" t="str">
        <f t="shared" si="22"/>
        <v/>
      </c>
      <c r="D262" s="557" t="str">
        <f t="shared" si="23"/>
        <v/>
      </c>
      <c r="E262" s="560"/>
      <c r="F262" s="559"/>
      <c r="G262" s="559" t="str">
        <f t="shared" si="24"/>
        <v/>
      </c>
      <c r="H262" s="559" t="str">
        <f t="shared" si="25"/>
        <v/>
      </c>
      <c r="I262" s="559" t="str">
        <f t="shared" si="26"/>
        <v/>
      </c>
    </row>
    <row r="263" spans="2:9">
      <c r="B263" s="555" t="str">
        <f t="shared" si="21"/>
        <v/>
      </c>
      <c r="C263" s="556" t="str">
        <f t="shared" si="22"/>
        <v/>
      </c>
      <c r="D263" s="557" t="str">
        <f t="shared" si="23"/>
        <v/>
      </c>
      <c r="E263" s="560"/>
      <c r="F263" s="559"/>
      <c r="G263" s="559" t="str">
        <f t="shared" si="24"/>
        <v/>
      </c>
      <c r="H263" s="559" t="str">
        <f t="shared" si="25"/>
        <v/>
      </c>
      <c r="I263" s="559" t="str">
        <f t="shared" si="26"/>
        <v/>
      </c>
    </row>
    <row r="264" spans="2:9">
      <c r="B264" s="555" t="str">
        <f t="shared" si="21"/>
        <v/>
      </c>
      <c r="C264" s="556" t="str">
        <f t="shared" si="22"/>
        <v/>
      </c>
      <c r="D264" s="557" t="str">
        <f t="shared" si="23"/>
        <v/>
      </c>
      <c r="E264" s="560"/>
      <c r="F264" s="559"/>
      <c r="G264" s="559" t="str">
        <f t="shared" si="24"/>
        <v/>
      </c>
      <c r="H264" s="559" t="str">
        <f t="shared" si="25"/>
        <v/>
      </c>
      <c r="I264" s="559" t="str">
        <f t="shared" si="26"/>
        <v/>
      </c>
    </row>
    <row r="265" spans="2:9">
      <c r="B265" s="555" t="str">
        <f t="shared" si="21"/>
        <v/>
      </c>
      <c r="C265" s="556" t="str">
        <f t="shared" si="22"/>
        <v/>
      </c>
      <c r="D265" s="557" t="str">
        <f t="shared" si="23"/>
        <v/>
      </c>
      <c r="E265" s="560"/>
      <c r="F265" s="559"/>
      <c r="G265" s="559" t="str">
        <f t="shared" si="24"/>
        <v/>
      </c>
      <c r="H265" s="559" t="str">
        <f t="shared" si="25"/>
        <v/>
      </c>
      <c r="I265" s="559" t="str">
        <f t="shared" si="26"/>
        <v/>
      </c>
    </row>
    <row r="266" spans="2:9">
      <c r="B266" s="555" t="str">
        <f t="shared" si="21"/>
        <v/>
      </c>
      <c r="C266" s="556" t="str">
        <f t="shared" si="22"/>
        <v/>
      </c>
      <c r="D266" s="557" t="str">
        <f t="shared" si="23"/>
        <v/>
      </c>
      <c r="E266" s="560"/>
      <c r="F266" s="559"/>
      <c r="G266" s="559" t="str">
        <f t="shared" si="24"/>
        <v/>
      </c>
      <c r="H266" s="559" t="str">
        <f t="shared" si="25"/>
        <v/>
      </c>
      <c r="I266" s="559" t="str">
        <f t="shared" si="26"/>
        <v/>
      </c>
    </row>
    <row r="267" spans="2:9">
      <c r="B267" s="555" t="str">
        <f t="shared" si="21"/>
        <v/>
      </c>
      <c r="C267" s="556" t="str">
        <f t="shared" si="22"/>
        <v/>
      </c>
      <c r="D267" s="557" t="str">
        <f t="shared" si="23"/>
        <v/>
      </c>
      <c r="E267" s="560"/>
      <c r="F267" s="559"/>
      <c r="G267" s="559" t="str">
        <f t="shared" si="24"/>
        <v/>
      </c>
      <c r="H267" s="559" t="str">
        <f t="shared" si="25"/>
        <v/>
      </c>
      <c r="I267" s="559" t="str">
        <f t="shared" si="26"/>
        <v/>
      </c>
    </row>
    <row r="268" spans="2:9">
      <c r="B268" s="555" t="str">
        <f t="shared" si="21"/>
        <v/>
      </c>
      <c r="C268" s="556" t="str">
        <f t="shared" si="22"/>
        <v/>
      </c>
      <c r="D268" s="557" t="str">
        <f t="shared" si="23"/>
        <v/>
      </c>
      <c r="E268" s="560"/>
      <c r="F268" s="559"/>
      <c r="G268" s="559" t="str">
        <f t="shared" si="24"/>
        <v/>
      </c>
      <c r="H268" s="559" t="str">
        <f t="shared" si="25"/>
        <v/>
      </c>
      <c r="I268" s="559" t="str">
        <f t="shared" si="26"/>
        <v/>
      </c>
    </row>
    <row r="269" spans="2:9">
      <c r="B269" s="555" t="str">
        <f t="shared" si="21"/>
        <v/>
      </c>
      <c r="C269" s="556" t="str">
        <f t="shared" si="22"/>
        <v/>
      </c>
      <c r="D269" s="557" t="str">
        <f t="shared" si="23"/>
        <v/>
      </c>
      <c r="E269" s="560"/>
      <c r="F269" s="559"/>
      <c r="G269" s="559" t="str">
        <f t="shared" si="24"/>
        <v/>
      </c>
      <c r="H269" s="559" t="str">
        <f t="shared" si="25"/>
        <v/>
      </c>
      <c r="I269" s="559" t="str">
        <f t="shared" si="26"/>
        <v/>
      </c>
    </row>
    <row r="270" spans="2:9">
      <c r="B270" s="555" t="str">
        <f t="shared" si="21"/>
        <v/>
      </c>
      <c r="C270" s="556" t="str">
        <f t="shared" si="22"/>
        <v/>
      </c>
      <c r="D270" s="557" t="str">
        <f t="shared" si="23"/>
        <v/>
      </c>
      <c r="E270" s="560"/>
      <c r="F270" s="559"/>
      <c r="G270" s="559" t="str">
        <f t="shared" si="24"/>
        <v/>
      </c>
      <c r="H270" s="559" t="str">
        <f t="shared" si="25"/>
        <v/>
      </c>
      <c r="I270" s="559" t="str">
        <f t="shared" si="26"/>
        <v/>
      </c>
    </row>
    <row r="271" spans="2:9">
      <c r="B271" s="555" t="str">
        <f t="shared" si="21"/>
        <v/>
      </c>
      <c r="C271" s="556" t="str">
        <f t="shared" si="22"/>
        <v/>
      </c>
      <c r="D271" s="557" t="str">
        <f t="shared" si="23"/>
        <v/>
      </c>
      <c r="E271" s="560"/>
      <c r="F271" s="559"/>
      <c r="G271" s="559" t="str">
        <f t="shared" si="24"/>
        <v/>
      </c>
      <c r="H271" s="559" t="str">
        <f t="shared" si="25"/>
        <v/>
      </c>
      <c r="I271" s="559" t="str">
        <f t="shared" si="26"/>
        <v/>
      </c>
    </row>
    <row r="272" spans="2:9">
      <c r="B272" s="555" t="str">
        <f t="shared" si="21"/>
        <v/>
      </c>
      <c r="C272" s="556" t="str">
        <f t="shared" si="22"/>
        <v/>
      </c>
      <c r="D272" s="557" t="str">
        <f t="shared" si="23"/>
        <v/>
      </c>
      <c r="E272" s="560"/>
      <c r="F272" s="559"/>
      <c r="G272" s="559" t="str">
        <f t="shared" si="24"/>
        <v/>
      </c>
      <c r="H272" s="559" t="str">
        <f t="shared" si="25"/>
        <v/>
      </c>
      <c r="I272" s="559" t="str">
        <f t="shared" si="26"/>
        <v/>
      </c>
    </row>
    <row r="273" spans="2:9">
      <c r="B273" s="555" t="str">
        <f t="shared" si="21"/>
        <v/>
      </c>
      <c r="C273" s="556" t="str">
        <f t="shared" si="22"/>
        <v/>
      </c>
      <c r="D273" s="557" t="str">
        <f t="shared" si="23"/>
        <v/>
      </c>
      <c r="E273" s="560"/>
      <c r="F273" s="559"/>
      <c r="G273" s="559" t="str">
        <f t="shared" si="24"/>
        <v/>
      </c>
      <c r="H273" s="559" t="str">
        <f t="shared" si="25"/>
        <v/>
      </c>
      <c r="I273" s="559" t="str">
        <f t="shared" si="26"/>
        <v/>
      </c>
    </row>
    <row r="274" spans="2:9">
      <c r="B274" s="555" t="str">
        <f t="shared" si="21"/>
        <v/>
      </c>
      <c r="C274" s="556" t="str">
        <f t="shared" si="22"/>
        <v/>
      </c>
      <c r="D274" s="557" t="str">
        <f t="shared" si="23"/>
        <v/>
      </c>
      <c r="E274" s="560"/>
      <c r="F274" s="559"/>
      <c r="G274" s="559" t="str">
        <f t="shared" si="24"/>
        <v/>
      </c>
      <c r="H274" s="559" t="str">
        <f t="shared" si="25"/>
        <v/>
      </c>
      <c r="I274" s="559" t="str">
        <f t="shared" si="26"/>
        <v/>
      </c>
    </row>
    <row r="275" spans="2:9">
      <c r="B275" s="555" t="str">
        <f t="shared" si="21"/>
        <v/>
      </c>
      <c r="C275" s="556" t="str">
        <f t="shared" si="22"/>
        <v/>
      </c>
      <c r="D275" s="557" t="str">
        <f t="shared" si="23"/>
        <v/>
      </c>
      <c r="E275" s="560"/>
      <c r="F275" s="559"/>
      <c r="G275" s="559" t="str">
        <f t="shared" si="24"/>
        <v/>
      </c>
      <c r="H275" s="559" t="str">
        <f t="shared" si="25"/>
        <v/>
      </c>
      <c r="I275" s="559" t="str">
        <f t="shared" si="26"/>
        <v/>
      </c>
    </row>
    <row r="276" spans="2:9">
      <c r="B276" s="555" t="str">
        <f t="shared" si="21"/>
        <v/>
      </c>
      <c r="C276" s="556" t="str">
        <f t="shared" si="22"/>
        <v/>
      </c>
      <c r="D276" s="557" t="str">
        <f t="shared" si="23"/>
        <v/>
      </c>
      <c r="E276" s="560"/>
      <c r="F276" s="559"/>
      <c r="G276" s="559" t="str">
        <f t="shared" si="24"/>
        <v/>
      </c>
      <c r="H276" s="559" t="str">
        <f t="shared" si="25"/>
        <v/>
      </c>
      <c r="I276" s="559" t="str">
        <f t="shared" si="26"/>
        <v/>
      </c>
    </row>
    <row r="277" spans="2:9">
      <c r="B277" s="555" t="str">
        <f t="shared" si="21"/>
        <v/>
      </c>
      <c r="C277" s="556" t="str">
        <f t="shared" si="22"/>
        <v/>
      </c>
      <c r="D277" s="557" t="str">
        <f t="shared" si="23"/>
        <v/>
      </c>
      <c r="E277" s="560"/>
      <c r="F277" s="559"/>
      <c r="G277" s="559" t="str">
        <f t="shared" si="24"/>
        <v/>
      </c>
      <c r="H277" s="559" t="str">
        <f t="shared" si="25"/>
        <v/>
      </c>
      <c r="I277" s="559" t="str">
        <f t="shared" si="26"/>
        <v/>
      </c>
    </row>
    <row r="278" spans="2:9">
      <c r="B278" s="555" t="str">
        <f t="shared" si="21"/>
        <v/>
      </c>
      <c r="C278" s="556" t="str">
        <f t="shared" si="22"/>
        <v/>
      </c>
      <c r="D278" s="557" t="str">
        <f t="shared" si="23"/>
        <v/>
      </c>
      <c r="E278" s="560"/>
      <c r="F278" s="559"/>
      <c r="G278" s="559" t="str">
        <f t="shared" si="24"/>
        <v/>
      </c>
      <c r="H278" s="559" t="str">
        <f t="shared" si="25"/>
        <v/>
      </c>
      <c r="I278" s="559" t="str">
        <f t="shared" si="26"/>
        <v/>
      </c>
    </row>
    <row r="279" spans="2:9">
      <c r="B279" s="555" t="str">
        <f t="shared" si="21"/>
        <v/>
      </c>
      <c r="C279" s="556" t="str">
        <f t="shared" si="22"/>
        <v/>
      </c>
      <c r="D279" s="557" t="str">
        <f t="shared" si="23"/>
        <v/>
      </c>
      <c r="E279" s="560"/>
      <c r="F279" s="559"/>
      <c r="G279" s="559" t="str">
        <f t="shared" si="24"/>
        <v/>
      </c>
      <c r="H279" s="559" t="str">
        <f t="shared" si="25"/>
        <v/>
      </c>
      <c r="I279" s="559" t="str">
        <f t="shared" si="26"/>
        <v/>
      </c>
    </row>
    <row r="280" spans="2:9">
      <c r="B280" s="555" t="str">
        <f t="shared" si="21"/>
        <v/>
      </c>
      <c r="C280" s="556" t="str">
        <f t="shared" si="22"/>
        <v/>
      </c>
      <c r="D280" s="557" t="str">
        <f t="shared" si="23"/>
        <v/>
      </c>
      <c r="E280" s="560"/>
      <c r="F280" s="559"/>
      <c r="G280" s="559" t="str">
        <f t="shared" si="24"/>
        <v/>
      </c>
      <c r="H280" s="559" t="str">
        <f t="shared" si="25"/>
        <v/>
      </c>
      <c r="I280" s="559" t="str">
        <f t="shared" si="26"/>
        <v/>
      </c>
    </row>
    <row r="281" spans="2:9">
      <c r="B281" s="555" t="str">
        <f t="shared" si="21"/>
        <v/>
      </c>
      <c r="C281" s="556" t="str">
        <f t="shared" si="22"/>
        <v/>
      </c>
      <c r="D281" s="557" t="str">
        <f t="shared" si="23"/>
        <v/>
      </c>
      <c r="E281" s="560"/>
      <c r="F281" s="559"/>
      <c r="G281" s="559" t="str">
        <f t="shared" si="24"/>
        <v/>
      </c>
      <c r="H281" s="559" t="str">
        <f t="shared" si="25"/>
        <v/>
      </c>
      <c r="I281" s="559" t="str">
        <f t="shared" si="26"/>
        <v/>
      </c>
    </row>
    <row r="282" spans="2:9">
      <c r="B282" s="555" t="str">
        <f t="shared" si="21"/>
        <v/>
      </c>
      <c r="C282" s="556" t="str">
        <f t="shared" si="22"/>
        <v/>
      </c>
      <c r="D282" s="557" t="str">
        <f t="shared" si="23"/>
        <v/>
      </c>
      <c r="E282" s="560"/>
      <c r="F282" s="559"/>
      <c r="G282" s="559" t="str">
        <f t="shared" si="24"/>
        <v/>
      </c>
      <c r="H282" s="559" t="str">
        <f t="shared" si="25"/>
        <v/>
      </c>
      <c r="I282" s="559" t="str">
        <f t="shared" si="26"/>
        <v/>
      </c>
    </row>
    <row r="283" spans="2:9">
      <c r="B283" s="555" t="str">
        <f t="shared" si="21"/>
        <v/>
      </c>
      <c r="C283" s="556" t="str">
        <f t="shared" si="22"/>
        <v/>
      </c>
      <c r="D283" s="557" t="str">
        <f t="shared" si="23"/>
        <v/>
      </c>
      <c r="E283" s="560"/>
      <c r="F283" s="559"/>
      <c r="G283" s="559" t="str">
        <f t="shared" si="24"/>
        <v/>
      </c>
      <c r="H283" s="559" t="str">
        <f t="shared" si="25"/>
        <v/>
      </c>
      <c r="I283" s="559" t="str">
        <f t="shared" si="26"/>
        <v/>
      </c>
    </row>
    <row r="284" spans="2:9">
      <c r="B284" s="555" t="str">
        <f t="shared" si="21"/>
        <v/>
      </c>
      <c r="C284" s="556" t="str">
        <f t="shared" si="22"/>
        <v/>
      </c>
      <c r="D284" s="557" t="str">
        <f t="shared" si="23"/>
        <v/>
      </c>
      <c r="E284" s="560"/>
      <c r="F284" s="559"/>
      <c r="G284" s="559" t="str">
        <f t="shared" si="24"/>
        <v/>
      </c>
      <c r="H284" s="559" t="str">
        <f t="shared" si="25"/>
        <v/>
      </c>
      <c r="I284" s="559" t="str">
        <f t="shared" si="26"/>
        <v/>
      </c>
    </row>
    <row r="285" spans="2:9">
      <c r="B285" s="555" t="str">
        <f t="shared" si="21"/>
        <v/>
      </c>
      <c r="C285" s="556" t="str">
        <f t="shared" si="22"/>
        <v/>
      </c>
      <c r="D285" s="557" t="str">
        <f t="shared" si="23"/>
        <v/>
      </c>
      <c r="E285" s="560"/>
      <c r="F285" s="559"/>
      <c r="G285" s="559" t="str">
        <f t="shared" si="24"/>
        <v/>
      </c>
      <c r="H285" s="559" t="str">
        <f t="shared" si="25"/>
        <v/>
      </c>
      <c r="I285" s="559" t="str">
        <f t="shared" si="26"/>
        <v/>
      </c>
    </row>
    <row r="286" spans="2:9">
      <c r="B286" s="555" t="str">
        <f t="shared" si="21"/>
        <v/>
      </c>
      <c r="C286" s="556" t="str">
        <f t="shared" si="22"/>
        <v/>
      </c>
      <c r="D286" s="557" t="str">
        <f t="shared" si="23"/>
        <v/>
      </c>
      <c r="E286" s="560"/>
      <c r="F286" s="559"/>
      <c r="G286" s="559" t="str">
        <f t="shared" si="24"/>
        <v/>
      </c>
      <c r="H286" s="559" t="str">
        <f t="shared" si="25"/>
        <v/>
      </c>
      <c r="I286" s="559" t="str">
        <f t="shared" si="26"/>
        <v/>
      </c>
    </row>
    <row r="287" spans="2:9">
      <c r="B287" s="555" t="str">
        <f t="shared" si="21"/>
        <v/>
      </c>
      <c r="C287" s="556" t="str">
        <f t="shared" si="22"/>
        <v/>
      </c>
      <c r="D287" s="557" t="str">
        <f t="shared" si="23"/>
        <v/>
      </c>
      <c r="E287" s="560"/>
      <c r="F287" s="559"/>
      <c r="G287" s="559" t="str">
        <f t="shared" si="24"/>
        <v/>
      </c>
      <c r="H287" s="559" t="str">
        <f t="shared" si="25"/>
        <v/>
      </c>
      <c r="I287" s="559" t="str">
        <f t="shared" si="26"/>
        <v/>
      </c>
    </row>
    <row r="288" spans="2:9">
      <c r="B288" s="555" t="str">
        <f t="shared" si="21"/>
        <v/>
      </c>
      <c r="C288" s="556" t="str">
        <f t="shared" si="22"/>
        <v/>
      </c>
      <c r="D288" s="557" t="str">
        <f t="shared" si="23"/>
        <v/>
      </c>
      <c r="E288" s="560"/>
      <c r="F288" s="559"/>
      <c r="G288" s="559" t="str">
        <f t="shared" si="24"/>
        <v/>
      </c>
      <c r="H288" s="559" t="str">
        <f t="shared" si="25"/>
        <v/>
      </c>
      <c r="I288" s="559" t="str">
        <f t="shared" si="26"/>
        <v/>
      </c>
    </row>
    <row r="289" spans="2:9">
      <c r="B289" s="555" t="str">
        <f t="shared" si="21"/>
        <v/>
      </c>
      <c r="C289" s="556" t="str">
        <f t="shared" si="22"/>
        <v/>
      </c>
      <c r="D289" s="557" t="str">
        <f t="shared" si="23"/>
        <v/>
      </c>
      <c r="E289" s="560"/>
      <c r="F289" s="559"/>
      <c r="G289" s="559" t="str">
        <f t="shared" si="24"/>
        <v/>
      </c>
      <c r="H289" s="559" t="str">
        <f t="shared" si="25"/>
        <v/>
      </c>
      <c r="I289" s="559" t="str">
        <f t="shared" si="26"/>
        <v/>
      </c>
    </row>
    <row r="290" spans="2:9">
      <c r="B290" s="555" t="str">
        <f t="shared" si="21"/>
        <v/>
      </c>
      <c r="C290" s="556" t="str">
        <f t="shared" si="22"/>
        <v/>
      </c>
      <c r="D290" s="557" t="str">
        <f t="shared" si="23"/>
        <v/>
      </c>
      <c r="E290" s="560"/>
      <c r="F290" s="559"/>
      <c r="G290" s="559" t="str">
        <f t="shared" si="24"/>
        <v/>
      </c>
      <c r="H290" s="559" t="str">
        <f t="shared" si="25"/>
        <v/>
      </c>
      <c r="I290" s="559" t="str">
        <f t="shared" si="26"/>
        <v/>
      </c>
    </row>
    <row r="291" spans="2:9">
      <c r="B291" s="555" t="str">
        <f t="shared" si="21"/>
        <v/>
      </c>
      <c r="C291" s="556" t="str">
        <f t="shared" si="22"/>
        <v/>
      </c>
      <c r="D291" s="557" t="str">
        <f t="shared" si="23"/>
        <v/>
      </c>
      <c r="E291" s="560"/>
      <c r="F291" s="559"/>
      <c r="G291" s="559" t="str">
        <f t="shared" si="24"/>
        <v/>
      </c>
      <c r="H291" s="559" t="str">
        <f t="shared" si="25"/>
        <v/>
      </c>
      <c r="I291" s="559" t="str">
        <f t="shared" si="26"/>
        <v/>
      </c>
    </row>
    <row r="292" spans="2:9">
      <c r="B292" s="555" t="str">
        <f t="shared" si="21"/>
        <v/>
      </c>
      <c r="C292" s="556" t="str">
        <f t="shared" si="22"/>
        <v/>
      </c>
      <c r="D292" s="557" t="str">
        <f t="shared" si="23"/>
        <v/>
      </c>
      <c r="E292" s="560"/>
      <c r="F292" s="559"/>
      <c r="G292" s="559" t="str">
        <f t="shared" si="24"/>
        <v/>
      </c>
      <c r="H292" s="559" t="str">
        <f t="shared" si="25"/>
        <v/>
      </c>
      <c r="I292" s="559" t="str">
        <f t="shared" si="26"/>
        <v/>
      </c>
    </row>
    <row r="293" spans="2:9">
      <c r="B293" s="555" t="str">
        <f t="shared" si="21"/>
        <v/>
      </c>
      <c r="C293" s="556" t="str">
        <f t="shared" si="22"/>
        <v/>
      </c>
      <c r="D293" s="557" t="str">
        <f t="shared" si="23"/>
        <v/>
      </c>
      <c r="E293" s="560"/>
      <c r="F293" s="559"/>
      <c r="G293" s="559" t="str">
        <f t="shared" si="24"/>
        <v/>
      </c>
      <c r="H293" s="559" t="str">
        <f t="shared" si="25"/>
        <v/>
      </c>
      <c r="I293" s="559" t="str">
        <f t="shared" si="26"/>
        <v/>
      </c>
    </row>
    <row r="294" spans="2:9">
      <c r="B294" s="555" t="str">
        <f t="shared" si="21"/>
        <v/>
      </c>
      <c r="C294" s="556" t="str">
        <f t="shared" si="22"/>
        <v/>
      </c>
      <c r="D294" s="557" t="str">
        <f t="shared" si="23"/>
        <v/>
      </c>
      <c r="E294" s="560"/>
      <c r="F294" s="559"/>
      <c r="G294" s="559" t="str">
        <f t="shared" si="24"/>
        <v/>
      </c>
      <c r="H294" s="559" t="str">
        <f t="shared" si="25"/>
        <v/>
      </c>
      <c r="I294" s="559" t="str">
        <f t="shared" si="26"/>
        <v/>
      </c>
    </row>
    <row r="295" spans="2:9">
      <c r="B295" s="555" t="str">
        <f t="shared" si="21"/>
        <v/>
      </c>
      <c r="C295" s="556" t="str">
        <f t="shared" si="22"/>
        <v/>
      </c>
      <c r="D295" s="557" t="str">
        <f t="shared" si="23"/>
        <v/>
      </c>
      <c r="E295" s="560"/>
      <c r="F295" s="559"/>
      <c r="G295" s="559" t="str">
        <f t="shared" si="24"/>
        <v/>
      </c>
      <c r="H295" s="559" t="str">
        <f t="shared" si="25"/>
        <v/>
      </c>
      <c r="I295" s="559" t="str">
        <f t="shared" si="26"/>
        <v/>
      </c>
    </row>
    <row r="296" spans="2:9">
      <c r="B296" s="555" t="str">
        <f t="shared" si="21"/>
        <v/>
      </c>
      <c r="C296" s="556" t="str">
        <f t="shared" si="22"/>
        <v/>
      </c>
      <c r="D296" s="557" t="str">
        <f t="shared" si="23"/>
        <v/>
      </c>
      <c r="E296" s="560"/>
      <c r="F296" s="559"/>
      <c r="G296" s="559" t="str">
        <f t="shared" si="24"/>
        <v/>
      </c>
      <c r="H296" s="559" t="str">
        <f t="shared" si="25"/>
        <v/>
      </c>
      <c r="I296" s="559" t="str">
        <f t="shared" si="26"/>
        <v/>
      </c>
    </row>
    <row r="297" spans="2:9">
      <c r="B297" s="555" t="str">
        <f t="shared" si="21"/>
        <v/>
      </c>
      <c r="C297" s="556" t="str">
        <f t="shared" si="22"/>
        <v/>
      </c>
      <c r="D297" s="557" t="str">
        <f t="shared" si="23"/>
        <v/>
      </c>
      <c r="E297" s="560"/>
      <c r="F297" s="559"/>
      <c r="G297" s="559" t="str">
        <f t="shared" si="24"/>
        <v/>
      </c>
      <c r="H297" s="559" t="str">
        <f t="shared" si="25"/>
        <v/>
      </c>
      <c r="I297" s="559" t="str">
        <f t="shared" si="26"/>
        <v/>
      </c>
    </row>
    <row r="298" spans="2:9">
      <c r="B298" s="555" t="str">
        <f t="shared" si="21"/>
        <v/>
      </c>
      <c r="C298" s="556" t="str">
        <f t="shared" si="22"/>
        <v/>
      </c>
      <c r="D298" s="557" t="str">
        <f t="shared" si="23"/>
        <v/>
      </c>
      <c r="E298" s="560"/>
      <c r="F298" s="559"/>
      <c r="G298" s="559" t="str">
        <f t="shared" si="24"/>
        <v/>
      </c>
      <c r="H298" s="559" t="str">
        <f t="shared" si="25"/>
        <v/>
      </c>
      <c r="I298" s="559" t="str">
        <f t="shared" si="26"/>
        <v/>
      </c>
    </row>
    <row r="299" spans="2:9">
      <c r="B299" s="555" t="str">
        <f t="shared" si="21"/>
        <v/>
      </c>
      <c r="C299" s="556" t="str">
        <f t="shared" si="22"/>
        <v/>
      </c>
      <c r="D299" s="557" t="str">
        <f t="shared" si="23"/>
        <v/>
      </c>
      <c r="E299" s="560"/>
      <c r="F299" s="559"/>
      <c r="G299" s="559" t="str">
        <f t="shared" si="24"/>
        <v/>
      </c>
      <c r="H299" s="559" t="str">
        <f t="shared" si="25"/>
        <v/>
      </c>
      <c r="I299" s="559" t="str">
        <f t="shared" si="26"/>
        <v/>
      </c>
    </row>
    <row r="300" spans="2:9">
      <c r="B300" s="555" t="str">
        <f t="shared" si="21"/>
        <v/>
      </c>
      <c r="C300" s="556" t="str">
        <f t="shared" si="22"/>
        <v/>
      </c>
      <c r="D300" s="557" t="str">
        <f t="shared" si="23"/>
        <v/>
      </c>
      <c r="E300" s="560"/>
      <c r="F300" s="559"/>
      <c r="G300" s="559" t="str">
        <f t="shared" si="24"/>
        <v/>
      </c>
      <c r="H300" s="559" t="str">
        <f t="shared" si="25"/>
        <v/>
      </c>
      <c r="I300" s="559" t="str">
        <f t="shared" si="26"/>
        <v/>
      </c>
    </row>
    <row r="301" spans="2:9">
      <c r="B301" s="555" t="str">
        <f t="shared" si="21"/>
        <v/>
      </c>
      <c r="C301" s="556" t="str">
        <f t="shared" si="22"/>
        <v/>
      </c>
      <c r="D301" s="557" t="str">
        <f t="shared" si="23"/>
        <v/>
      </c>
      <c r="E301" s="560"/>
      <c r="F301" s="559"/>
      <c r="G301" s="559" t="str">
        <f t="shared" si="24"/>
        <v/>
      </c>
      <c r="H301" s="559" t="str">
        <f t="shared" si="25"/>
        <v/>
      </c>
      <c r="I301" s="559" t="str">
        <f t="shared" si="26"/>
        <v/>
      </c>
    </row>
    <row r="302" spans="2:9">
      <c r="B302" s="555" t="str">
        <f t="shared" si="21"/>
        <v/>
      </c>
      <c r="C302" s="556" t="str">
        <f t="shared" si="22"/>
        <v/>
      </c>
      <c r="D302" s="557" t="str">
        <f t="shared" si="23"/>
        <v/>
      </c>
      <c r="E302" s="560"/>
      <c r="F302" s="559"/>
      <c r="G302" s="559" t="str">
        <f t="shared" si="24"/>
        <v/>
      </c>
      <c r="H302" s="559" t="str">
        <f t="shared" si="25"/>
        <v/>
      </c>
      <c r="I302" s="559" t="str">
        <f t="shared" si="26"/>
        <v/>
      </c>
    </row>
    <row r="303" spans="2:9">
      <c r="B303" s="555" t="str">
        <f t="shared" si="21"/>
        <v/>
      </c>
      <c r="C303" s="556" t="str">
        <f t="shared" si="22"/>
        <v/>
      </c>
      <c r="D303" s="557" t="str">
        <f t="shared" si="23"/>
        <v/>
      </c>
      <c r="E303" s="560"/>
      <c r="F303" s="559"/>
      <c r="G303" s="559" t="str">
        <f t="shared" si="24"/>
        <v/>
      </c>
      <c r="H303" s="559" t="str">
        <f t="shared" si="25"/>
        <v/>
      </c>
      <c r="I303" s="559" t="str">
        <f t="shared" si="26"/>
        <v/>
      </c>
    </row>
    <row r="304" spans="2:9">
      <c r="B304" s="555" t="str">
        <f t="shared" si="21"/>
        <v/>
      </c>
      <c r="C304" s="556" t="str">
        <f t="shared" si="22"/>
        <v/>
      </c>
      <c r="D304" s="557" t="str">
        <f t="shared" si="23"/>
        <v/>
      </c>
      <c r="E304" s="560"/>
      <c r="F304" s="559"/>
      <c r="G304" s="559" t="str">
        <f t="shared" si="24"/>
        <v/>
      </c>
      <c r="H304" s="559" t="str">
        <f t="shared" si="25"/>
        <v/>
      </c>
      <c r="I304" s="559" t="str">
        <f t="shared" si="26"/>
        <v/>
      </c>
    </row>
    <row r="305" spans="2:9">
      <c r="B305" s="555" t="str">
        <f t="shared" si="21"/>
        <v/>
      </c>
      <c r="C305" s="556" t="str">
        <f t="shared" si="22"/>
        <v/>
      </c>
      <c r="D305" s="557" t="str">
        <f t="shared" si="23"/>
        <v/>
      </c>
      <c r="E305" s="560"/>
      <c r="F305" s="559"/>
      <c r="G305" s="559" t="str">
        <f t="shared" si="24"/>
        <v/>
      </c>
      <c r="H305" s="559" t="str">
        <f t="shared" si="25"/>
        <v/>
      </c>
      <c r="I305" s="559" t="str">
        <f t="shared" si="26"/>
        <v/>
      </c>
    </row>
    <row r="306" spans="2:9">
      <c r="B306" s="555" t="str">
        <f t="shared" si="21"/>
        <v/>
      </c>
      <c r="C306" s="556" t="str">
        <f t="shared" si="22"/>
        <v/>
      </c>
      <c r="D306" s="557" t="str">
        <f t="shared" si="23"/>
        <v/>
      </c>
      <c r="E306" s="560"/>
      <c r="F306" s="559"/>
      <c r="G306" s="559" t="str">
        <f t="shared" si="24"/>
        <v/>
      </c>
      <c r="H306" s="559" t="str">
        <f t="shared" si="25"/>
        <v/>
      </c>
      <c r="I306" s="559" t="str">
        <f t="shared" si="26"/>
        <v/>
      </c>
    </row>
    <row r="307" spans="2:9">
      <c r="B307" s="555" t="str">
        <f t="shared" si="21"/>
        <v/>
      </c>
      <c r="C307" s="556" t="str">
        <f t="shared" si="22"/>
        <v/>
      </c>
      <c r="D307" s="557" t="str">
        <f t="shared" si="23"/>
        <v/>
      </c>
      <c r="E307" s="560"/>
      <c r="F307" s="559"/>
      <c r="G307" s="559" t="str">
        <f t="shared" si="24"/>
        <v/>
      </c>
      <c r="H307" s="559" t="str">
        <f t="shared" si="25"/>
        <v/>
      </c>
      <c r="I307" s="559" t="str">
        <f t="shared" si="26"/>
        <v/>
      </c>
    </row>
    <row r="308" spans="2:9">
      <c r="B308" s="555" t="str">
        <f t="shared" si="21"/>
        <v/>
      </c>
      <c r="C308" s="556" t="str">
        <f t="shared" si="22"/>
        <v/>
      </c>
      <c r="D308" s="557" t="str">
        <f t="shared" si="23"/>
        <v/>
      </c>
      <c r="E308" s="560"/>
      <c r="F308" s="559"/>
      <c r="G308" s="559" t="str">
        <f t="shared" si="24"/>
        <v/>
      </c>
      <c r="H308" s="559" t="str">
        <f t="shared" si="25"/>
        <v/>
      </c>
      <c r="I308" s="559" t="str">
        <f t="shared" si="26"/>
        <v/>
      </c>
    </row>
    <row r="309" spans="2:9">
      <c r="B309" s="555" t="str">
        <f t="shared" si="21"/>
        <v/>
      </c>
      <c r="C309" s="556" t="str">
        <f t="shared" si="22"/>
        <v/>
      </c>
      <c r="D309" s="557" t="str">
        <f t="shared" si="23"/>
        <v/>
      </c>
      <c r="E309" s="560"/>
      <c r="F309" s="559"/>
      <c r="G309" s="559" t="str">
        <f t="shared" si="24"/>
        <v/>
      </c>
      <c r="H309" s="559" t="str">
        <f t="shared" si="25"/>
        <v/>
      </c>
      <c r="I309" s="559" t="str">
        <f t="shared" si="26"/>
        <v/>
      </c>
    </row>
    <row r="310" spans="2:9">
      <c r="B310" s="555" t="str">
        <f t="shared" si="21"/>
        <v/>
      </c>
      <c r="C310" s="556" t="str">
        <f t="shared" si="22"/>
        <v/>
      </c>
      <c r="D310" s="557" t="str">
        <f t="shared" si="23"/>
        <v/>
      </c>
      <c r="E310" s="560"/>
      <c r="F310" s="559"/>
      <c r="G310" s="559" t="str">
        <f t="shared" si="24"/>
        <v/>
      </c>
      <c r="H310" s="559" t="str">
        <f t="shared" si="25"/>
        <v/>
      </c>
      <c r="I310" s="559" t="str">
        <f t="shared" si="26"/>
        <v/>
      </c>
    </row>
    <row r="311" spans="2:9">
      <c r="B311" s="555" t="str">
        <f t="shared" si="21"/>
        <v/>
      </c>
      <c r="C311" s="556" t="str">
        <f t="shared" si="22"/>
        <v/>
      </c>
      <c r="D311" s="557" t="str">
        <f t="shared" si="23"/>
        <v/>
      </c>
      <c r="E311" s="560"/>
      <c r="F311" s="559"/>
      <c r="G311" s="559" t="str">
        <f t="shared" si="24"/>
        <v/>
      </c>
      <c r="H311" s="559" t="str">
        <f t="shared" si="25"/>
        <v/>
      </c>
      <c r="I311" s="559" t="str">
        <f t="shared" si="26"/>
        <v/>
      </c>
    </row>
    <row r="312" spans="2:9">
      <c r="B312" s="555" t="str">
        <f t="shared" si="21"/>
        <v/>
      </c>
      <c r="C312" s="556" t="str">
        <f t="shared" si="22"/>
        <v/>
      </c>
      <c r="D312" s="557" t="str">
        <f t="shared" si="23"/>
        <v/>
      </c>
      <c r="E312" s="560"/>
      <c r="F312" s="559"/>
      <c r="G312" s="559" t="str">
        <f t="shared" si="24"/>
        <v/>
      </c>
      <c r="H312" s="559" t="str">
        <f t="shared" si="25"/>
        <v/>
      </c>
      <c r="I312" s="559" t="str">
        <f t="shared" si="26"/>
        <v/>
      </c>
    </row>
    <row r="313" spans="2:9">
      <c r="B313" s="555" t="str">
        <f t="shared" si="21"/>
        <v/>
      </c>
      <c r="C313" s="556" t="str">
        <f t="shared" si="22"/>
        <v/>
      </c>
      <c r="D313" s="557" t="str">
        <f t="shared" si="23"/>
        <v/>
      </c>
      <c r="E313" s="560"/>
      <c r="F313" s="559"/>
      <c r="G313" s="559" t="str">
        <f t="shared" si="24"/>
        <v/>
      </c>
      <c r="H313" s="559" t="str">
        <f t="shared" si="25"/>
        <v/>
      </c>
      <c r="I313" s="559" t="str">
        <f t="shared" si="26"/>
        <v/>
      </c>
    </row>
    <row r="314" spans="2:9">
      <c r="B314" s="555" t="str">
        <f t="shared" si="21"/>
        <v/>
      </c>
      <c r="C314" s="556" t="str">
        <f t="shared" si="22"/>
        <v/>
      </c>
      <c r="D314" s="557" t="str">
        <f t="shared" si="23"/>
        <v/>
      </c>
      <c r="E314" s="560"/>
      <c r="F314" s="559"/>
      <c r="G314" s="559" t="str">
        <f t="shared" si="24"/>
        <v/>
      </c>
      <c r="H314" s="559" t="str">
        <f t="shared" si="25"/>
        <v/>
      </c>
      <c r="I314" s="559" t="str">
        <f t="shared" si="26"/>
        <v/>
      </c>
    </row>
    <row r="315" spans="2:9">
      <c r="B315" s="555" t="str">
        <f t="shared" si="21"/>
        <v/>
      </c>
      <c r="C315" s="556" t="str">
        <f t="shared" si="22"/>
        <v/>
      </c>
      <c r="D315" s="557" t="str">
        <f t="shared" si="23"/>
        <v/>
      </c>
      <c r="E315" s="560"/>
      <c r="F315" s="559"/>
      <c r="G315" s="559" t="str">
        <f t="shared" si="24"/>
        <v/>
      </c>
      <c r="H315" s="559" t="str">
        <f t="shared" si="25"/>
        <v/>
      </c>
      <c r="I315" s="559" t="str">
        <f t="shared" si="26"/>
        <v/>
      </c>
    </row>
    <row r="316" spans="2:9">
      <c r="B316" s="555" t="str">
        <f t="shared" si="21"/>
        <v/>
      </c>
      <c r="C316" s="556" t="str">
        <f t="shared" si="22"/>
        <v/>
      </c>
      <c r="D316" s="557" t="str">
        <f t="shared" si="23"/>
        <v/>
      </c>
      <c r="E316" s="560"/>
      <c r="F316" s="559"/>
      <c r="G316" s="559" t="str">
        <f t="shared" si="24"/>
        <v/>
      </c>
      <c r="H316" s="559" t="str">
        <f t="shared" si="25"/>
        <v/>
      </c>
      <c r="I316" s="559" t="str">
        <f t="shared" si="26"/>
        <v/>
      </c>
    </row>
    <row r="317" spans="2:9">
      <c r="B317" s="555" t="str">
        <f t="shared" ref="B317:B380" si="27">IF(I316="","",IF(roundOpt,IF(OR(B316&gt;=nper,ROUND(I316,2)&lt;=0),"",B316+1),IF(OR(B316&gt;=nper,I316&lt;=0),"",B316+1)))</f>
        <v/>
      </c>
      <c r="C317" s="556" t="str">
        <f t="shared" ref="C317:C380" si="28">IF(B317="","",IF(OR(periods_per_year=26,periods_per_year=52),IF(periods_per_year=26,IF(B317=1,fpdate,C316+14),IF(periods_per_year=52,IF(B317=1,fpdate,C316+7),"n/a")),IF(periods_per_year=24,DATE(YEAR(fpdate),MONTH(fpdate)+(B317-1)/2+IF(AND(DAY(fpdate)&gt;=15,MOD(B317,2)=0),1,0),IF(MOD(B317,2)=0,IF(DAY(fpdate)&gt;=15,DAY(fpdate)-14,DAY(fpdate)+14),DAY(fpdate))),IF(DAY(DATE(YEAR(fpdate),MONTH(fpdate)+(B317-1)*months_per_period,DAY(fpdate)))&lt;&gt;DAY(fpdate),DATE(YEAR(fpdate),MONTH(fpdate)+(B317-1)*months_per_period+1,0),DATE(YEAR(fpdate),MONTH(fpdate)+(B317-1)*months_per_period,DAY(fpdate))))))</f>
        <v/>
      </c>
      <c r="D317" s="557" t="str">
        <f t="shared" ref="D317:D380" si="29">IF(B317="","",IF(roundOpt,IF(OR(B317=nper,payment&gt;ROUND((1+rate)*I316,2)),ROUND((1+rate)*I316,2),payment),IF(OR(B317=nper,payment&gt;(1+rate)*I316),(1+rate)*I316,payment)))</f>
        <v/>
      </c>
      <c r="E317" s="560"/>
      <c r="F317" s="559"/>
      <c r="G317" s="559" t="str">
        <f t="shared" ref="G317:G380" si="30">IF(B317="","",IF(AND(B317=1,pmtType=1),0,IF(roundOpt,ROUND(rate*I316,2),rate*I316)))</f>
        <v/>
      </c>
      <c r="H317" s="559" t="str">
        <f t="shared" ref="H317:H380" si="31">IF(B317="","",D317-G317+E317)</f>
        <v/>
      </c>
      <c r="I317" s="559" t="str">
        <f t="shared" ref="I317:I380" si="32">IF(B317="","",I316-H317)</f>
        <v/>
      </c>
    </row>
    <row r="318" spans="2:9">
      <c r="B318" s="555" t="str">
        <f t="shared" si="27"/>
        <v/>
      </c>
      <c r="C318" s="556" t="str">
        <f t="shared" si="28"/>
        <v/>
      </c>
      <c r="D318" s="557" t="str">
        <f t="shared" si="29"/>
        <v/>
      </c>
      <c r="E318" s="560"/>
      <c r="F318" s="559"/>
      <c r="G318" s="559" t="str">
        <f t="shared" si="30"/>
        <v/>
      </c>
      <c r="H318" s="559" t="str">
        <f t="shared" si="31"/>
        <v/>
      </c>
      <c r="I318" s="559" t="str">
        <f t="shared" si="32"/>
        <v/>
      </c>
    </row>
    <row r="319" spans="2:9">
      <c r="B319" s="555" t="str">
        <f t="shared" si="27"/>
        <v/>
      </c>
      <c r="C319" s="556" t="str">
        <f t="shared" si="28"/>
        <v/>
      </c>
      <c r="D319" s="557" t="str">
        <f t="shared" si="29"/>
        <v/>
      </c>
      <c r="E319" s="560"/>
      <c r="F319" s="559"/>
      <c r="G319" s="559" t="str">
        <f t="shared" si="30"/>
        <v/>
      </c>
      <c r="H319" s="559" t="str">
        <f t="shared" si="31"/>
        <v/>
      </c>
      <c r="I319" s="559" t="str">
        <f t="shared" si="32"/>
        <v/>
      </c>
    </row>
    <row r="320" spans="2:9">
      <c r="B320" s="555" t="str">
        <f t="shared" si="27"/>
        <v/>
      </c>
      <c r="C320" s="556" t="str">
        <f t="shared" si="28"/>
        <v/>
      </c>
      <c r="D320" s="557" t="str">
        <f t="shared" si="29"/>
        <v/>
      </c>
      <c r="E320" s="560"/>
      <c r="F320" s="559"/>
      <c r="G320" s="559" t="str">
        <f t="shared" si="30"/>
        <v/>
      </c>
      <c r="H320" s="559" t="str">
        <f t="shared" si="31"/>
        <v/>
      </c>
      <c r="I320" s="559" t="str">
        <f t="shared" si="32"/>
        <v/>
      </c>
    </row>
    <row r="321" spans="2:9">
      <c r="B321" s="555" t="str">
        <f t="shared" si="27"/>
        <v/>
      </c>
      <c r="C321" s="556" t="str">
        <f t="shared" si="28"/>
        <v/>
      </c>
      <c r="D321" s="557" t="str">
        <f t="shared" si="29"/>
        <v/>
      </c>
      <c r="E321" s="560"/>
      <c r="F321" s="559"/>
      <c r="G321" s="559" t="str">
        <f t="shared" si="30"/>
        <v/>
      </c>
      <c r="H321" s="559" t="str">
        <f t="shared" si="31"/>
        <v/>
      </c>
      <c r="I321" s="559" t="str">
        <f t="shared" si="32"/>
        <v/>
      </c>
    </row>
    <row r="322" spans="2:9">
      <c r="B322" s="555" t="str">
        <f t="shared" si="27"/>
        <v/>
      </c>
      <c r="C322" s="556" t="str">
        <f t="shared" si="28"/>
        <v/>
      </c>
      <c r="D322" s="557" t="str">
        <f t="shared" si="29"/>
        <v/>
      </c>
      <c r="E322" s="560"/>
      <c r="F322" s="559"/>
      <c r="G322" s="559" t="str">
        <f t="shared" si="30"/>
        <v/>
      </c>
      <c r="H322" s="559" t="str">
        <f t="shared" si="31"/>
        <v/>
      </c>
      <c r="I322" s="559" t="str">
        <f t="shared" si="32"/>
        <v/>
      </c>
    </row>
    <row r="323" spans="2:9">
      <c r="B323" s="555" t="str">
        <f t="shared" si="27"/>
        <v/>
      </c>
      <c r="C323" s="556" t="str">
        <f t="shared" si="28"/>
        <v/>
      </c>
      <c r="D323" s="557" t="str">
        <f t="shared" si="29"/>
        <v/>
      </c>
      <c r="E323" s="560"/>
      <c r="F323" s="559"/>
      <c r="G323" s="559" t="str">
        <f t="shared" si="30"/>
        <v/>
      </c>
      <c r="H323" s="559" t="str">
        <f t="shared" si="31"/>
        <v/>
      </c>
      <c r="I323" s="559" t="str">
        <f t="shared" si="32"/>
        <v/>
      </c>
    </row>
    <row r="324" spans="2:9">
      <c r="B324" s="555" t="str">
        <f t="shared" si="27"/>
        <v/>
      </c>
      <c r="C324" s="556" t="str">
        <f t="shared" si="28"/>
        <v/>
      </c>
      <c r="D324" s="557" t="str">
        <f t="shared" si="29"/>
        <v/>
      </c>
      <c r="E324" s="560"/>
      <c r="F324" s="559"/>
      <c r="G324" s="559" t="str">
        <f t="shared" si="30"/>
        <v/>
      </c>
      <c r="H324" s="559" t="str">
        <f t="shared" si="31"/>
        <v/>
      </c>
      <c r="I324" s="559" t="str">
        <f t="shared" si="32"/>
        <v/>
      </c>
    </row>
    <row r="325" spans="2:9">
      <c r="B325" s="555" t="str">
        <f t="shared" si="27"/>
        <v/>
      </c>
      <c r="C325" s="556" t="str">
        <f t="shared" si="28"/>
        <v/>
      </c>
      <c r="D325" s="557" t="str">
        <f t="shared" si="29"/>
        <v/>
      </c>
      <c r="E325" s="560"/>
      <c r="F325" s="559"/>
      <c r="G325" s="559" t="str">
        <f t="shared" si="30"/>
        <v/>
      </c>
      <c r="H325" s="559" t="str">
        <f t="shared" si="31"/>
        <v/>
      </c>
      <c r="I325" s="559" t="str">
        <f t="shared" si="32"/>
        <v/>
      </c>
    </row>
    <row r="326" spans="2:9">
      <c r="B326" s="555" t="str">
        <f t="shared" si="27"/>
        <v/>
      </c>
      <c r="C326" s="556" t="str">
        <f t="shared" si="28"/>
        <v/>
      </c>
      <c r="D326" s="557" t="str">
        <f t="shared" si="29"/>
        <v/>
      </c>
      <c r="E326" s="560"/>
      <c r="F326" s="559"/>
      <c r="G326" s="559" t="str">
        <f t="shared" si="30"/>
        <v/>
      </c>
      <c r="H326" s="559" t="str">
        <f t="shared" si="31"/>
        <v/>
      </c>
      <c r="I326" s="559" t="str">
        <f t="shared" si="32"/>
        <v/>
      </c>
    </row>
    <row r="327" spans="2:9">
      <c r="B327" s="555" t="str">
        <f t="shared" si="27"/>
        <v/>
      </c>
      <c r="C327" s="556" t="str">
        <f t="shared" si="28"/>
        <v/>
      </c>
      <c r="D327" s="557" t="str">
        <f t="shared" si="29"/>
        <v/>
      </c>
      <c r="E327" s="560"/>
      <c r="F327" s="559"/>
      <c r="G327" s="559" t="str">
        <f t="shared" si="30"/>
        <v/>
      </c>
      <c r="H327" s="559" t="str">
        <f t="shared" si="31"/>
        <v/>
      </c>
      <c r="I327" s="559" t="str">
        <f t="shared" si="32"/>
        <v/>
      </c>
    </row>
    <row r="328" spans="2:9">
      <c r="B328" s="555" t="str">
        <f t="shared" si="27"/>
        <v/>
      </c>
      <c r="C328" s="556" t="str">
        <f t="shared" si="28"/>
        <v/>
      </c>
      <c r="D328" s="557" t="str">
        <f t="shared" si="29"/>
        <v/>
      </c>
      <c r="E328" s="560"/>
      <c r="F328" s="559"/>
      <c r="G328" s="559" t="str">
        <f t="shared" si="30"/>
        <v/>
      </c>
      <c r="H328" s="559" t="str">
        <f t="shared" si="31"/>
        <v/>
      </c>
      <c r="I328" s="559" t="str">
        <f t="shared" si="32"/>
        <v/>
      </c>
    </row>
    <row r="329" spans="2:9">
      <c r="B329" s="555" t="str">
        <f t="shared" si="27"/>
        <v/>
      </c>
      <c r="C329" s="556" t="str">
        <f t="shared" si="28"/>
        <v/>
      </c>
      <c r="D329" s="557" t="str">
        <f t="shared" si="29"/>
        <v/>
      </c>
      <c r="E329" s="560"/>
      <c r="F329" s="559"/>
      <c r="G329" s="559" t="str">
        <f t="shared" si="30"/>
        <v/>
      </c>
      <c r="H329" s="559" t="str">
        <f t="shared" si="31"/>
        <v/>
      </c>
      <c r="I329" s="559" t="str">
        <f t="shared" si="32"/>
        <v/>
      </c>
    </row>
    <row r="330" spans="2:9">
      <c r="B330" s="555" t="str">
        <f t="shared" si="27"/>
        <v/>
      </c>
      <c r="C330" s="556" t="str">
        <f t="shared" si="28"/>
        <v/>
      </c>
      <c r="D330" s="557" t="str">
        <f t="shared" si="29"/>
        <v/>
      </c>
      <c r="E330" s="560"/>
      <c r="F330" s="559"/>
      <c r="G330" s="559" t="str">
        <f t="shared" si="30"/>
        <v/>
      </c>
      <c r="H330" s="559" t="str">
        <f t="shared" si="31"/>
        <v/>
      </c>
      <c r="I330" s="559" t="str">
        <f t="shared" si="32"/>
        <v/>
      </c>
    </row>
    <row r="331" spans="2:9">
      <c r="B331" s="555" t="str">
        <f t="shared" si="27"/>
        <v/>
      </c>
      <c r="C331" s="556" t="str">
        <f t="shared" si="28"/>
        <v/>
      </c>
      <c r="D331" s="557" t="str">
        <f t="shared" si="29"/>
        <v/>
      </c>
      <c r="E331" s="560"/>
      <c r="F331" s="559"/>
      <c r="G331" s="559" t="str">
        <f t="shared" si="30"/>
        <v/>
      </c>
      <c r="H331" s="559" t="str">
        <f t="shared" si="31"/>
        <v/>
      </c>
      <c r="I331" s="559" t="str">
        <f t="shared" si="32"/>
        <v/>
      </c>
    </row>
    <row r="332" spans="2:9">
      <c r="B332" s="555" t="str">
        <f t="shared" si="27"/>
        <v/>
      </c>
      <c r="C332" s="556" t="str">
        <f t="shared" si="28"/>
        <v/>
      </c>
      <c r="D332" s="557" t="str">
        <f t="shared" si="29"/>
        <v/>
      </c>
      <c r="E332" s="560"/>
      <c r="F332" s="559"/>
      <c r="G332" s="559" t="str">
        <f t="shared" si="30"/>
        <v/>
      </c>
      <c r="H332" s="559" t="str">
        <f t="shared" si="31"/>
        <v/>
      </c>
      <c r="I332" s="559" t="str">
        <f t="shared" si="32"/>
        <v/>
      </c>
    </row>
    <row r="333" spans="2:9">
      <c r="B333" s="555" t="str">
        <f t="shared" si="27"/>
        <v/>
      </c>
      <c r="C333" s="556" t="str">
        <f t="shared" si="28"/>
        <v/>
      </c>
      <c r="D333" s="557" t="str">
        <f t="shared" si="29"/>
        <v/>
      </c>
      <c r="E333" s="560"/>
      <c r="F333" s="559"/>
      <c r="G333" s="559" t="str">
        <f t="shared" si="30"/>
        <v/>
      </c>
      <c r="H333" s="559" t="str">
        <f t="shared" si="31"/>
        <v/>
      </c>
      <c r="I333" s="559" t="str">
        <f t="shared" si="32"/>
        <v/>
      </c>
    </row>
    <row r="334" spans="2:9">
      <c r="B334" s="555" t="str">
        <f t="shared" si="27"/>
        <v/>
      </c>
      <c r="C334" s="556" t="str">
        <f t="shared" si="28"/>
        <v/>
      </c>
      <c r="D334" s="557" t="str">
        <f t="shared" si="29"/>
        <v/>
      </c>
      <c r="E334" s="560"/>
      <c r="F334" s="559"/>
      <c r="G334" s="559" t="str">
        <f t="shared" si="30"/>
        <v/>
      </c>
      <c r="H334" s="559" t="str">
        <f t="shared" si="31"/>
        <v/>
      </c>
      <c r="I334" s="559" t="str">
        <f t="shared" si="32"/>
        <v/>
      </c>
    </row>
    <row r="335" spans="2:9">
      <c r="B335" s="555" t="str">
        <f t="shared" si="27"/>
        <v/>
      </c>
      <c r="C335" s="556" t="str">
        <f t="shared" si="28"/>
        <v/>
      </c>
      <c r="D335" s="557" t="str">
        <f t="shared" si="29"/>
        <v/>
      </c>
      <c r="E335" s="560"/>
      <c r="F335" s="559"/>
      <c r="G335" s="559" t="str">
        <f t="shared" si="30"/>
        <v/>
      </c>
      <c r="H335" s="559" t="str">
        <f t="shared" si="31"/>
        <v/>
      </c>
      <c r="I335" s="559" t="str">
        <f t="shared" si="32"/>
        <v/>
      </c>
    </row>
    <row r="336" spans="2:9">
      <c r="B336" s="555" t="str">
        <f t="shared" si="27"/>
        <v/>
      </c>
      <c r="C336" s="556" t="str">
        <f t="shared" si="28"/>
        <v/>
      </c>
      <c r="D336" s="557" t="str">
        <f t="shared" si="29"/>
        <v/>
      </c>
      <c r="E336" s="560"/>
      <c r="F336" s="559"/>
      <c r="G336" s="559" t="str">
        <f t="shared" si="30"/>
        <v/>
      </c>
      <c r="H336" s="559" t="str">
        <f t="shared" si="31"/>
        <v/>
      </c>
      <c r="I336" s="559" t="str">
        <f t="shared" si="32"/>
        <v/>
      </c>
    </row>
    <row r="337" spans="2:9">
      <c r="B337" s="555" t="str">
        <f t="shared" si="27"/>
        <v/>
      </c>
      <c r="C337" s="556" t="str">
        <f t="shared" si="28"/>
        <v/>
      </c>
      <c r="D337" s="557" t="str">
        <f t="shared" si="29"/>
        <v/>
      </c>
      <c r="E337" s="560"/>
      <c r="F337" s="559"/>
      <c r="G337" s="559" t="str">
        <f t="shared" si="30"/>
        <v/>
      </c>
      <c r="H337" s="559" t="str">
        <f t="shared" si="31"/>
        <v/>
      </c>
      <c r="I337" s="559" t="str">
        <f t="shared" si="32"/>
        <v/>
      </c>
    </row>
    <row r="338" spans="2:9">
      <c r="B338" s="555" t="str">
        <f t="shared" si="27"/>
        <v/>
      </c>
      <c r="C338" s="556" t="str">
        <f t="shared" si="28"/>
        <v/>
      </c>
      <c r="D338" s="557" t="str">
        <f t="shared" si="29"/>
        <v/>
      </c>
      <c r="E338" s="560"/>
      <c r="F338" s="559"/>
      <c r="G338" s="559" t="str">
        <f t="shared" si="30"/>
        <v/>
      </c>
      <c r="H338" s="559" t="str">
        <f t="shared" si="31"/>
        <v/>
      </c>
      <c r="I338" s="559" t="str">
        <f t="shared" si="32"/>
        <v/>
      </c>
    </row>
    <row r="339" spans="2:9">
      <c r="B339" s="555" t="str">
        <f t="shared" si="27"/>
        <v/>
      </c>
      <c r="C339" s="556" t="str">
        <f t="shared" si="28"/>
        <v/>
      </c>
      <c r="D339" s="557" t="str">
        <f t="shared" si="29"/>
        <v/>
      </c>
      <c r="E339" s="560"/>
      <c r="F339" s="559"/>
      <c r="G339" s="559" t="str">
        <f t="shared" si="30"/>
        <v/>
      </c>
      <c r="H339" s="559" t="str">
        <f t="shared" si="31"/>
        <v/>
      </c>
      <c r="I339" s="559" t="str">
        <f t="shared" si="32"/>
        <v/>
      </c>
    </row>
    <row r="340" spans="2:9">
      <c r="B340" s="555" t="str">
        <f t="shared" si="27"/>
        <v/>
      </c>
      <c r="C340" s="556" t="str">
        <f t="shared" si="28"/>
        <v/>
      </c>
      <c r="D340" s="557" t="str">
        <f t="shared" si="29"/>
        <v/>
      </c>
      <c r="E340" s="560"/>
      <c r="F340" s="559"/>
      <c r="G340" s="559" t="str">
        <f t="shared" si="30"/>
        <v/>
      </c>
      <c r="H340" s="559" t="str">
        <f t="shared" si="31"/>
        <v/>
      </c>
      <c r="I340" s="559" t="str">
        <f t="shared" si="32"/>
        <v/>
      </c>
    </row>
    <row r="341" spans="2:9">
      <c r="B341" s="555" t="str">
        <f t="shared" si="27"/>
        <v/>
      </c>
      <c r="C341" s="556" t="str">
        <f t="shared" si="28"/>
        <v/>
      </c>
      <c r="D341" s="557" t="str">
        <f t="shared" si="29"/>
        <v/>
      </c>
      <c r="E341" s="560"/>
      <c r="F341" s="559"/>
      <c r="G341" s="559" t="str">
        <f t="shared" si="30"/>
        <v/>
      </c>
      <c r="H341" s="559" t="str">
        <f t="shared" si="31"/>
        <v/>
      </c>
      <c r="I341" s="559" t="str">
        <f t="shared" si="32"/>
        <v/>
      </c>
    </row>
    <row r="342" spans="2:9">
      <c r="B342" s="555" t="str">
        <f t="shared" si="27"/>
        <v/>
      </c>
      <c r="C342" s="556" t="str">
        <f t="shared" si="28"/>
        <v/>
      </c>
      <c r="D342" s="557" t="str">
        <f t="shared" si="29"/>
        <v/>
      </c>
      <c r="E342" s="560"/>
      <c r="F342" s="559"/>
      <c r="G342" s="559" t="str">
        <f t="shared" si="30"/>
        <v/>
      </c>
      <c r="H342" s="559" t="str">
        <f t="shared" si="31"/>
        <v/>
      </c>
      <c r="I342" s="559" t="str">
        <f t="shared" si="32"/>
        <v/>
      </c>
    </row>
    <row r="343" spans="2:9">
      <c r="B343" s="555" t="str">
        <f t="shared" si="27"/>
        <v/>
      </c>
      <c r="C343" s="556" t="str">
        <f t="shared" si="28"/>
        <v/>
      </c>
      <c r="D343" s="557" t="str">
        <f t="shared" si="29"/>
        <v/>
      </c>
      <c r="E343" s="560"/>
      <c r="F343" s="559"/>
      <c r="G343" s="559" t="str">
        <f t="shared" si="30"/>
        <v/>
      </c>
      <c r="H343" s="559" t="str">
        <f t="shared" si="31"/>
        <v/>
      </c>
      <c r="I343" s="559" t="str">
        <f t="shared" si="32"/>
        <v/>
      </c>
    </row>
    <row r="344" spans="2:9">
      <c r="B344" s="555" t="str">
        <f t="shared" si="27"/>
        <v/>
      </c>
      <c r="C344" s="556" t="str">
        <f t="shared" si="28"/>
        <v/>
      </c>
      <c r="D344" s="557" t="str">
        <f t="shared" si="29"/>
        <v/>
      </c>
      <c r="E344" s="560"/>
      <c r="F344" s="559"/>
      <c r="G344" s="559" t="str">
        <f t="shared" si="30"/>
        <v/>
      </c>
      <c r="H344" s="559" t="str">
        <f t="shared" si="31"/>
        <v/>
      </c>
      <c r="I344" s="559" t="str">
        <f t="shared" si="32"/>
        <v/>
      </c>
    </row>
    <row r="345" spans="2:9">
      <c r="B345" s="555" t="str">
        <f t="shared" si="27"/>
        <v/>
      </c>
      <c r="C345" s="556" t="str">
        <f t="shared" si="28"/>
        <v/>
      </c>
      <c r="D345" s="557" t="str">
        <f t="shared" si="29"/>
        <v/>
      </c>
      <c r="E345" s="560"/>
      <c r="F345" s="559"/>
      <c r="G345" s="559" t="str">
        <f t="shared" si="30"/>
        <v/>
      </c>
      <c r="H345" s="559" t="str">
        <f t="shared" si="31"/>
        <v/>
      </c>
      <c r="I345" s="559" t="str">
        <f t="shared" si="32"/>
        <v/>
      </c>
    </row>
    <row r="346" spans="2:9">
      <c r="B346" s="555" t="str">
        <f t="shared" si="27"/>
        <v/>
      </c>
      <c r="C346" s="556" t="str">
        <f t="shared" si="28"/>
        <v/>
      </c>
      <c r="D346" s="557" t="str">
        <f t="shared" si="29"/>
        <v/>
      </c>
      <c r="E346" s="560"/>
      <c r="F346" s="559"/>
      <c r="G346" s="559" t="str">
        <f t="shared" si="30"/>
        <v/>
      </c>
      <c r="H346" s="559" t="str">
        <f t="shared" si="31"/>
        <v/>
      </c>
      <c r="I346" s="559" t="str">
        <f t="shared" si="32"/>
        <v/>
      </c>
    </row>
    <row r="347" spans="2:9">
      <c r="B347" s="555" t="str">
        <f t="shared" si="27"/>
        <v/>
      </c>
      <c r="C347" s="556" t="str">
        <f t="shared" si="28"/>
        <v/>
      </c>
      <c r="D347" s="557" t="str">
        <f t="shared" si="29"/>
        <v/>
      </c>
      <c r="E347" s="560"/>
      <c r="F347" s="559"/>
      <c r="G347" s="559" t="str">
        <f t="shared" si="30"/>
        <v/>
      </c>
      <c r="H347" s="559" t="str">
        <f t="shared" si="31"/>
        <v/>
      </c>
      <c r="I347" s="559" t="str">
        <f t="shared" si="32"/>
        <v/>
      </c>
    </row>
    <row r="348" spans="2:9">
      <c r="B348" s="555" t="str">
        <f t="shared" si="27"/>
        <v/>
      </c>
      <c r="C348" s="556" t="str">
        <f t="shared" si="28"/>
        <v/>
      </c>
      <c r="D348" s="557" t="str">
        <f t="shared" si="29"/>
        <v/>
      </c>
      <c r="E348" s="560"/>
      <c r="F348" s="559"/>
      <c r="G348" s="559" t="str">
        <f t="shared" si="30"/>
        <v/>
      </c>
      <c r="H348" s="559" t="str">
        <f t="shared" si="31"/>
        <v/>
      </c>
      <c r="I348" s="559" t="str">
        <f t="shared" si="32"/>
        <v/>
      </c>
    </row>
    <row r="349" spans="2:9">
      <c r="B349" s="555" t="str">
        <f t="shared" si="27"/>
        <v/>
      </c>
      <c r="C349" s="556" t="str">
        <f t="shared" si="28"/>
        <v/>
      </c>
      <c r="D349" s="557" t="str">
        <f t="shared" si="29"/>
        <v/>
      </c>
      <c r="E349" s="560"/>
      <c r="F349" s="559"/>
      <c r="G349" s="559" t="str">
        <f t="shared" si="30"/>
        <v/>
      </c>
      <c r="H349" s="559" t="str">
        <f t="shared" si="31"/>
        <v/>
      </c>
      <c r="I349" s="559" t="str">
        <f t="shared" si="32"/>
        <v/>
      </c>
    </row>
    <row r="350" spans="2:9">
      <c r="B350" s="555" t="str">
        <f t="shared" si="27"/>
        <v/>
      </c>
      <c r="C350" s="556" t="str">
        <f t="shared" si="28"/>
        <v/>
      </c>
      <c r="D350" s="557" t="str">
        <f t="shared" si="29"/>
        <v/>
      </c>
      <c r="E350" s="560"/>
      <c r="F350" s="559"/>
      <c r="G350" s="559" t="str">
        <f t="shared" si="30"/>
        <v/>
      </c>
      <c r="H350" s="559" t="str">
        <f t="shared" si="31"/>
        <v/>
      </c>
      <c r="I350" s="559" t="str">
        <f t="shared" si="32"/>
        <v/>
      </c>
    </row>
    <row r="351" spans="2:9">
      <c r="B351" s="555" t="str">
        <f t="shared" si="27"/>
        <v/>
      </c>
      <c r="C351" s="556" t="str">
        <f t="shared" si="28"/>
        <v/>
      </c>
      <c r="D351" s="557" t="str">
        <f t="shared" si="29"/>
        <v/>
      </c>
      <c r="E351" s="560"/>
      <c r="F351" s="559"/>
      <c r="G351" s="559" t="str">
        <f t="shared" si="30"/>
        <v/>
      </c>
      <c r="H351" s="559" t="str">
        <f t="shared" si="31"/>
        <v/>
      </c>
      <c r="I351" s="559" t="str">
        <f t="shared" si="32"/>
        <v/>
      </c>
    </row>
    <row r="352" spans="2:9">
      <c r="B352" s="555" t="str">
        <f t="shared" si="27"/>
        <v/>
      </c>
      <c r="C352" s="556" t="str">
        <f t="shared" si="28"/>
        <v/>
      </c>
      <c r="D352" s="557" t="str">
        <f t="shared" si="29"/>
        <v/>
      </c>
      <c r="E352" s="560"/>
      <c r="F352" s="559"/>
      <c r="G352" s="559" t="str">
        <f t="shared" si="30"/>
        <v/>
      </c>
      <c r="H352" s="559" t="str">
        <f t="shared" si="31"/>
        <v/>
      </c>
      <c r="I352" s="559" t="str">
        <f t="shared" si="32"/>
        <v/>
      </c>
    </row>
    <row r="353" spans="2:9">
      <c r="B353" s="555" t="str">
        <f t="shared" si="27"/>
        <v/>
      </c>
      <c r="C353" s="556" t="str">
        <f t="shared" si="28"/>
        <v/>
      </c>
      <c r="D353" s="557" t="str">
        <f t="shared" si="29"/>
        <v/>
      </c>
      <c r="E353" s="560"/>
      <c r="F353" s="559"/>
      <c r="G353" s="559" t="str">
        <f t="shared" si="30"/>
        <v/>
      </c>
      <c r="H353" s="559" t="str">
        <f t="shared" si="31"/>
        <v/>
      </c>
      <c r="I353" s="559" t="str">
        <f t="shared" si="32"/>
        <v/>
      </c>
    </row>
    <row r="354" spans="2:9">
      <c r="B354" s="555" t="str">
        <f t="shared" si="27"/>
        <v/>
      </c>
      <c r="C354" s="556" t="str">
        <f t="shared" si="28"/>
        <v/>
      </c>
      <c r="D354" s="557" t="str">
        <f t="shared" si="29"/>
        <v/>
      </c>
      <c r="E354" s="560"/>
      <c r="F354" s="559"/>
      <c r="G354" s="559" t="str">
        <f t="shared" si="30"/>
        <v/>
      </c>
      <c r="H354" s="559" t="str">
        <f t="shared" si="31"/>
        <v/>
      </c>
      <c r="I354" s="559" t="str">
        <f t="shared" si="32"/>
        <v/>
      </c>
    </row>
    <row r="355" spans="2:9">
      <c r="B355" s="555" t="str">
        <f t="shared" si="27"/>
        <v/>
      </c>
      <c r="C355" s="556" t="str">
        <f t="shared" si="28"/>
        <v/>
      </c>
      <c r="D355" s="557" t="str">
        <f t="shared" si="29"/>
        <v/>
      </c>
      <c r="E355" s="560"/>
      <c r="F355" s="559"/>
      <c r="G355" s="559" t="str">
        <f t="shared" si="30"/>
        <v/>
      </c>
      <c r="H355" s="559" t="str">
        <f t="shared" si="31"/>
        <v/>
      </c>
      <c r="I355" s="559" t="str">
        <f t="shared" si="32"/>
        <v/>
      </c>
    </row>
    <row r="356" spans="2:9">
      <c r="B356" s="555" t="str">
        <f t="shared" si="27"/>
        <v/>
      </c>
      <c r="C356" s="556" t="str">
        <f t="shared" si="28"/>
        <v/>
      </c>
      <c r="D356" s="557" t="str">
        <f t="shared" si="29"/>
        <v/>
      </c>
      <c r="E356" s="560"/>
      <c r="F356" s="559"/>
      <c r="G356" s="559" t="str">
        <f t="shared" si="30"/>
        <v/>
      </c>
      <c r="H356" s="559" t="str">
        <f t="shared" si="31"/>
        <v/>
      </c>
      <c r="I356" s="559" t="str">
        <f t="shared" si="32"/>
        <v/>
      </c>
    </row>
    <row r="357" spans="2:9">
      <c r="B357" s="555" t="str">
        <f t="shared" si="27"/>
        <v/>
      </c>
      <c r="C357" s="556" t="str">
        <f t="shared" si="28"/>
        <v/>
      </c>
      <c r="D357" s="557" t="str">
        <f t="shared" si="29"/>
        <v/>
      </c>
      <c r="E357" s="560"/>
      <c r="F357" s="559"/>
      <c r="G357" s="559" t="str">
        <f t="shared" si="30"/>
        <v/>
      </c>
      <c r="H357" s="559" t="str">
        <f t="shared" si="31"/>
        <v/>
      </c>
      <c r="I357" s="559" t="str">
        <f t="shared" si="32"/>
        <v/>
      </c>
    </row>
    <row r="358" spans="2:9">
      <c r="B358" s="555" t="str">
        <f t="shared" si="27"/>
        <v/>
      </c>
      <c r="C358" s="556" t="str">
        <f t="shared" si="28"/>
        <v/>
      </c>
      <c r="D358" s="557" t="str">
        <f t="shared" si="29"/>
        <v/>
      </c>
      <c r="E358" s="560"/>
      <c r="F358" s="559"/>
      <c r="G358" s="559" t="str">
        <f t="shared" si="30"/>
        <v/>
      </c>
      <c r="H358" s="559" t="str">
        <f t="shared" si="31"/>
        <v/>
      </c>
      <c r="I358" s="559" t="str">
        <f t="shared" si="32"/>
        <v/>
      </c>
    </row>
    <row r="359" spans="2:9">
      <c r="B359" s="555" t="str">
        <f t="shared" si="27"/>
        <v/>
      </c>
      <c r="C359" s="556" t="str">
        <f t="shared" si="28"/>
        <v/>
      </c>
      <c r="D359" s="557" t="str">
        <f t="shared" si="29"/>
        <v/>
      </c>
      <c r="E359" s="560"/>
      <c r="F359" s="559"/>
      <c r="G359" s="559" t="str">
        <f t="shared" si="30"/>
        <v/>
      </c>
      <c r="H359" s="559" t="str">
        <f t="shared" si="31"/>
        <v/>
      </c>
      <c r="I359" s="559" t="str">
        <f t="shared" si="32"/>
        <v/>
      </c>
    </row>
    <row r="360" spans="2:9">
      <c r="B360" s="555" t="str">
        <f t="shared" si="27"/>
        <v/>
      </c>
      <c r="C360" s="556" t="str">
        <f t="shared" si="28"/>
        <v/>
      </c>
      <c r="D360" s="557" t="str">
        <f t="shared" si="29"/>
        <v/>
      </c>
      <c r="E360" s="560"/>
      <c r="F360" s="559"/>
      <c r="G360" s="559" t="str">
        <f t="shared" si="30"/>
        <v/>
      </c>
      <c r="H360" s="559" t="str">
        <f t="shared" si="31"/>
        <v/>
      </c>
      <c r="I360" s="559" t="str">
        <f t="shared" si="32"/>
        <v/>
      </c>
    </row>
    <row r="361" spans="2:9">
      <c r="B361" s="555" t="str">
        <f t="shared" si="27"/>
        <v/>
      </c>
      <c r="C361" s="556" t="str">
        <f t="shared" si="28"/>
        <v/>
      </c>
      <c r="D361" s="557" t="str">
        <f t="shared" si="29"/>
        <v/>
      </c>
      <c r="E361" s="560"/>
      <c r="F361" s="559"/>
      <c r="G361" s="559" t="str">
        <f t="shared" si="30"/>
        <v/>
      </c>
      <c r="H361" s="559" t="str">
        <f t="shared" si="31"/>
        <v/>
      </c>
      <c r="I361" s="559" t="str">
        <f t="shared" si="32"/>
        <v/>
      </c>
    </row>
    <row r="362" spans="2:9">
      <c r="B362" s="555" t="str">
        <f t="shared" si="27"/>
        <v/>
      </c>
      <c r="C362" s="556" t="str">
        <f t="shared" si="28"/>
        <v/>
      </c>
      <c r="D362" s="557" t="str">
        <f t="shared" si="29"/>
        <v/>
      </c>
      <c r="E362" s="560"/>
      <c r="F362" s="559"/>
      <c r="G362" s="559" t="str">
        <f t="shared" si="30"/>
        <v/>
      </c>
      <c r="H362" s="559" t="str">
        <f t="shared" si="31"/>
        <v/>
      </c>
      <c r="I362" s="559" t="str">
        <f t="shared" si="32"/>
        <v/>
      </c>
    </row>
    <row r="363" spans="2:9">
      <c r="B363" s="555" t="str">
        <f t="shared" si="27"/>
        <v/>
      </c>
      <c r="C363" s="556" t="str">
        <f t="shared" si="28"/>
        <v/>
      </c>
      <c r="D363" s="557" t="str">
        <f t="shared" si="29"/>
        <v/>
      </c>
      <c r="E363" s="560"/>
      <c r="F363" s="559"/>
      <c r="G363" s="559" t="str">
        <f t="shared" si="30"/>
        <v/>
      </c>
      <c r="H363" s="559" t="str">
        <f t="shared" si="31"/>
        <v/>
      </c>
      <c r="I363" s="559" t="str">
        <f t="shared" si="32"/>
        <v/>
      </c>
    </row>
    <row r="364" spans="2:9">
      <c r="B364" s="555" t="str">
        <f t="shared" si="27"/>
        <v/>
      </c>
      <c r="C364" s="556" t="str">
        <f t="shared" si="28"/>
        <v/>
      </c>
      <c r="D364" s="557" t="str">
        <f t="shared" si="29"/>
        <v/>
      </c>
      <c r="E364" s="560"/>
      <c r="F364" s="559"/>
      <c r="G364" s="559" t="str">
        <f t="shared" si="30"/>
        <v/>
      </c>
      <c r="H364" s="559" t="str">
        <f t="shared" si="31"/>
        <v/>
      </c>
      <c r="I364" s="559" t="str">
        <f t="shared" si="32"/>
        <v/>
      </c>
    </row>
    <row r="365" spans="2:9">
      <c r="B365" s="555" t="str">
        <f t="shared" si="27"/>
        <v/>
      </c>
      <c r="C365" s="556" t="str">
        <f t="shared" si="28"/>
        <v/>
      </c>
      <c r="D365" s="557" t="str">
        <f t="shared" si="29"/>
        <v/>
      </c>
      <c r="E365" s="560"/>
      <c r="F365" s="559"/>
      <c r="G365" s="559" t="str">
        <f t="shared" si="30"/>
        <v/>
      </c>
      <c r="H365" s="559" t="str">
        <f t="shared" si="31"/>
        <v/>
      </c>
      <c r="I365" s="559" t="str">
        <f t="shared" si="32"/>
        <v/>
      </c>
    </row>
    <row r="366" spans="2:9">
      <c r="B366" s="555" t="str">
        <f t="shared" si="27"/>
        <v/>
      </c>
      <c r="C366" s="556" t="str">
        <f t="shared" si="28"/>
        <v/>
      </c>
      <c r="D366" s="557" t="str">
        <f t="shared" si="29"/>
        <v/>
      </c>
      <c r="E366" s="560"/>
      <c r="F366" s="559"/>
      <c r="G366" s="559" t="str">
        <f t="shared" si="30"/>
        <v/>
      </c>
      <c r="H366" s="559" t="str">
        <f t="shared" si="31"/>
        <v/>
      </c>
      <c r="I366" s="559" t="str">
        <f t="shared" si="32"/>
        <v/>
      </c>
    </row>
    <row r="367" spans="2:9">
      <c r="B367" s="555" t="str">
        <f t="shared" si="27"/>
        <v/>
      </c>
      <c r="C367" s="556" t="str">
        <f t="shared" si="28"/>
        <v/>
      </c>
      <c r="D367" s="557" t="str">
        <f t="shared" si="29"/>
        <v/>
      </c>
      <c r="E367" s="560"/>
      <c r="F367" s="559"/>
      <c r="G367" s="559" t="str">
        <f t="shared" si="30"/>
        <v/>
      </c>
      <c r="H367" s="559" t="str">
        <f t="shared" si="31"/>
        <v/>
      </c>
      <c r="I367" s="559" t="str">
        <f t="shared" si="32"/>
        <v/>
      </c>
    </row>
    <row r="368" spans="2:9">
      <c r="B368" s="555" t="str">
        <f t="shared" si="27"/>
        <v/>
      </c>
      <c r="C368" s="556" t="str">
        <f t="shared" si="28"/>
        <v/>
      </c>
      <c r="D368" s="557" t="str">
        <f t="shared" si="29"/>
        <v/>
      </c>
      <c r="E368" s="560"/>
      <c r="F368" s="559"/>
      <c r="G368" s="559" t="str">
        <f t="shared" si="30"/>
        <v/>
      </c>
      <c r="H368" s="559" t="str">
        <f t="shared" si="31"/>
        <v/>
      </c>
      <c r="I368" s="559" t="str">
        <f t="shared" si="32"/>
        <v/>
      </c>
    </row>
    <row r="369" spans="2:9">
      <c r="B369" s="555" t="str">
        <f t="shared" si="27"/>
        <v/>
      </c>
      <c r="C369" s="556" t="str">
        <f t="shared" si="28"/>
        <v/>
      </c>
      <c r="D369" s="557" t="str">
        <f t="shared" si="29"/>
        <v/>
      </c>
      <c r="E369" s="560"/>
      <c r="F369" s="559"/>
      <c r="G369" s="559" t="str">
        <f t="shared" si="30"/>
        <v/>
      </c>
      <c r="H369" s="559" t="str">
        <f t="shared" si="31"/>
        <v/>
      </c>
      <c r="I369" s="559" t="str">
        <f t="shared" si="32"/>
        <v/>
      </c>
    </row>
    <row r="370" spans="2:9">
      <c r="B370" s="555" t="str">
        <f t="shared" si="27"/>
        <v/>
      </c>
      <c r="C370" s="556" t="str">
        <f t="shared" si="28"/>
        <v/>
      </c>
      <c r="D370" s="557" t="str">
        <f t="shared" si="29"/>
        <v/>
      </c>
      <c r="E370" s="560"/>
      <c r="F370" s="559"/>
      <c r="G370" s="559" t="str">
        <f t="shared" si="30"/>
        <v/>
      </c>
      <c r="H370" s="559" t="str">
        <f t="shared" si="31"/>
        <v/>
      </c>
      <c r="I370" s="559" t="str">
        <f t="shared" si="32"/>
        <v/>
      </c>
    </row>
    <row r="371" spans="2:9">
      <c r="B371" s="555" t="str">
        <f t="shared" si="27"/>
        <v/>
      </c>
      <c r="C371" s="556" t="str">
        <f t="shared" si="28"/>
        <v/>
      </c>
      <c r="D371" s="557" t="str">
        <f t="shared" si="29"/>
        <v/>
      </c>
      <c r="E371" s="560"/>
      <c r="F371" s="559"/>
      <c r="G371" s="559" t="str">
        <f t="shared" si="30"/>
        <v/>
      </c>
      <c r="H371" s="559" t="str">
        <f t="shared" si="31"/>
        <v/>
      </c>
      <c r="I371" s="559" t="str">
        <f t="shared" si="32"/>
        <v/>
      </c>
    </row>
    <row r="372" spans="2:9">
      <c r="B372" s="555" t="str">
        <f t="shared" si="27"/>
        <v/>
      </c>
      <c r="C372" s="556" t="str">
        <f t="shared" si="28"/>
        <v/>
      </c>
      <c r="D372" s="557" t="str">
        <f t="shared" si="29"/>
        <v/>
      </c>
      <c r="E372" s="560"/>
      <c r="F372" s="559"/>
      <c r="G372" s="559" t="str">
        <f t="shared" si="30"/>
        <v/>
      </c>
      <c r="H372" s="559" t="str">
        <f t="shared" si="31"/>
        <v/>
      </c>
      <c r="I372" s="559" t="str">
        <f t="shared" si="32"/>
        <v/>
      </c>
    </row>
    <row r="373" spans="2:9">
      <c r="B373" s="555" t="str">
        <f t="shared" si="27"/>
        <v/>
      </c>
      <c r="C373" s="556" t="str">
        <f t="shared" si="28"/>
        <v/>
      </c>
      <c r="D373" s="557" t="str">
        <f t="shared" si="29"/>
        <v/>
      </c>
      <c r="E373" s="560"/>
      <c r="F373" s="559"/>
      <c r="G373" s="559" t="str">
        <f t="shared" si="30"/>
        <v/>
      </c>
      <c r="H373" s="559" t="str">
        <f t="shared" si="31"/>
        <v/>
      </c>
      <c r="I373" s="559" t="str">
        <f t="shared" si="32"/>
        <v/>
      </c>
    </row>
    <row r="374" spans="2:9">
      <c r="B374" s="555" t="str">
        <f t="shared" si="27"/>
        <v/>
      </c>
      <c r="C374" s="556" t="str">
        <f t="shared" si="28"/>
        <v/>
      </c>
      <c r="D374" s="557" t="str">
        <f t="shared" si="29"/>
        <v/>
      </c>
      <c r="E374" s="560"/>
      <c r="F374" s="559"/>
      <c r="G374" s="559" t="str">
        <f t="shared" si="30"/>
        <v/>
      </c>
      <c r="H374" s="559" t="str">
        <f t="shared" si="31"/>
        <v/>
      </c>
      <c r="I374" s="559" t="str">
        <f t="shared" si="32"/>
        <v/>
      </c>
    </row>
    <row r="375" spans="2:9">
      <c r="B375" s="555" t="str">
        <f t="shared" si="27"/>
        <v/>
      </c>
      <c r="C375" s="556" t="str">
        <f t="shared" si="28"/>
        <v/>
      </c>
      <c r="D375" s="557" t="str">
        <f t="shared" si="29"/>
        <v/>
      </c>
      <c r="E375" s="560"/>
      <c r="F375" s="559"/>
      <c r="G375" s="559" t="str">
        <f t="shared" si="30"/>
        <v/>
      </c>
      <c r="H375" s="559" t="str">
        <f t="shared" si="31"/>
        <v/>
      </c>
      <c r="I375" s="559" t="str">
        <f t="shared" si="32"/>
        <v/>
      </c>
    </row>
    <row r="376" spans="2:9">
      <c r="B376" s="555" t="str">
        <f t="shared" si="27"/>
        <v/>
      </c>
      <c r="C376" s="556" t="str">
        <f t="shared" si="28"/>
        <v/>
      </c>
      <c r="D376" s="557" t="str">
        <f t="shared" si="29"/>
        <v/>
      </c>
      <c r="E376" s="560"/>
      <c r="F376" s="559"/>
      <c r="G376" s="559" t="str">
        <f t="shared" si="30"/>
        <v/>
      </c>
      <c r="H376" s="559" t="str">
        <f t="shared" si="31"/>
        <v/>
      </c>
      <c r="I376" s="559" t="str">
        <f t="shared" si="32"/>
        <v/>
      </c>
    </row>
    <row r="377" spans="2:9">
      <c r="B377" s="555" t="str">
        <f t="shared" si="27"/>
        <v/>
      </c>
      <c r="C377" s="556" t="str">
        <f t="shared" si="28"/>
        <v/>
      </c>
      <c r="D377" s="557" t="str">
        <f t="shared" si="29"/>
        <v/>
      </c>
      <c r="E377" s="560"/>
      <c r="F377" s="559"/>
      <c r="G377" s="559" t="str">
        <f t="shared" si="30"/>
        <v/>
      </c>
      <c r="H377" s="559" t="str">
        <f t="shared" si="31"/>
        <v/>
      </c>
      <c r="I377" s="559" t="str">
        <f t="shared" si="32"/>
        <v/>
      </c>
    </row>
    <row r="378" spans="2:9">
      <c r="B378" s="555" t="str">
        <f t="shared" si="27"/>
        <v/>
      </c>
      <c r="C378" s="556" t="str">
        <f t="shared" si="28"/>
        <v/>
      </c>
      <c r="D378" s="557" t="str">
        <f t="shared" si="29"/>
        <v/>
      </c>
      <c r="E378" s="560"/>
      <c r="F378" s="559"/>
      <c r="G378" s="559" t="str">
        <f t="shared" si="30"/>
        <v/>
      </c>
      <c r="H378" s="559" t="str">
        <f t="shared" si="31"/>
        <v/>
      </c>
      <c r="I378" s="559" t="str">
        <f t="shared" si="32"/>
        <v/>
      </c>
    </row>
    <row r="379" spans="2:9">
      <c r="B379" s="555" t="str">
        <f t="shared" si="27"/>
        <v/>
      </c>
      <c r="C379" s="556" t="str">
        <f t="shared" si="28"/>
        <v/>
      </c>
      <c r="D379" s="557" t="str">
        <f t="shared" si="29"/>
        <v/>
      </c>
      <c r="E379" s="560"/>
      <c r="F379" s="559"/>
      <c r="G379" s="559" t="str">
        <f t="shared" si="30"/>
        <v/>
      </c>
      <c r="H379" s="559" t="str">
        <f t="shared" si="31"/>
        <v/>
      </c>
      <c r="I379" s="559" t="str">
        <f t="shared" si="32"/>
        <v/>
      </c>
    </row>
    <row r="380" spans="2:9">
      <c r="B380" s="555" t="str">
        <f t="shared" si="27"/>
        <v/>
      </c>
      <c r="C380" s="556" t="str">
        <f t="shared" si="28"/>
        <v/>
      </c>
      <c r="D380" s="557" t="str">
        <f t="shared" si="29"/>
        <v/>
      </c>
      <c r="E380" s="560"/>
      <c r="F380" s="559"/>
      <c r="G380" s="559" t="str">
        <f t="shared" si="30"/>
        <v/>
      </c>
      <c r="H380" s="559" t="str">
        <f t="shared" si="31"/>
        <v/>
      </c>
      <c r="I380" s="559" t="str">
        <f t="shared" si="32"/>
        <v/>
      </c>
    </row>
    <row r="381" spans="2:9">
      <c r="B381" s="555" t="str">
        <f t="shared" ref="B381:B444" si="33">IF(I380="","",IF(roundOpt,IF(OR(B380&gt;=nper,ROUND(I380,2)&lt;=0),"",B380+1),IF(OR(B380&gt;=nper,I380&lt;=0),"",B380+1)))</f>
        <v/>
      </c>
      <c r="C381" s="556" t="str">
        <f t="shared" ref="C381:C444" si="34">IF(B381="","",IF(OR(periods_per_year=26,periods_per_year=52),IF(periods_per_year=26,IF(B381=1,fpdate,C380+14),IF(periods_per_year=52,IF(B381=1,fpdate,C380+7),"n/a")),IF(periods_per_year=24,DATE(YEAR(fpdate),MONTH(fpdate)+(B381-1)/2+IF(AND(DAY(fpdate)&gt;=15,MOD(B381,2)=0),1,0),IF(MOD(B381,2)=0,IF(DAY(fpdate)&gt;=15,DAY(fpdate)-14,DAY(fpdate)+14),DAY(fpdate))),IF(DAY(DATE(YEAR(fpdate),MONTH(fpdate)+(B381-1)*months_per_period,DAY(fpdate)))&lt;&gt;DAY(fpdate),DATE(YEAR(fpdate),MONTH(fpdate)+(B381-1)*months_per_period+1,0),DATE(YEAR(fpdate),MONTH(fpdate)+(B381-1)*months_per_period,DAY(fpdate))))))</f>
        <v/>
      </c>
      <c r="D381" s="557" t="str">
        <f t="shared" ref="D381:D444" si="35">IF(B381="","",IF(roundOpt,IF(OR(B381=nper,payment&gt;ROUND((1+rate)*I380,2)),ROUND((1+rate)*I380,2),payment),IF(OR(B381=nper,payment&gt;(1+rate)*I380),(1+rate)*I380,payment)))</f>
        <v/>
      </c>
      <c r="E381" s="560"/>
      <c r="F381" s="559"/>
      <c r="G381" s="559" t="str">
        <f t="shared" ref="G381:G444" si="36">IF(B381="","",IF(AND(B381=1,pmtType=1),0,IF(roundOpt,ROUND(rate*I380,2),rate*I380)))</f>
        <v/>
      </c>
      <c r="H381" s="559" t="str">
        <f t="shared" ref="H381:H444" si="37">IF(B381="","",D381-G381+E381)</f>
        <v/>
      </c>
      <c r="I381" s="559" t="str">
        <f t="shared" ref="I381:I444" si="38">IF(B381="","",I380-H381)</f>
        <v/>
      </c>
    </row>
    <row r="382" spans="2:9">
      <c r="B382" s="555" t="str">
        <f t="shared" si="33"/>
        <v/>
      </c>
      <c r="C382" s="556" t="str">
        <f t="shared" si="34"/>
        <v/>
      </c>
      <c r="D382" s="557" t="str">
        <f t="shared" si="35"/>
        <v/>
      </c>
      <c r="E382" s="560"/>
      <c r="F382" s="559"/>
      <c r="G382" s="559" t="str">
        <f t="shared" si="36"/>
        <v/>
      </c>
      <c r="H382" s="559" t="str">
        <f t="shared" si="37"/>
        <v/>
      </c>
      <c r="I382" s="559" t="str">
        <f t="shared" si="38"/>
        <v/>
      </c>
    </row>
    <row r="383" spans="2:9">
      <c r="B383" s="555" t="str">
        <f t="shared" si="33"/>
        <v/>
      </c>
      <c r="C383" s="556" t="str">
        <f t="shared" si="34"/>
        <v/>
      </c>
      <c r="D383" s="557" t="str">
        <f t="shared" si="35"/>
        <v/>
      </c>
      <c r="E383" s="560"/>
      <c r="F383" s="559"/>
      <c r="G383" s="559" t="str">
        <f t="shared" si="36"/>
        <v/>
      </c>
      <c r="H383" s="559" t="str">
        <f t="shared" si="37"/>
        <v/>
      </c>
      <c r="I383" s="559" t="str">
        <f t="shared" si="38"/>
        <v/>
      </c>
    </row>
    <row r="384" spans="2:9">
      <c r="B384" s="555" t="str">
        <f t="shared" si="33"/>
        <v/>
      </c>
      <c r="C384" s="556" t="str">
        <f t="shared" si="34"/>
        <v/>
      </c>
      <c r="D384" s="557" t="str">
        <f t="shared" si="35"/>
        <v/>
      </c>
      <c r="E384" s="560"/>
      <c r="F384" s="559"/>
      <c r="G384" s="559" t="str">
        <f t="shared" si="36"/>
        <v/>
      </c>
      <c r="H384" s="559" t="str">
        <f t="shared" si="37"/>
        <v/>
      </c>
      <c r="I384" s="559" t="str">
        <f t="shared" si="38"/>
        <v/>
      </c>
    </row>
    <row r="385" spans="2:9">
      <c r="B385" s="555" t="str">
        <f t="shared" si="33"/>
        <v/>
      </c>
      <c r="C385" s="556" t="str">
        <f t="shared" si="34"/>
        <v/>
      </c>
      <c r="D385" s="557" t="str">
        <f t="shared" si="35"/>
        <v/>
      </c>
      <c r="E385" s="560"/>
      <c r="F385" s="559"/>
      <c r="G385" s="559" t="str">
        <f t="shared" si="36"/>
        <v/>
      </c>
      <c r="H385" s="559" t="str">
        <f t="shared" si="37"/>
        <v/>
      </c>
      <c r="I385" s="559" t="str">
        <f t="shared" si="38"/>
        <v/>
      </c>
    </row>
    <row r="386" spans="2:9">
      <c r="B386" s="555" t="str">
        <f t="shared" si="33"/>
        <v/>
      </c>
      <c r="C386" s="556" t="str">
        <f t="shared" si="34"/>
        <v/>
      </c>
      <c r="D386" s="557" t="str">
        <f t="shared" si="35"/>
        <v/>
      </c>
      <c r="E386" s="560"/>
      <c r="F386" s="559"/>
      <c r="G386" s="559" t="str">
        <f t="shared" si="36"/>
        <v/>
      </c>
      <c r="H386" s="559" t="str">
        <f t="shared" si="37"/>
        <v/>
      </c>
      <c r="I386" s="559" t="str">
        <f t="shared" si="38"/>
        <v/>
      </c>
    </row>
    <row r="387" spans="2:9">
      <c r="B387" s="555" t="str">
        <f t="shared" si="33"/>
        <v/>
      </c>
      <c r="C387" s="556" t="str">
        <f t="shared" si="34"/>
        <v/>
      </c>
      <c r="D387" s="557" t="str">
        <f t="shared" si="35"/>
        <v/>
      </c>
      <c r="E387" s="560"/>
      <c r="F387" s="559"/>
      <c r="G387" s="559" t="str">
        <f t="shared" si="36"/>
        <v/>
      </c>
      <c r="H387" s="559" t="str">
        <f t="shared" si="37"/>
        <v/>
      </c>
      <c r="I387" s="559" t="str">
        <f t="shared" si="38"/>
        <v/>
      </c>
    </row>
    <row r="388" spans="2:9">
      <c r="B388" s="555" t="str">
        <f t="shared" si="33"/>
        <v/>
      </c>
      <c r="C388" s="556" t="str">
        <f t="shared" si="34"/>
        <v/>
      </c>
      <c r="D388" s="557" t="str">
        <f t="shared" si="35"/>
        <v/>
      </c>
      <c r="E388" s="560"/>
      <c r="F388" s="559"/>
      <c r="G388" s="559" t="str">
        <f t="shared" si="36"/>
        <v/>
      </c>
      <c r="H388" s="559" t="str">
        <f t="shared" si="37"/>
        <v/>
      </c>
      <c r="I388" s="559" t="str">
        <f t="shared" si="38"/>
        <v/>
      </c>
    </row>
    <row r="389" spans="2:9">
      <c r="B389" s="555" t="str">
        <f t="shared" si="33"/>
        <v/>
      </c>
      <c r="C389" s="556" t="str">
        <f t="shared" si="34"/>
        <v/>
      </c>
      <c r="D389" s="557" t="str">
        <f t="shared" si="35"/>
        <v/>
      </c>
      <c r="E389" s="560"/>
      <c r="F389" s="559"/>
      <c r="G389" s="559" t="str">
        <f t="shared" si="36"/>
        <v/>
      </c>
      <c r="H389" s="559" t="str">
        <f t="shared" si="37"/>
        <v/>
      </c>
      <c r="I389" s="559" t="str">
        <f t="shared" si="38"/>
        <v/>
      </c>
    </row>
    <row r="390" spans="2:9">
      <c r="B390" s="555" t="str">
        <f t="shared" si="33"/>
        <v/>
      </c>
      <c r="C390" s="556" t="str">
        <f t="shared" si="34"/>
        <v/>
      </c>
      <c r="D390" s="557" t="str">
        <f t="shared" si="35"/>
        <v/>
      </c>
      <c r="E390" s="560"/>
      <c r="F390" s="559"/>
      <c r="G390" s="559" t="str">
        <f t="shared" si="36"/>
        <v/>
      </c>
      <c r="H390" s="559" t="str">
        <f t="shared" si="37"/>
        <v/>
      </c>
      <c r="I390" s="559" t="str">
        <f t="shared" si="38"/>
        <v/>
      </c>
    </row>
    <row r="391" spans="2:9">
      <c r="B391" s="555" t="str">
        <f t="shared" si="33"/>
        <v/>
      </c>
      <c r="C391" s="556" t="str">
        <f t="shared" si="34"/>
        <v/>
      </c>
      <c r="D391" s="557" t="str">
        <f t="shared" si="35"/>
        <v/>
      </c>
      <c r="E391" s="560"/>
      <c r="F391" s="559"/>
      <c r="G391" s="559" t="str">
        <f t="shared" si="36"/>
        <v/>
      </c>
      <c r="H391" s="559" t="str">
        <f t="shared" si="37"/>
        <v/>
      </c>
      <c r="I391" s="559" t="str">
        <f t="shared" si="38"/>
        <v/>
      </c>
    </row>
    <row r="392" spans="2:9">
      <c r="B392" s="555" t="str">
        <f t="shared" si="33"/>
        <v/>
      </c>
      <c r="C392" s="556" t="str">
        <f t="shared" si="34"/>
        <v/>
      </c>
      <c r="D392" s="557" t="str">
        <f t="shared" si="35"/>
        <v/>
      </c>
      <c r="E392" s="560"/>
      <c r="F392" s="559"/>
      <c r="G392" s="559" t="str">
        <f t="shared" si="36"/>
        <v/>
      </c>
      <c r="H392" s="559" t="str">
        <f t="shared" si="37"/>
        <v/>
      </c>
      <c r="I392" s="559" t="str">
        <f t="shared" si="38"/>
        <v/>
      </c>
    </row>
    <row r="393" spans="2:9">
      <c r="B393" s="555" t="str">
        <f t="shared" si="33"/>
        <v/>
      </c>
      <c r="C393" s="556" t="str">
        <f t="shared" si="34"/>
        <v/>
      </c>
      <c r="D393" s="557" t="str">
        <f t="shared" si="35"/>
        <v/>
      </c>
      <c r="E393" s="560"/>
      <c r="F393" s="559"/>
      <c r="G393" s="559" t="str">
        <f t="shared" si="36"/>
        <v/>
      </c>
      <c r="H393" s="559" t="str">
        <f t="shared" si="37"/>
        <v/>
      </c>
      <c r="I393" s="559" t="str">
        <f t="shared" si="38"/>
        <v/>
      </c>
    </row>
    <row r="394" spans="2:9">
      <c r="B394" s="555" t="str">
        <f t="shared" si="33"/>
        <v/>
      </c>
      <c r="C394" s="556" t="str">
        <f t="shared" si="34"/>
        <v/>
      </c>
      <c r="D394" s="557" t="str">
        <f t="shared" si="35"/>
        <v/>
      </c>
      <c r="E394" s="560"/>
      <c r="F394" s="559"/>
      <c r="G394" s="559" t="str">
        <f t="shared" si="36"/>
        <v/>
      </c>
      <c r="H394" s="559" t="str">
        <f t="shared" si="37"/>
        <v/>
      </c>
      <c r="I394" s="559" t="str">
        <f t="shared" si="38"/>
        <v/>
      </c>
    </row>
    <row r="395" spans="2:9">
      <c r="B395" s="555" t="str">
        <f t="shared" si="33"/>
        <v/>
      </c>
      <c r="C395" s="556" t="str">
        <f t="shared" si="34"/>
        <v/>
      </c>
      <c r="D395" s="557" t="str">
        <f t="shared" si="35"/>
        <v/>
      </c>
      <c r="E395" s="560"/>
      <c r="F395" s="559"/>
      <c r="G395" s="559" t="str">
        <f t="shared" si="36"/>
        <v/>
      </c>
      <c r="H395" s="559" t="str">
        <f t="shared" si="37"/>
        <v/>
      </c>
      <c r="I395" s="559" t="str">
        <f t="shared" si="38"/>
        <v/>
      </c>
    </row>
    <row r="396" spans="2:9">
      <c r="B396" s="555" t="str">
        <f t="shared" si="33"/>
        <v/>
      </c>
      <c r="C396" s="556" t="str">
        <f t="shared" si="34"/>
        <v/>
      </c>
      <c r="D396" s="557" t="str">
        <f t="shared" si="35"/>
        <v/>
      </c>
      <c r="E396" s="560"/>
      <c r="F396" s="559"/>
      <c r="G396" s="559" t="str">
        <f t="shared" si="36"/>
        <v/>
      </c>
      <c r="H396" s="559" t="str">
        <f t="shared" si="37"/>
        <v/>
      </c>
      <c r="I396" s="559" t="str">
        <f t="shared" si="38"/>
        <v/>
      </c>
    </row>
    <row r="397" spans="2:9">
      <c r="B397" s="555" t="str">
        <f t="shared" si="33"/>
        <v/>
      </c>
      <c r="C397" s="556" t="str">
        <f t="shared" si="34"/>
        <v/>
      </c>
      <c r="D397" s="557" t="str">
        <f t="shared" si="35"/>
        <v/>
      </c>
      <c r="E397" s="560"/>
      <c r="F397" s="559"/>
      <c r="G397" s="559" t="str">
        <f t="shared" si="36"/>
        <v/>
      </c>
      <c r="H397" s="559" t="str">
        <f t="shared" si="37"/>
        <v/>
      </c>
      <c r="I397" s="559" t="str">
        <f t="shared" si="38"/>
        <v/>
      </c>
    </row>
    <row r="398" spans="2:9">
      <c r="B398" s="555" t="str">
        <f t="shared" si="33"/>
        <v/>
      </c>
      <c r="C398" s="556" t="str">
        <f t="shared" si="34"/>
        <v/>
      </c>
      <c r="D398" s="557" t="str">
        <f t="shared" si="35"/>
        <v/>
      </c>
      <c r="E398" s="560"/>
      <c r="F398" s="559"/>
      <c r="G398" s="559" t="str">
        <f t="shared" si="36"/>
        <v/>
      </c>
      <c r="H398" s="559" t="str">
        <f t="shared" si="37"/>
        <v/>
      </c>
      <c r="I398" s="559" t="str">
        <f t="shared" si="38"/>
        <v/>
      </c>
    </row>
    <row r="399" spans="2:9">
      <c r="B399" s="555" t="str">
        <f t="shared" si="33"/>
        <v/>
      </c>
      <c r="C399" s="556" t="str">
        <f t="shared" si="34"/>
        <v/>
      </c>
      <c r="D399" s="557" t="str">
        <f t="shared" si="35"/>
        <v/>
      </c>
      <c r="E399" s="560"/>
      <c r="F399" s="559"/>
      <c r="G399" s="559" t="str">
        <f t="shared" si="36"/>
        <v/>
      </c>
      <c r="H399" s="559" t="str">
        <f t="shared" si="37"/>
        <v/>
      </c>
      <c r="I399" s="559" t="str">
        <f t="shared" si="38"/>
        <v/>
      </c>
    </row>
    <row r="400" spans="2:9">
      <c r="B400" s="555" t="str">
        <f t="shared" si="33"/>
        <v/>
      </c>
      <c r="C400" s="556" t="str">
        <f t="shared" si="34"/>
        <v/>
      </c>
      <c r="D400" s="557" t="str">
        <f t="shared" si="35"/>
        <v/>
      </c>
      <c r="E400" s="560"/>
      <c r="F400" s="559"/>
      <c r="G400" s="559" t="str">
        <f t="shared" si="36"/>
        <v/>
      </c>
      <c r="H400" s="559" t="str">
        <f t="shared" si="37"/>
        <v/>
      </c>
      <c r="I400" s="559" t="str">
        <f t="shared" si="38"/>
        <v/>
      </c>
    </row>
    <row r="401" spans="2:9">
      <c r="B401" s="555" t="str">
        <f t="shared" si="33"/>
        <v/>
      </c>
      <c r="C401" s="556" t="str">
        <f t="shared" si="34"/>
        <v/>
      </c>
      <c r="D401" s="557" t="str">
        <f t="shared" si="35"/>
        <v/>
      </c>
      <c r="E401" s="560"/>
      <c r="F401" s="559"/>
      <c r="G401" s="559" t="str">
        <f t="shared" si="36"/>
        <v/>
      </c>
      <c r="H401" s="559" t="str">
        <f t="shared" si="37"/>
        <v/>
      </c>
      <c r="I401" s="559" t="str">
        <f t="shared" si="38"/>
        <v/>
      </c>
    </row>
    <row r="402" spans="2:9">
      <c r="B402" s="555" t="str">
        <f t="shared" si="33"/>
        <v/>
      </c>
      <c r="C402" s="556" t="str">
        <f t="shared" si="34"/>
        <v/>
      </c>
      <c r="D402" s="557" t="str">
        <f t="shared" si="35"/>
        <v/>
      </c>
      <c r="E402" s="560"/>
      <c r="F402" s="559"/>
      <c r="G402" s="559" t="str">
        <f t="shared" si="36"/>
        <v/>
      </c>
      <c r="H402" s="559" t="str">
        <f t="shared" si="37"/>
        <v/>
      </c>
      <c r="I402" s="559" t="str">
        <f t="shared" si="38"/>
        <v/>
      </c>
    </row>
    <row r="403" spans="2:9">
      <c r="B403" s="555" t="str">
        <f t="shared" si="33"/>
        <v/>
      </c>
      <c r="C403" s="556" t="str">
        <f t="shared" si="34"/>
        <v/>
      </c>
      <c r="D403" s="557" t="str">
        <f t="shared" si="35"/>
        <v/>
      </c>
      <c r="E403" s="560"/>
      <c r="F403" s="559"/>
      <c r="G403" s="559" t="str">
        <f t="shared" si="36"/>
        <v/>
      </c>
      <c r="H403" s="559" t="str">
        <f t="shared" si="37"/>
        <v/>
      </c>
      <c r="I403" s="559" t="str">
        <f t="shared" si="38"/>
        <v/>
      </c>
    </row>
    <row r="404" spans="2:9">
      <c r="B404" s="555" t="str">
        <f t="shared" si="33"/>
        <v/>
      </c>
      <c r="C404" s="556" t="str">
        <f t="shared" si="34"/>
        <v/>
      </c>
      <c r="D404" s="557" t="str">
        <f t="shared" si="35"/>
        <v/>
      </c>
      <c r="E404" s="560"/>
      <c r="F404" s="559"/>
      <c r="G404" s="559" t="str">
        <f t="shared" si="36"/>
        <v/>
      </c>
      <c r="H404" s="559" t="str">
        <f t="shared" si="37"/>
        <v/>
      </c>
      <c r="I404" s="559" t="str">
        <f t="shared" si="38"/>
        <v/>
      </c>
    </row>
    <row r="405" spans="2:9">
      <c r="B405" s="555" t="str">
        <f t="shared" si="33"/>
        <v/>
      </c>
      <c r="C405" s="556" t="str">
        <f t="shared" si="34"/>
        <v/>
      </c>
      <c r="D405" s="557" t="str">
        <f t="shared" si="35"/>
        <v/>
      </c>
      <c r="E405" s="560"/>
      <c r="F405" s="559"/>
      <c r="G405" s="559" t="str">
        <f t="shared" si="36"/>
        <v/>
      </c>
      <c r="H405" s="559" t="str">
        <f t="shared" si="37"/>
        <v/>
      </c>
      <c r="I405" s="559" t="str">
        <f t="shared" si="38"/>
        <v/>
      </c>
    </row>
    <row r="406" spans="2:9">
      <c r="B406" s="555" t="str">
        <f t="shared" si="33"/>
        <v/>
      </c>
      <c r="C406" s="556" t="str">
        <f t="shared" si="34"/>
        <v/>
      </c>
      <c r="D406" s="557" t="str">
        <f t="shared" si="35"/>
        <v/>
      </c>
      <c r="E406" s="560"/>
      <c r="F406" s="559"/>
      <c r="G406" s="559" t="str">
        <f t="shared" si="36"/>
        <v/>
      </c>
      <c r="H406" s="559" t="str">
        <f t="shared" si="37"/>
        <v/>
      </c>
      <c r="I406" s="559" t="str">
        <f t="shared" si="38"/>
        <v/>
      </c>
    </row>
    <row r="407" spans="2:9">
      <c r="B407" s="555" t="str">
        <f t="shared" si="33"/>
        <v/>
      </c>
      <c r="C407" s="556" t="str">
        <f t="shared" si="34"/>
        <v/>
      </c>
      <c r="D407" s="557" t="str">
        <f t="shared" si="35"/>
        <v/>
      </c>
      <c r="E407" s="560"/>
      <c r="F407" s="559"/>
      <c r="G407" s="559" t="str">
        <f t="shared" si="36"/>
        <v/>
      </c>
      <c r="H407" s="559" t="str">
        <f t="shared" si="37"/>
        <v/>
      </c>
      <c r="I407" s="559" t="str">
        <f t="shared" si="38"/>
        <v/>
      </c>
    </row>
    <row r="408" spans="2:9">
      <c r="B408" s="555" t="str">
        <f t="shared" si="33"/>
        <v/>
      </c>
      <c r="C408" s="556" t="str">
        <f t="shared" si="34"/>
        <v/>
      </c>
      <c r="D408" s="557" t="str">
        <f t="shared" si="35"/>
        <v/>
      </c>
      <c r="E408" s="560"/>
      <c r="F408" s="559"/>
      <c r="G408" s="559" t="str">
        <f t="shared" si="36"/>
        <v/>
      </c>
      <c r="H408" s="559" t="str">
        <f t="shared" si="37"/>
        <v/>
      </c>
      <c r="I408" s="559" t="str">
        <f t="shared" si="38"/>
        <v/>
      </c>
    </row>
    <row r="409" spans="2:9">
      <c r="B409" s="555" t="str">
        <f t="shared" si="33"/>
        <v/>
      </c>
      <c r="C409" s="556" t="str">
        <f t="shared" si="34"/>
        <v/>
      </c>
      <c r="D409" s="557" t="str">
        <f t="shared" si="35"/>
        <v/>
      </c>
      <c r="E409" s="560"/>
      <c r="F409" s="559"/>
      <c r="G409" s="559" t="str">
        <f t="shared" si="36"/>
        <v/>
      </c>
      <c r="H409" s="559" t="str">
        <f t="shared" si="37"/>
        <v/>
      </c>
      <c r="I409" s="559" t="str">
        <f t="shared" si="38"/>
        <v/>
      </c>
    </row>
    <row r="410" spans="2:9">
      <c r="B410" s="555" t="str">
        <f t="shared" si="33"/>
        <v/>
      </c>
      <c r="C410" s="556" t="str">
        <f t="shared" si="34"/>
        <v/>
      </c>
      <c r="D410" s="557" t="str">
        <f t="shared" si="35"/>
        <v/>
      </c>
      <c r="E410" s="560"/>
      <c r="F410" s="559"/>
      <c r="G410" s="559" t="str">
        <f t="shared" si="36"/>
        <v/>
      </c>
      <c r="H410" s="559" t="str">
        <f t="shared" si="37"/>
        <v/>
      </c>
      <c r="I410" s="559" t="str">
        <f t="shared" si="38"/>
        <v/>
      </c>
    </row>
    <row r="411" spans="2:9">
      <c r="B411" s="555" t="str">
        <f t="shared" si="33"/>
        <v/>
      </c>
      <c r="C411" s="556" t="str">
        <f t="shared" si="34"/>
        <v/>
      </c>
      <c r="D411" s="557" t="str">
        <f t="shared" si="35"/>
        <v/>
      </c>
      <c r="E411" s="560"/>
      <c r="F411" s="559"/>
      <c r="G411" s="559" t="str">
        <f t="shared" si="36"/>
        <v/>
      </c>
      <c r="H411" s="559" t="str">
        <f t="shared" si="37"/>
        <v/>
      </c>
      <c r="I411" s="559" t="str">
        <f t="shared" si="38"/>
        <v/>
      </c>
    </row>
    <row r="412" spans="2:9">
      <c r="B412" s="555" t="str">
        <f t="shared" si="33"/>
        <v/>
      </c>
      <c r="C412" s="556" t="str">
        <f t="shared" si="34"/>
        <v/>
      </c>
      <c r="D412" s="557" t="str">
        <f t="shared" si="35"/>
        <v/>
      </c>
      <c r="E412" s="560"/>
      <c r="F412" s="559"/>
      <c r="G412" s="559" t="str">
        <f t="shared" si="36"/>
        <v/>
      </c>
      <c r="H412" s="559" t="str">
        <f t="shared" si="37"/>
        <v/>
      </c>
      <c r="I412" s="559" t="str">
        <f t="shared" si="38"/>
        <v/>
      </c>
    </row>
    <row r="413" spans="2:9">
      <c r="B413" s="555" t="str">
        <f t="shared" si="33"/>
        <v/>
      </c>
      <c r="C413" s="556" t="str">
        <f t="shared" si="34"/>
        <v/>
      </c>
      <c r="D413" s="557" t="str">
        <f t="shared" si="35"/>
        <v/>
      </c>
      <c r="E413" s="560"/>
      <c r="F413" s="559"/>
      <c r="G413" s="559" t="str">
        <f t="shared" si="36"/>
        <v/>
      </c>
      <c r="H413" s="559" t="str">
        <f t="shared" si="37"/>
        <v/>
      </c>
      <c r="I413" s="559" t="str">
        <f t="shared" si="38"/>
        <v/>
      </c>
    </row>
    <row r="414" spans="2:9">
      <c r="B414" s="555" t="str">
        <f t="shared" si="33"/>
        <v/>
      </c>
      <c r="C414" s="556" t="str">
        <f t="shared" si="34"/>
        <v/>
      </c>
      <c r="D414" s="557" t="str">
        <f t="shared" si="35"/>
        <v/>
      </c>
      <c r="E414" s="560"/>
      <c r="F414" s="559"/>
      <c r="G414" s="559" t="str">
        <f t="shared" si="36"/>
        <v/>
      </c>
      <c r="H414" s="559" t="str">
        <f t="shared" si="37"/>
        <v/>
      </c>
      <c r="I414" s="559" t="str">
        <f t="shared" si="38"/>
        <v/>
      </c>
    </row>
    <row r="415" spans="2:9">
      <c r="B415" s="555" t="str">
        <f t="shared" si="33"/>
        <v/>
      </c>
      <c r="C415" s="556" t="str">
        <f t="shared" si="34"/>
        <v/>
      </c>
      <c r="D415" s="557" t="str">
        <f t="shared" si="35"/>
        <v/>
      </c>
      <c r="E415" s="560"/>
      <c r="F415" s="559"/>
      <c r="G415" s="559" t="str">
        <f t="shared" si="36"/>
        <v/>
      </c>
      <c r="H415" s="559" t="str">
        <f t="shared" si="37"/>
        <v/>
      </c>
      <c r="I415" s="559" t="str">
        <f t="shared" si="38"/>
        <v/>
      </c>
    </row>
    <row r="416" spans="2:9">
      <c r="B416" s="555" t="str">
        <f t="shared" si="33"/>
        <v/>
      </c>
      <c r="C416" s="556" t="str">
        <f t="shared" si="34"/>
        <v/>
      </c>
      <c r="D416" s="557" t="str">
        <f t="shared" si="35"/>
        <v/>
      </c>
      <c r="E416" s="560"/>
      <c r="F416" s="559"/>
      <c r="G416" s="559" t="str">
        <f t="shared" si="36"/>
        <v/>
      </c>
      <c r="H416" s="559" t="str">
        <f t="shared" si="37"/>
        <v/>
      </c>
      <c r="I416" s="559" t="str">
        <f t="shared" si="38"/>
        <v/>
      </c>
    </row>
    <row r="417" spans="2:9">
      <c r="B417" s="555" t="str">
        <f t="shared" si="33"/>
        <v/>
      </c>
      <c r="C417" s="556" t="str">
        <f t="shared" si="34"/>
        <v/>
      </c>
      <c r="D417" s="557" t="str">
        <f t="shared" si="35"/>
        <v/>
      </c>
      <c r="E417" s="560"/>
      <c r="F417" s="559"/>
      <c r="G417" s="559" t="str">
        <f t="shared" si="36"/>
        <v/>
      </c>
      <c r="H417" s="559" t="str">
        <f t="shared" si="37"/>
        <v/>
      </c>
      <c r="I417" s="559" t="str">
        <f t="shared" si="38"/>
        <v/>
      </c>
    </row>
    <row r="418" spans="2:9">
      <c r="B418" s="555" t="str">
        <f t="shared" si="33"/>
        <v/>
      </c>
      <c r="C418" s="556" t="str">
        <f t="shared" si="34"/>
        <v/>
      </c>
      <c r="D418" s="557" t="str">
        <f t="shared" si="35"/>
        <v/>
      </c>
      <c r="E418" s="560"/>
      <c r="F418" s="559"/>
      <c r="G418" s="559" t="str">
        <f t="shared" si="36"/>
        <v/>
      </c>
      <c r="H418" s="559" t="str">
        <f t="shared" si="37"/>
        <v/>
      </c>
      <c r="I418" s="559" t="str">
        <f t="shared" si="38"/>
        <v/>
      </c>
    </row>
    <row r="419" spans="2:9">
      <c r="B419" s="555" t="str">
        <f t="shared" si="33"/>
        <v/>
      </c>
      <c r="C419" s="556" t="str">
        <f t="shared" si="34"/>
        <v/>
      </c>
      <c r="D419" s="557" t="str">
        <f t="shared" si="35"/>
        <v/>
      </c>
      <c r="E419" s="560"/>
      <c r="F419" s="559"/>
      <c r="G419" s="559" t="str">
        <f t="shared" si="36"/>
        <v/>
      </c>
      <c r="H419" s="559" t="str">
        <f t="shared" si="37"/>
        <v/>
      </c>
      <c r="I419" s="559" t="str">
        <f t="shared" si="38"/>
        <v/>
      </c>
    </row>
    <row r="420" spans="2:9">
      <c r="B420" s="555" t="str">
        <f t="shared" si="33"/>
        <v/>
      </c>
      <c r="C420" s="556" t="str">
        <f t="shared" si="34"/>
        <v/>
      </c>
      <c r="D420" s="557" t="str">
        <f t="shared" si="35"/>
        <v/>
      </c>
      <c r="E420" s="560"/>
      <c r="F420" s="559"/>
      <c r="G420" s="559" t="str">
        <f t="shared" si="36"/>
        <v/>
      </c>
      <c r="H420" s="559" t="str">
        <f t="shared" si="37"/>
        <v/>
      </c>
      <c r="I420" s="559" t="str">
        <f t="shared" si="38"/>
        <v/>
      </c>
    </row>
    <row r="421" spans="2:9">
      <c r="B421" s="555" t="str">
        <f t="shared" si="33"/>
        <v/>
      </c>
      <c r="C421" s="556" t="str">
        <f t="shared" si="34"/>
        <v/>
      </c>
      <c r="D421" s="557" t="str">
        <f t="shared" si="35"/>
        <v/>
      </c>
      <c r="E421" s="560"/>
      <c r="F421" s="559"/>
      <c r="G421" s="559" t="str">
        <f t="shared" si="36"/>
        <v/>
      </c>
      <c r="H421" s="559" t="str">
        <f t="shared" si="37"/>
        <v/>
      </c>
      <c r="I421" s="559" t="str">
        <f t="shared" si="38"/>
        <v/>
      </c>
    </row>
    <row r="422" spans="2:9">
      <c r="B422" s="555" t="str">
        <f t="shared" si="33"/>
        <v/>
      </c>
      <c r="C422" s="556" t="str">
        <f t="shared" si="34"/>
        <v/>
      </c>
      <c r="D422" s="557" t="str">
        <f t="shared" si="35"/>
        <v/>
      </c>
      <c r="E422" s="560"/>
      <c r="F422" s="559"/>
      <c r="G422" s="559" t="str">
        <f t="shared" si="36"/>
        <v/>
      </c>
      <c r="H422" s="559" t="str">
        <f t="shared" si="37"/>
        <v/>
      </c>
      <c r="I422" s="559" t="str">
        <f t="shared" si="38"/>
        <v/>
      </c>
    </row>
    <row r="423" spans="2:9">
      <c r="B423" s="555" t="str">
        <f t="shared" si="33"/>
        <v/>
      </c>
      <c r="C423" s="556" t="str">
        <f t="shared" si="34"/>
        <v/>
      </c>
      <c r="D423" s="557" t="str">
        <f t="shared" si="35"/>
        <v/>
      </c>
      <c r="E423" s="560"/>
      <c r="F423" s="559"/>
      <c r="G423" s="559" t="str">
        <f t="shared" si="36"/>
        <v/>
      </c>
      <c r="H423" s="559" t="str">
        <f t="shared" si="37"/>
        <v/>
      </c>
      <c r="I423" s="559" t="str">
        <f t="shared" si="38"/>
        <v/>
      </c>
    </row>
    <row r="424" spans="2:9">
      <c r="B424" s="555" t="str">
        <f t="shared" si="33"/>
        <v/>
      </c>
      <c r="C424" s="556" t="str">
        <f t="shared" si="34"/>
        <v/>
      </c>
      <c r="D424" s="557" t="str">
        <f t="shared" si="35"/>
        <v/>
      </c>
      <c r="E424" s="560"/>
      <c r="F424" s="559"/>
      <c r="G424" s="559" t="str">
        <f t="shared" si="36"/>
        <v/>
      </c>
      <c r="H424" s="559" t="str">
        <f t="shared" si="37"/>
        <v/>
      </c>
      <c r="I424" s="559" t="str">
        <f t="shared" si="38"/>
        <v/>
      </c>
    </row>
    <row r="425" spans="2:9">
      <c r="B425" s="555" t="str">
        <f t="shared" si="33"/>
        <v/>
      </c>
      <c r="C425" s="556" t="str">
        <f t="shared" si="34"/>
        <v/>
      </c>
      <c r="D425" s="557" t="str">
        <f t="shared" si="35"/>
        <v/>
      </c>
      <c r="E425" s="560"/>
      <c r="F425" s="559"/>
      <c r="G425" s="559" t="str">
        <f t="shared" si="36"/>
        <v/>
      </c>
      <c r="H425" s="559" t="str">
        <f t="shared" si="37"/>
        <v/>
      </c>
      <c r="I425" s="559" t="str">
        <f t="shared" si="38"/>
        <v/>
      </c>
    </row>
    <row r="426" spans="2:9">
      <c r="B426" s="555" t="str">
        <f t="shared" si="33"/>
        <v/>
      </c>
      <c r="C426" s="556" t="str">
        <f t="shared" si="34"/>
        <v/>
      </c>
      <c r="D426" s="557" t="str">
        <f t="shared" si="35"/>
        <v/>
      </c>
      <c r="E426" s="560"/>
      <c r="F426" s="559"/>
      <c r="G426" s="559" t="str">
        <f t="shared" si="36"/>
        <v/>
      </c>
      <c r="H426" s="559" t="str">
        <f t="shared" si="37"/>
        <v/>
      </c>
      <c r="I426" s="559" t="str">
        <f t="shared" si="38"/>
        <v/>
      </c>
    </row>
    <row r="427" spans="2:9">
      <c r="B427" s="555" t="str">
        <f t="shared" si="33"/>
        <v/>
      </c>
      <c r="C427" s="556" t="str">
        <f t="shared" si="34"/>
        <v/>
      </c>
      <c r="D427" s="557" t="str">
        <f t="shared" si="35"/>
        <v/>
      </c>
      <c r="E427" s="560"/>
      <c r="F427" s="559"/>
      <c r="G427" s="559" t="str">
        <f t="shared" si="36"/>
        <v/>
      </c>
      <c r="H427" s="559" t="str">
        <f t="shared" si="37"/>
        <v/>
      </c>
      <c r="I427" s="559" t="str">
        <f t="shared" si="38"/>
        <v/>
      </c>
    </row>
    <row r="428" spans="2:9">
      <c r="B428" s="555" t="str">
        <f t="shared" si="33"/>
        <v/>
      </c>
      <c r="C428" s="556" t="str">
        <f t="shared" si="34"/>
        <v/>
      </c>
      <c r="D428" s="557" t="str">
        <f t="shared" si="35"/>
        <v/>
      </c>
      <c r="E428" s="560"/>
      <c r="F428" s="559"/>
      <c r="G428" s="559" t="str">
        <f t="shared" si="36"/>
        <v/>
      </c>
      <c r="H428" s="559" t="str">
        <f t="shared" si="37"/>
        <v/>
      </c>
      <c r="I428" s="559" t="str">
        <f t="shared" si="38"/>
        <v/>
      </c>
    </row>
    <row r="429" spans="2:9">
      <c r="B429" s="555" t="str">
        <f t="shared" si="33"/>
        <v/>
      </c>
      <c r="C429" s="556" t="str">
        <f t="shared" si="34"/>
        <v/>
      </c>
      <c r="D429" s="557" t="str">
        <f t="shared" si="35"/>
        <v/>
      </c>
      <c r="E429" s="560"/>
      <c r="F429" s="559"/>
      <c r="G429" s="559" t="str">
        <f t="shared" si="36"/>
        <v/>
      </c>
      <c r="H429" s="559" t="str">
        <f t="shared" si="37"/>
        <v/>
      </c>
      <c r="I429" s="559" t="str">
        <f t="shared" si="38"/>
        <v/>
      </c>
    </row>
    <row r="430" spans="2:9">
      <c r="B430" s="555" t="str">
        <f t="shared" si="33"/>
        <v/>
      </c>
      <c r="C430" s="556" t="str">
        <f t="shared" si="34"/>
        <v/>
      </c>
      <c r="D430" s="557" t="str">
        <f t="shared" si="35"/>
        <v/>
      </c>
      <c r="E430" s="560"/>
      <c r="F430" s="559"/>
      <c r="G430" s="559" t="str">
        <f t="shared" si="36"/>
        <v/>
      </c>
      <c r="H430" s="559" t="str">
        <f t="shared" si="37"/>
        <v/>
      </c>
      <c r="I430" s="559" t="str">
        <f t="shared" si="38"/>
        <v/>
      </c>
    </row>
    <row r="431" spans="2:9">
      <c r="B431" s="555" t="str">
        <f t="shared" si="33"/>
        <v/>
      </c>
      <c r="C431" s="556" t="str">
        <f t="shared" si="34"/>
        <v/>
      </c>
      <c r="D431" s="557" t="str">
        <f t="shared" si="35"/>
        <v/>
      </c>
      <c r="E431" s="560"/>
      <c r="F431" s="559"/>
      <c r="G431" s="559" t="str">
        <f t="shared" si="36"/>
        <v/>
      </c>
      <c r="H431" s="559" t="str">
        <f t="shared" si="37"/>
        <v/>
      </c>
      <c r="I431" s="559" t="str">
        <f t="shared" si="38"/>
        <v/>
      </c>
    </row>
    <row r="432" spans="2:9">
      <c r="B432" s="555" t="str">
        <f t="shared" si="33"/>
        <v/>
      </c>
      <c r="C432" s="556" t="str">
        <f t="shared" si="34"/>
        <v/>
      </c>
      <c r="D432" s="557" t="str">
        <f t="shared" si="35"/>
        <v/>
      </c>
      <c r="E432" s="560"/>
      <c r="F432" s="559"/>
      <c r="G432" s="559" t="str">
        <f t="shared" si="36"/>
        <v/>
      </c>
      <c r="H432" s="559" t="str">
        <f t="shared" si="37"/>
        <v/>
      </c>
      <c r="I432" s="559" t="str">
        <f t="shared" si="38"/>
        <v/>
      </c>
    </row>
    <row r="433" spans="2:9">
      <c r="B433" s="555" t="str">
        <f t="shared" si="33"/>
        <v/>
      </c>
      <c r="C433" s="556" t="str">
        <f t="shared" si="34"/>
        <v/>
      </c>
      <c r="D433" s="557" t="str">
        <f t="shared" si="35"/>
        <v/>
      </c>
      <c r="E433" s="560"/>
      <c r="F433" s="559"/>
      <c r="G433" s="559" t="str">
        <f t="shared" si="36"/>
        <v/>
      </c>
      <c r="H433" s="559" t="str">
        <f t="shared" si="37"/>
        <v/>
      </c>
      <c r="I433" s="559" t="str">
        <f t="shared" si="38"/>
        <v/>
      </c>
    </row>
    <row r="434" spans="2:9">
      <c r="B434" s="555" t="str">
        <f t="shared" si="33"/>
        <v/>
      </c>
      <c r="C434" s="556" t="str">
        <f t="shared" si="34"/>
        <v/>
      </c>
      <c r="D434" s="557" t="str">
        <f t="shared" si="35"/>
        <v/>
      </c>
      <c r="E434" s="560"/>
      <c r="F434" s="559"/>
      <c r="G434" s="559" t="str">
        <f t="shared" si="36"/>
        <v/>
      </c>
      <c r="H434" s="559" t="str">
        <f t="shared" si="37"/>
        <v/>
      </c>
      <c r="I434" s="559" t="str">
        <f t="shared" si="38"/>
        <v/>
      </c>
    </row>
    <row r="435" spans="2:9">
      <c r="B435" s="555" t="str">
        <f t="shared" si="33"/>
        <v/>
      </c>
      <c r="C435" s="556" t="str">
        <f t="shared" si="34"/>
        <v/>
      </c>
      <c r="D435" s="557" t="str">
        <f t="shared" si="35"/>
        <v/>
      </c>
      <c r="E435" s="560"/>
      <c r="F435" s="559"/>
      <c r="G435" s="559" t="str">
        <f t="shared" si="36"/>
        <v/>
      </c>
      <c r="H435" s="559" t="str">
        <f t="shared" si="37"/>
        <v/>
      </c>
      <c r="I435" s="559" t="str">
        <f t="shared" si="38"/>
        <v/>
      </c>
    </row>
    <row r="436" spans="2:9">
      <c r="B436" s="555" t="str">
        <f t="shared" si="33"/>
        <v/>
      </c>
      <c r="C436" s="556" t="str">
        <f t="shared" si="34"/>
        <v/>
      </c>
      <c r="D436" s="557" t="str">
        <f t="shared" si="35"/>
        <v/>
      </c>
      <c r="E436" s="560"/>
      <c r="F436" s="559"/>
      <c r="G436" s="559" t="str">
        <f t="shared" si="36"/>
        <v/>
      </c>
      <c r="H436" s="559" t="str">
        <f t="shared" si="37"/>
        <v/>
      </c>
      <c r="I436" s="559" t="str">
        <f t="shared" si="38"/>
        <v/>
      </c>
    </row>
    <row r="437" spans="2:9">
      <c r="B437" s="555" t="str">
        <f t="shared" si="33"/>
        <v/>
      </c>
      <c r="C437" s="556" t="str">
        <f t="shared" si="34"/>
        <v/>
      </c>
      <c r="D437" s="557" t="str">
        <f t="shared" si="35"/>
        <v/>
      </c>
      <c r="E437" s="560"/>
      <c r="F437" s="559"/>
      <c r="G437" s="559" t="str">
        <f t="shared" si="36"/>
        <v/>
      </c>
      <c r="H437" s="559" t="str">
        <f t="shared" si="37"/>
        <v/>
      </c>
      <c r="I437" s="559" t="str">
        <f t="shared" si="38"/>
        <v/>
      </c>
    </row>
    <row r="438" spans="2:9">
      <c r="B438" s="555" t="str">
        <f t="shared" si="33"/>
        <v/>
      </c>
      <c r="C438" s="556" t="str">
        <f t="shared" si="34"/>
        <v/>
      </c>
      <c r="D438" s="557" t="str">
        <f t="shared" si="35"/>
        <v/>
      </c>
      <c r="E438" s="560"/>
      <c r="F438" s="559"/>
      <c r="G438" s="559" t="str">
        <f t="shared" si="36"/>
        <v/>
      </c>
      <c r="H438" s="559" t="str">
        <f t="shared" si="37"/>
        <v/>
      </c>
      <c r="I438" s="559" t="str">
        <f t="shared" si="38"/>
        <v/>
      </c>
    </row>
    <row r="439" spans="2:9">
      <c r="B439" s="555" t="str">
        <f t="shared" si="33"/>
        <v/>
      </c>
      <c r="C439" s="556" t="str">
        <f t="shared" si="34"/>
        <v/>
      </c>
      <c r="D439" s="557" t="str">
        <f t="shared" si="35"/>
        <v/>
      </c>
      <c r="E439" s="560"/>
      <c r="F439" s="559"/>
      <c r="G439" s="559" t="str">
        <f t="shared" si="36"/>
        <v/>
      </c>
      <c r="H439" s="559" t="str">
        <f t="shared" si="37"/>
        <v/>
      </c>
      <c r="I439" s="559" t="str">
        <f t="shared" si="38"/>
        <v/>
      </c>
    </row>
    <row r="440" spans="2:9">
      <c r="B440" s="555" t="str">
        <f t="shared" si="33"/>
        <v/>
      </c>
      <c r="C440" s="556" t="str">
        <f t="shared" si="34"/>
        <v/>
      </c>
      <c r="D440" s="557" t="str">
        <f t="shared" si="35"/>
        <v/>
      </c>
      <c r="E440" s="560"/>
      <c r="F440" s="559"/>
      <c r="G440" s="559" t="str">
        <f t="shared" si="36"/>
        <v/>
      </c>
      <c r="H440" s="559" t="str">
        <f t="shared" si="37"/>
        <v/>
      </c>
      <c r="I440" s="559" t="str">
        <f t="shared" si="38"/>
        <v/>
      </c>
    </row>
    <row r="441" spans="2:9">
      <c r="B441" s="555" t="str">
        <f t="shared" si="33"/>
        <v/>
      </c>
      <c r="C441" s="556" t="str">
        <f t="shared" si="34"/>
        <v/>
      </c>
      <c r="D441" s="557" t="str">
        <f t="shared" si="35"/>
        <v/>
      </c>
      <c r="E441" s="560"/>
      <c r="F441" s="559"/>
      <c r="G441" s="559" t="str">
        <f t="shared" si="36"/>
        <v/>
      </c>
      <c r="H441" s="559" t="str">
        <f t="shared" si="37"/>
        <v/>
      </c>
      <c r="I441" s="559" t="str">
        <f t="shared" si="38"/>
        <v/>
      </c>
    </row>
    <row r="442" spans="2:9">
      <c r="B442" s="555" t="str">
        <f t="shared" si="33"/>
        <v/>
      </c>
      <c r="C442" s="556" t="str">
        <f t="shared" si="34"/>
        <v/>
      </c>
      <c r="D442" s="557" t="str">
        <f t="shared" si="35"/>
        <v/>
      </c>
      <c r="E442" s="560"/>
      <c r="F442" s="559"/>
      <c r="G442" s="559" t="str">
        <f t="shared" si="36"/>
        <v/>
      </c>
      <c r="H442" s="559" t="str">
        <f t="shared" si="37"/>
        <v/>
      </c>
      <c r="I442" s="559" t="str">
        <f t="shared" si="38"/>
        <v/>
      </c>
    </row>
    <row r="443" spans="2:9">
      <c r="B443" s="555" t="str">
        <f t="shared" si="33"/>
        <v/>
      </c>
      <c r="C443" s="556" t="str">
        <f t="shared" si="34"/>
        <v/>
      </c>
      <c r="D443" s="557" t="str">
        <f t="shared" si="35"/>
        <v/>
      </c>
      <c r="E443" s="560"/>
      <c r="F443" s="559"/>
      <c r="G443" s="559" t="str">
        <f t="shared" si="36"/>
        <v/>
      </c>
      <c r="H443" s="559" t="str">
        <f t="shared" si="37"/>
        <v/>
      </c>
      <c r="I443" s="559" t="str">
        <f t="shared" si="38"/>
        <v/>
      </c>
    </row>
    <row r="444" spans="2:9">
      <c r="B444" s="555" t="str">
        <f t="shared" si="33"/>
        <v/>
      </c>
      <c r="C444" s="556" t="str">
        <f t="shared" si="34"/>
        <v/>
      </c>
      <c r="D444" s="557" t="str">
        <f t="shared" si="35"/>
        <v/>
      </c>
      <c r="E444" s="560"/>
      <c r="F444" s="559"/>
      <c r="G444" s="559" t="str">
        <f t="shared" si="36"/>
        <v/>
      </c>
      <c r="H444" s="559" t="str">
        <f t="shared" si="37"/>
        <v/>
      </c>
      <c r="I444" s="559" t="str">
        <f t="shared" si="38"/>
        <v/>
      </c>
    </row>
    <row r="445" spans="2:9">
      <c r="B445" s="555" t="str">
        <f t="shared" ref="B445:B508" si="39">IF(I444="","",IF(roundOpt,IF(OR(B444&gt;=nper,ROUND(I444,2)&lt;=0),"",B444+1),IF(OR(B444&gt;=nper,I444&lt;=0),"",B444+1)))</f>
        <v/>
      </c>
      <c r="C445" s="556" t="str">
        <f t="shared" ref="C445:C508" si="40">IF(B445="","",IF(OR(periods_per_year=26,periods_per_year=52),IF(periods_per_year=26,IF(B445=1,fpdate,C444+14),IF(periods_per_year=52,IF(B445=1,fpdate,C444+7),"n/a")),IF(periods_per_year=24,DATE(YEAR(fpdate),MONTH(fpdate)+(B445-1)/2+IF(AND(DAY(fpdate)&gt;=15,MOD(B445,2)=0),1,0),IF(MOD(B445,2)=0,IF(DAY(fpdate)&gt;=15,DAY(fpdate)-14,DAY(fpdate)+14),DAY(fpdate))),IF(DAY(DATE(YEAR(fpdate),MONTH(fpdate)+(B445-1)*months_per_period,DAY(fpdate)))&lt;&gt;DAY(fpdate),DATE(YEAR(fpdate),MONTH(fpdate)+(B445-1)*months_per_period+1,0),DATE(YEAR(fpdate),MONTH(fpdate)+(B445-1)*months_per_period,DAY(fpdate))))))</f>
        <v/>
      </c>
      <c r="D445" s="557" t="str">
        <f t="shared" ref="D445:D508" si="41">IF(B445="","",IF(roundOpt,IF(OR(B445=nper,payment&gt;ROUND((1+rate)*I444,2)),ROUND((1+rate)*I444,2),payment),IF(OR(B445=nper,payment&gt;(1+rate)*I444),(1+rate)*I444,payment)))</f>
        <v/>
      </c>
      <c r="E445" s="560"/>
      <c r="F445" s="559"/>
      <c r="G445" s="559" t="str">
        <f t="shared" ref="G445:G508" si="42">IF(B445="","",IF(AND(B445=1,pmtType=1),0,IF(roundOpt,ROUND(rate*I444,2),rate*I444)))</f>
        <v/>
      </c>
      <c r="H445" s="559" t="str">
        <f t="shared" ref="H445:H508" si="43">IF(B445="","",D445-G445+E445)</f>
        <v/>
      </c>
      <c r="I445" s="559" t="str">
        <f t="shared" ref="I445:I508" si="44">IF(B445="","",I444-H445)</f>
        <v/>
      </c>
    </row>
    <row r="446" spans="2:9">
      <c r="B446" s="555" t="str">
        <f t="shared" si="39"/>
        <v/>
      </c>
      <c r="C446" s="556" t="str">
        <f t="shared" si="40"/>
        <v/>
      </c>
      <c r="D446" s="557" t="str">
        <f t="shared" si="41"/>
        <v/>
      </c>
      <c r="E446" s="560"/>
      <c r="F446" s="559"/>
      <c r="G446" s="559" t="str">
        <f t="shared" si="42"/>
        <v/>
      </c>
      <c r="H446" s="559" t="str">
        <f t="shared" si="43"/>
        <v/>
      </c>
      <c r="I446" s="559" t="str">
        <f t="shared" si="44"/>
        <v/>
      </c>
    </row>
    <row r="447" spans="2:9">
      <c r="B447" s="555" t="str">
        <f t="shared" si="39"/>
        <v/>
      </c>
      <c r="C447" s="556" t="str">
        <f t="shared" si="40"/>
        <v/>
      </c>
      <c r="D447" s="557" t="str">
        <f t="shared" si="41"/>
        <v/>
      </c>
      <c r="E447" s="560"/>
      <c r="F447" s="559"/>
      <c r="G447" s="559" t="str">
        <f t="shared" si="42"/>
        <v/>
      </c>
      <c r="H447" s="559" t="str">
        <f t="shared" si="43"/>
        <v/>
      </c>
      <c r="I447" s="559" t="str">
        <f t="shared" si="44"/>
        <v/>
      </c>
    </row>
    <row r="448" spans="2:9">
      <c r="B448" s="555" t="str">
        <f t="shared" si="39"/>
        <v/>
      </c>
      <c r="C448" s="556" t="str">
        <f t="shared" si="40"/>
        <v/>
      </c>
      <c r="D448" s="557" t="str">
        <f t="shared" si="41"/>
        <v/>
      </c>
      <c r="E448" s="560"/>
      <c r="F448" s="559"/>
      <c r="G448" s="559" t="str">
        <f t="shared" si="42"/>
        <v/>
      </c>
      <c r="H448" s="559" t="str">
        <f t="shared" si="43"/>
        <v/>
      </c>
      <c r="I448" s="559" t="str">
        <f t="shared" si="44"/>
        <v/>
      </c>
    </row>
    <row r="449" spans="2:9">
      <c r="B449" s="555" t="str">
        <f t="shared" si="39"/>
        <v/>
      </c>
      <c r="C449" s="556" t="str">
        <f t="shared" si="40"/>
        <v/>
      </c>
      <c r="D449" s="557" t="str">
        <f t="shared" si="41"/>
        <v/>
      </c>
      <c r="E449" s="560"/>
      <c r="F449" s="559"/>
      <c r="G449" s="559" t="str">
        <f t="shared" si="42"/>
        <v/>
      </c>
      <c r="H449" s="559" t="str">
        <f t="shared" si="43"/>
        <v/>
      </c>
      <c r="I449" s="559" t="str">
        <f t="shared" si="44"/>
        <v/>
      </c>
    </row>
    <row r="450" spans="2:9">
      <c r="B450" s="555" t="str">
        <f t="shared" si="39"/>
        <v/>
      </c>
      <c r="C450" s="556" t="str">
        <f t="shared" si="40"/>
        <v/>
      </c>
      <c r="D450" s="557" t="str">
        <f t="shared" si="41"/>
        <v/>
      </c>
      <c r="E450" s="560"/>
      <c r="F450" s="559"/>
      <c r="G450" s="559" t="str">
        <f t="shared" si="42"/>
        <v/>
      </c>
      <c r="H450" s="559" t="str">
        <f t="shared" si="43"/>
        <v/>
      </c>
      <c r="I450" s="559" t="str">
        <f t="shared" si="44"/>
        <v/>
      </c>
    </row>
    <row r="451" spans="2:9">
      <c r="B451" s="555" t="str">
        <f t="shared" si="39"/>
        <v/>
      </c>
      <c r="C451" s="556" t="str">
        <f t="shared" si="40"/>
        <v/>
      </c>
      <c r="D451" s="557" t="str">
        <f t="shared" si="41"/>
        <v/>
      </c>
      <c r="E451" s="560"/>
      <c r="F451" s="559"/>
      <c r="G451" s="559" t="str">
        <f t="shared" si="42"/>
        <v/>
      </c>
      <c r="H451" s="559" t="str">
        <f t="shared" si="43"/>
        <v/>
      </c>
      <c r="I451" s="559" t="str">
        <f t="shared" si="44"/>
        <v/>
      </c>
    </row>
    <row r="452" spans="2:9">
      <c r="B452" s="555" t="str">
        <f t="shared" si="39"/>
        <v/>
      </c>
      <c r="C452" s="556" t="str">
        <f t="shared" si="40"/>
        <v/>
      </c>
      <c r="D452" s="557" t="str">
        <f t="shared" si="41"/>
        <v/>
      </c>
      <c r="E452" s="560"/>
      <c r="F452" s="559"/>
      <c r="G452" s="559" t="str">
        <f t="shared" si="42"/>
        <v/>
      </c>
      <c r="H452" s="559" t="str">
        <f t="shared" si="43"/>
        <v/>
      </c>
      <c r="I452" s="559" t="str">
        <f t="shared" si="44"/>
        <v/>
      </c>
    </row>
    <row r="453" spans="2:9">
      <c r="B453" s="555" t="str">
        <f t="shared" si="39"/>
        <v/>
      </c>
      <c r="C453" s="556" t="str">
        <f t="shared" si="40"/>
        <v/>
      </c>
      <c r="D453" s="557" t="str">
        <f t="shared" si="41"/>
        <v/>
      </c>
      <c r="E453" s="560"/>
      <c r="F453" s="559"/>
      <c r="G453" s="559" t="str">
        <f t="shared" si="42"/>
        <v/>
      </c>
      <c r="H453" s="559" t="str">
        <f t="shared" si="43"/>
        <v/>
      </c>
      <c r="I453" s="559" t="str">
        <f t="shared" si="44"/>
        <v/>
      </c>
    </row>
    <row r="454" spans="2:9">
      <c r="B454" s="555" t="str">
        <f t="shared" si="39"/>
        <v/>
      </c>
      <c r="C454" s="556" t="str">
        <f t="shared" si="40"/>
        <v/>
      </c>
      <c r="D454" s="557" t="str">
        <f t="shared" si="41"/>
        <v/>
      </c>
      <c r="E454" s="560"/>
      <c r="F454" s="559"/>
      <c r="G454" s="559" t="str">
        <f t="shared" si="42"/>
        <v/>
      </c>
      <c r="H454" s="559" t="str">
        <f t="shared" si="43"/>
        <v/>
      </c>
      <c r="I454" s="559" t="str">
        <f t="shared" si="44"/>
        <v/>
      </c>
    </row>
    <row r="455" spans="2:9">
      <c r="B455" s="555" t="str">
        <f t="shared" si="39"/>
        <v/>
      </c>
      <c r="C455" s="556" t="str">
        <f t="shared" si="40"/>
        <v/>
      </c>
      <c r="D455" s="557" t="str">
        <f t="shared" si="41"/>
        <v/>
      </c>
      <c r="E455" s="560"/>
      <c r="F455" s="559"/>
      <c r="G455" s="559" t="str">
        <f t="shared" si="42"/>
        <v/>
      </c>
      <c r="H455" s="559" t="str">
        <f t="shared" si="43"/>
        <v/>
      </c>
      <c r="I455" s="559" t="str">
        <f t="shared" si="44"/>
        <v/>
      </c>
    </row>
    <row r="456" spans="2:9">
      <c r="B456" s="555" t="str">
        <f t="shared" si="39"/>
        <v/>
      </c>
      <c r="C456" s="556" t="str">
        <f t="shared" si="40"/>
        <v/>
      </c>
      <c r="D456" s="557" t="str">
        <f t="shared" si="41"/>
        <v/>
      </c>
      <c r="E456" s="560"/>
      <c r="F456" s="559"/>
      <c r="G456" s="559" t="str">
        <f t="shared" si="42"/>
        <v/>
      </c>
      <c r="H456" s="559" t="str">
        <f t="shared" si="43"/>
        <v/>
      </c>
      <c r="I456" s="559" t="str">
        <f t="shared" si="44"/>
        <v/>
      </c>
    </row>
    <row r="457" spans="2:9">
      <c r="B457" s="555" t="str">
        <f t="shared" si="39"/>
        <v/>
      </c>
      <c r="C457" s="556" t="str">
        <f t="shared" si="40"/>
        <v/>
      </c>
      <c r="D457" s="557" t="str">
        <f t="shared" si="41"/>
        <v/>
      </c>
      <c r="E457" s="560"/>
      <c r="F457" s="559"/>
      <c r="G457" s="559" t="str">
        <f t="shared" si="42"/>
        <v/>
      </c>
      <c r="H457" s="559" t="str">
        <f t="shared" si="43"/>
        <v/>
      </c>
      <c r="I457" s="559" t="str">
        <f t="shared" si="44"/>
        <v/>
      </c>
    </row>
    <row r="458" spans="2:9">
      <c r="B458" s="555" t="str">
        <f t="shared" si="39"/>
        <v/>
      </c>
      <c r="C458" s="556" t="str">
        <f t="shared" si="40"/>
        <v/>
      </c>
      <c r="D458" s="557" t="str">
        <f t="shared" si="41"/>
        <v/>
      </c>
      <c r="E458" s="560"/>
      <c r="F458" s="559"/>
      <c r="G458" s="559" t="str">
        <f t="shared" si="42"/>
        <v/>
      </c>
      <c r="H458" s="559" t="str">
        <f t="shared" si="43"/>
        <v/>
      </c>
      <c r="I458" s="559" t="str">
        <f t="shared" si="44"/>
        <v/>
      </c>
    </row>
    <row r="459" spans="2:9">
      <c r="B459" s="555" t="str">
        <f t="shared" si="39"/>
        <v/>
      </c>
      <c r="C459" s="556" t="str">
        <f t="shared" si="40"/>
        <v/>
      </c>
      <c r="D459" s="557" t="str">
        <f t="shared" si="41"/>
        <v/>
      </c>
      <c r="E459" s="560"/>
      <c r="F459" s="559"/>
      <c r="G459" s="559" t="str">
        <f t="shared" si="42"/>
        <v/>
      </c>
      <c r="H459" s="559" t="str">
        <f t="shared" si="43"/>
        <v/>
      </c>
      <c r="I459" s="559" t="str">
        <f t="shared" si="44"/>
        <v/>
      </c>
    </row>
    <row r="460" spans="2:9">
      <c r="B460" s="555" t="str">
        <f t="shared" si="39"/>
        <v/>
      </c>
      <c r="C460" s="556" t="str">
        <f t="shared" si="40"/>
        <v/>
      </c>
      <c r="D460" s="557" t="str">
        <f t="shared" si="41"/>
        <v/>
      </c>
      <c r="E460" s="560"/>
      <c r="F460" s="559"/>
      <c r="G460" s="559" t="str">
        <f t="shared" si="42"/>
        <v/>
      </c>
      <c r="H460" s="559" t="str">
        <f t="shared" si="43"/>
        <v/>
      </c>
      <c r="I460" s="559" t="str">
        <f t="shared" si="44"/>
        <v/>
      </c>
    </row>
    <row r="461" spans="2:9">
      <c r="B461" s="555" t="str">
        <f t="shared" si="39"/>
        <v/>
      </c>
      <c r="C461" s="556" t="str">
        <f t="shared" si="40"/>
        <v/>
      </c>
      <c r="D461" s="557" t="str">
        <f t="shared" si="41"/>
        <v/>
      </c>
      <c r="E461" s="560"/>
      <c r="F461" s="559"/>
      <c r="G461" s="559" t="str">
        <f t="shared" si="42"/>
        <v/>
      </c>
      <c r="H461" s="559" t="str">
        <f t="shared" si="43"/>
        <v/>
      </c>
      <c r="I461" s="559" t="str">
        <f t="shared" si="44"/>
        <v/>
      </c>
    </row>
    <row r="462" spans="2:9">
      <c r="B462" s="555" t="str">
        <f t="shared" si="39"/>
        <v/>
      </c>
      <c r="C462" s="556" t="str">
        <f t="shared" si="40"/>
        <v/>
      </c>
      <c r="D462" s="557" t="str">
        <f t="shared" si="41"/>
        <v/>
      </c>
      <c r="E462" s="560"/>
      <c r="F462" s="559"/>
      <c r="G462" s="559" t="str">
        <f t="shared" si="42"/>
        <v/>
      </c>
      <c r="H462" s="559" t="str">
        <f t="shared" si="43"/>
        <v/>
      </c>
      <c r="I462" s="559" t="str">
        <f t="shared" si="44"/>
        <v/>
      </c>
    </row>
    <row r="463" spans="2:9">
      <c r="B463" s="555" t="str">
        <f t="shared" si="39"/>
        <v/>
      </c>
      <c r="C463" s="556" t="str">
        <f t="shared" si="40"/>
        <v/>
      </c>
      <c r="D463" s="557" t="str">
        <f t="shared" si="41"/>
        <v/>
      </c>
      <c r="E463" s="560"/>
      <c r="F463" s="559"/>
      <c r="G463" s="559" t="str">
        <f t="shared" si="42"/>
        <v/>
      </c>
      <c r="H463" s="559" t="str">
        <f t="shared" si="43"/>
        <v/>
      </c>
      <c r="I463" s="559" t="str">
        <f t="shared" si="44"/>
        <v/>
      </c>
    </row>
    <row r="464" spans="2:9">
      <c r="B464" s="555" t="str">
        <f t="shared" si="39"/>
        <v/>
      </c>
      <c r="C464" s="556" t="str">
        <f t="shared" si="40"/>
        <v/>
      </c>
      <c r="D464" s="557" t="str">
        <f t="shared" si="41"/>
        <v/>
      </c>
      <c r="E464" s="560"/>
      <c r="F464" s="559"/>
      <c r="G464" s="559" t="str">
        <f t="shared" si="42"/>
        <v/>
      </c>
      <c r="H464" s="559" t="str">
        <f t="shared" si="43"/>
        <v/>
      </c>
      <c r="I464" s="559" t="str">
        <f t="shared" si="44"/>
        <v/>
      </c>
    </row>
    <row r="465" spans="2:9">
      <c r="B465" s="555" t="str">
        <f t="shared" si="39"/>
        <v/>
      </c>
      <c r="C465" s="556" t="str">
        <f t="shared" si="40"/>
        <v/>
      </c>
      <c r="D465" s="557" t="str">
        <f t="shared" si="41"/>
        <v/>
      </c>
      <c r="E465" s="560"/>
      <c r="F465" s="559"/>
      <c r="G465" s="559" t="str">
        <f t="shared" si="42"/>
        <v/>
      </c>
      <c r="H465" s="559" t="str">
        <f t="shared" si="43"/>
        <v/>
      </c>
      <c r="I465" s="559" t="str">
        <f t="shared" si="44"/>
        <v/>
      </c>
    </row>
    <row r="466" spans="2:9">
      <c r="B466" s="555" t="str">
        <f t="shared" si="39"/>
        <v/>
      </c>
      <c r="C466" s="556" t="str">
        <f t="shared" si="40"/>
        <v/>
      </c>
      <c r="D466" s="557" t="str">
        <f t="shared" si="41"/>
        <v/>
      </c>
      <c r="E466" s="560"/>
      <c r="F466" s="559"/>
      <c r="G466" s="559" t="str">
        <f t="shared" si="42"/>
        <v/>
      </c>
      <c r="H466" s="559" t="str">
        <f t="shared" si="43"/>
        <v/>
      </c>
      <c r="I466" s="559" t="str">
        <f t="shared" si="44"/>
        <v/>
      </c>
    </row>
    <row r="467" spans="2:9">
      <c r="B467" s="555" t="str">
        <f t="shared" si="39"/>
        <v/>
      </c>
      <c r="C467" s="556" t="str">
        <f t="shared" si="40"/>
        <v/>
      </c>
      <c r="D467" s="557" t="str">
        <f t="shared" si="41"/>
        <v/>
      </c>
      <c r="E467" s="560"/>
      <c r="F467" s="559"/>
      <c r="G467" s="559" t="str">
        <f t="shared" si="42"/>
        <v/>
      </c>
      <c r="H467" s="559" t="str">
        <f t="shared" si="43"/>
        <v/>
      </c>
      <c r="I467" s="559" t="str">
        <f t="shared" si="44"/>
        <v/>
      </c>
    </row>
    <row r="468" spans="2:9">
      <c r="B468" s="555" t="str">
        <f t="shared" si="39"/>
        <v/>
      </c>
      <c r="C468" s="556" t="str">
        <f t="shared" si="40"/>
        <v/>
      </c>
      <c r="D468" s="557" t="str">
        <f t="shared" si="41"/>
        <v/>
      </c>
      <c r="E468" s="560"/>
      <c r="F468" s="559"/>
      <c r="G468" s="559" t="str">
        <f t="shared" si="42"/>
        <v/>
      </c>
      <c r="H468" s="559" t="str">
        <f t="shared" si="43"/>
        <v/>
      </c>
      <c r="I468" s="559" t="str">
        <f t="shared" si="44"/>
        <v/>
      </c>
    </row>
    <row r="469" spans="2:9">
      <c r="B469" s="555" t="str">
        <f t="shared" si="39"/>
        <v/>
      </c>
      <c r="C469" s="556" t="str">
        <f t="shared" si="40"/>
        <v/>
      </c>
      <c r="D469" s="557" t="str">
        <f t="shared" si="41"/>
        <v/>
      </c>
      <c r="E469" s="560"/>
      <c r="F469" s="559"/>
      <c r="G469" s="559" t="str">
        <f t="shared" si="42"/>
        <v/>
      </c>
      <c r="H469" s="559" t="str">
        <f t="shared" si="43"/>
        <v/>
      </c>
      <c r="I469" s="559" t="str">
        <f t="shared" si="44"/>
        <v/>
      </c>
    </row>
    <row r="470" spans="2:9">
      <c r="B470" s="555" t="str">
        <f t="shared" si="39"/>
        <v/>
      </c>
      <c r="C470" s="556" t="str">
        <f t="shared" si="40"/>
        <v/>
      </c>
      <c r="D470" s="557" t="str">
        <f t="shared" si="41"/>
        <v/>
      </c>
      <c r="E470" s="560"/>
      <c r="F470" s="559"/>
      <c r="G470" s="559" t="str">
        <f t="shared" si="42"/>
        <v/>
      </c>
      <c r="H470" s="559" t="str">
        <f t="shared" si="43"/>
        <v/>
      </c>
      <c r="I470" s="559" t="str">
        <f t="shared" si="44"/>
        <v/>
      </c>
    </row>
    <row r="471" spans="2:9">
      <c r="B471" s="555" t="str">
        <f t="shared" si="39"/>
        <v/>
      </c>
      <c r="C471" s="556" t="str">
        <f t="shared" si="40"/>
        <v/>
      </c>
      <c r="D471" s="557" t="str">
        <f t="shared" si="41"/>
        <v/>
      </c>
      <c r="E471" s="560"/>
      <c r="F471" s="559"/>
      <c r="G471" s="559" t="str">
        <f t="shared" si="42"/>
        <v/>
      </c>
      <c r="H471" s="559" t="str">
        <f t="shared" si="43"/>
        <v/>
      </c>
      <c r="I471" s="559" t="str">
        <f t="shared" si="44"/>
        <v/>
      </c>
    </row>
    <row r="472" spans="2:9">
      <c r="B472" s="555" t="str">
        <f t="shared" si="39"/>
        <v/>
      </c>
      <c r="C472" s="556" t="str">
        <f t="shared" si="40"/>
        <v/>
      </c>
      <c r="D472" s="557" t="str">
        <f t="shared" si="41"/>
        <v/>
      </c>
      <c r="E472" s="560"/>
      <c r="F472" s="559"/>
      <c r="G472" s="559" t="str">
        <f t="shared" si="42"/>
        <v/>
      </c>
      <c r="H472" s="559" t="str">
        <f t="shared" si="43"/>
        <v/>
      </c>
      <c r="I472" s="559" t="str">
        <f t="shared" si="44"/>
        <v/>
      </c>
    </row>
    <row r="473" spans="2:9">
      <c r="B473" s="555" t="str">
        <f t="shared" si="39"/>
        <v/>
      </c>
      <c r="C473" s="556" t="str">
        <f t="shared" si="40"/>
        <v/>
      </c>
      <c r="D473" s="557" t="str">
        <f t="shared" si="41"/>
        <v/>
      </c>
      <c r="E473" s="560"/>
      <c r="F473" s="559"/>
      <c r="G473" s="559" t="str">
        <f t="shared" si="42"/>
        <v/>
      </c>
      <c r="H473" s="559" t="str">
        <f t="shared" si="43"/>
        <v/>
      </c>
      <c r="I473" s="559" t="str">
        <f t="shared" si="44"/>
        <v/>
      </c>
    </row>
    <row r="474" spans="2:9">
      <c r="B474" s="555" t="str">
        <f t="shared" si="39"/>
        <v/>
      </c>
      <c r="C474" s="556" t="str">
        <f t="shared" si="40"/>
        <v/>
      </c>
      <c r="D474" s="557" t="str">
        <f t="shared" si="41"/>
        <v/>
      </c>
      <c r="E474" s="560"/>
      <c r="F474" s="559"/>
      <c r="G474" s="559" t="str">
        <f t="shared" si="42"/>
        <v/>
      </c>
      <c r="H474" s="559" t="str">
        <f t="shared" si="43"/>
        <v/>
      </c>
      <c r="I474" s="559" t="str">
        <f t="shared" si="44"/>
        <v/>
      </c>
    </row>
    <row r="475" spans="2:9">
      <c r="B475" s="555" t="str">
        <f t="shared" si="39"/>
        <v/>
      </c>
      <c r="C475" s="556" t="str">
        <f t="shared" si="40"/>
        <v/>
      </c>
      <c r="D475" s="557" t="str">
        <f t="shared" si="41"/>
        <v/>
      </c>
      <c r="E475" s="560"/>
      <c r="F475" s="559"/>
      <c r="G475" s="559" t="str">
        <f t="shared" si="42"/>
        <v/>
      </c>
      <c r="H475" s="559" t="str">
        <f t="shared" si="43"/>
        <v/>
      </c>
      <c r="I475" s="559" t="str">
        <f t="shared" si="44"/>
        <v/>
      </c>
    </row>
    <row r="476" spans="2:9">
      <c r="B476" s="555" t="str">
        <f t="shared" si="39"/>
        <v/>
      </c>
      <c r="C476" s="556" t="str">
        <f t="shared" si="40"/>
        <v/>
      </c>
      <c r="D476" s="557" t="str">
        <f t="shared" si="41"/>
        <v/>
      </c>
      <c r="E476" s="560"/>
      <c r="F476" s="559"/>
      <c r="G476" s="559" t="str">
        <f t="shared" si="42"/>
        <v/>
      </c>
      <c r="H476" s="559" t="str">
        <f t="shared" si="43"/>
        <v/>
      </c>
      <c r="I476" s="559" t="str">
        <f t="shared" si="44"/>
        <v/>
      </c>
    </row>
    <row r="477" spans="2:9">
      <c r="B477" s="555" t="str">
        <f t="shared" si="39"/>
        <v/>
      </c>
      <c r="C477" s="556" t="str">
        <f t="shared" si="40"/>
        <v/>
      </c>
      <c r="D477" s="557" t="str">
        <f t="shared" si="41"/>
        <v/>
      </c>
      <c r="E477" s="560"/>
      <c r="F477" s="559"/>
      <c r="G477" s="559" t="str">
        <f t="shared" si="42"/>
        <v/>
      </c>
      <c r="H477" s="559" t="str">
        <f t="shared" si="43"/>
        <v/>
      </c>
      <c r="I477" s="559" t="str">
        <f t="shared" si="44"/>
        <v/>
      </c>
    </row>
    <row r="478" spans="2:9">
      <c r="B478" s="555" t="str">
        <f t="shared" si="39"/>
        <v/>
      </c>
      <c r="C478" s="556" t="str">
        <f t="shared" si="40"/>
        <v/>
      </c>
      <c r="D478" s="557" t="str">
        <f t="shared" si="41"/>
        <v/>
      </c>
      <c r="E478" s="560"/>
      <c r="F478" s="559"/>
      <c r="G478" s="559" t="str">
        <f t="shared" si="42"/>
        <v/>
      </c>
      <c r="H478" s="559" t="str">
        <f t="shared" si="43"/>
        <v/>
      </c>
      <c r="I478" s="559" t="str">
        <f t="shared" si="44"/>
        <v/>
      </c>
    </row>
    <row r="479" spans="2:9">
      <c r="B479" s="555" t="str">
        <f t="shared" si="39"/>
        <v/>
      </c>
      <c r="C479" s="556" t="str">
        <f t="shared" si="40"/>
        <v/>
      </c>
      <c r="D479" s="557" t="str">
        <f t="shared" si="41"/>
        <v/>
      </c>
      <c r="E479" s="560"/>
      <c r="F479" s="559"/>
      <c r="G479" s="559" t="str">
        <f t="shared" si="42"/>
        <v/>
      </c>
      <c r="H479" s="559" t="str">
        <f t="shared" si="43"/>
        <v/>
      </c>
      <c r="I479" s="559" t="str">
        <f t="shared" si="44"/>
        <v/>
      </c>
    </row>
    <row r="480" spans="2:9">
      <c r="B480" s="555" t="str">
        <f t="shared" si="39"/>
        <v/>
      </c>
      <c r="C480" s="556" t="str">
        <f t="shared" si="40"/>
        <v/>
      </c>
      <c r="D480" s="557" t="str">
        <f t="shared" si="41"/>
        <v/>
      </c>
      <c r="E480" s="560"/>
      <c r="F480" s="559"/>
      <c r="G480" s="559" t="str">
        <f t="shared" si="42"/>
        <v/>
      </c>
      <c r="H480" s="559" t="str">
        <f t="shared" si="43"/>
        <v/>
      </c>
      <c r="I480" s="559" t="str">
        <f t="shared" si="44"/>
        <v/>
      </c>
    </row>
    <row r="481" spans="2:9">
      <c r="B481" s="555" t="str">
        <f t="shared" si="39"/>
        <v/>
      </c>
      <c r="C481" s="556" t="str">
        <f t="shared" si="40"/>
        <v/>
      </c>
      <c r="D481" s="557" t="str">
        <f t="shared" si="41"/>
        <v/>
      </c>
      <c r="E481" s="560"/>
      <c r="F481" s="559"/>
      <c r="G481" s="559" t="str">
        <f t="shared" si="42"/>
        <v/>
      </c>
      <c r="H481" s="559" t="str">
        <f t="shared" si="43"/>
        <v/>
      </c>
      <c r="I481" s="559" t="str">
        <f t="shared" si="44"/>
        <v/>
      </c>
    </row>
    <row r="482" spans="2:9">
      <c r="B482" s="555" t="str">
        <f t="shared" si="39"/>
        <v/>
      </c>
      <c r="C482" s="556" t="str">
        <f t="shared" si="40"/>
        <v/>
      </c>
      <c r="D482" s="557" t="str">
        <f t="shared" si="41"/>
        <v/>
      </c>
      <c r="E482" s="560"/>
      <c r="F482" s="559"/>
      <c r="G482" s="559" t="str">
        <f t="shared" si="42"/>
        <v/>
      </c>
      <c r="H482" s="559" t="str">
        <f t="shared" si="43"/>
        <v/>
      </c>
      <c r="I482" s="559" t="str">
        <f t="shared" si="44"/>
        <v/>
      </c>
    </row>
    <row r="483" spans="2:9">
      <c r="B483" s="555" t="str">
        <f t="shared" si="39"/>
        <v/>
      </c>
      <c r="C483" s="556" t="str">
        <f t="shared" si="40"/>
        <v/>
      </c>
      <c r="D483" s="557" t="str">
        <f t="shared" si="41"/>
        <v/>
      </c>
      <c r="E483" s="560"/>
      <c r="F483" s="559"/>
      <c r="G483" s="559" t="str">
        <f t="shared" si="42"/>
        <v/>
      </c>
      <c r="H483" s="559" t="str">
        <f t="shared" si="43"/>
        <v/>
      </c>
      <c r="I483" s="559" t="str">
        <f t="shared" si="44"/>
        <v/>
      </c>
    </row>
    <row r="484" spans="2:9">
      <c r="B484" s="555" t="str">
        <f t="shared" si="39"/>
        <v/>
      </c>
      <c r="C484" s="556" t="str">
        <f t="shared" si="40"/>
        <v/>
      </c>
      <c r="D484" s="557" t="str">
        <f t="shared" si="41"/>
        <v/>
      </c>
      <c r="E484" s="560"/>
      <c r="F484" s="559"/>
      <c r="G484" s="559" t="str">
        <f t="shared" si="42"/>
        <v/>
      </c>
      <c r="H484" s="559" t="str">
        <f t="shared" si="43"/>
        <v/>
      </c>
      <c r="I484" s="559" t="str">
        <f t="shared" si="44"/>
        <v/>
      </c>
    </row>
    <row r="485" spans="2:9">
      <c r="B485" s="555" t="str">
        <f t="shared" si="39"/>
        <v/>
      </c>
      <c r="C485" s="556" t="str">
        <f t="shared" si="40"/>
        <v/>
      </c>
      <c r="D485" s="557" t="str">
        <f t="shared" si="41"/>
        <v/>
      </c>
      <c r="E485" s="560"/>
      <c r="F485" s="559"/>
      <c r="G485" s="559" t="str">
        <f t="shared" si="42"/>
        <v/>
      </c>
      <c r="H485" s="559" t="str">
        <f t="shared" si="43"/>
        <v/>
      </c>
      <c r="I485" s="559" t="str">
        <f t="shared" si="44"/>
        <v/>
      </c>
    </row>
    <row r="486" spans="2:9">
      <c r="B486" s="555" t="str">
        <f t="shared" si="39"/>
        <v/>
      </c>
      <c r="C486" s="556" t="str">
        <f t="shared" si="40"/>
        <v/>
      </c>
      <c r="D486" s="557" t="str">
        <f t="shared" si="41"/>
        <v/>
      </c>
      <c r="E486" s="560"/>
      <c r="F486" s="559"/>
      <c r="G486" s="559" t="str">
        <f t="shared" si="42"/>
        <v/>
      </c>
      <c r="H486" s="559" t="str">
        <f t="shared" si="43"/>
        <v/>
      </c>
      <c r="I486" s="559" t="str">
        <f t="shared" si="44"/>
        <v/>
      </c>
    </row>
    <row r="487" spans="2:9">
      <c r="B487" s="555" t="str">
        <f t="shared" si="39"/>
        <v/>
      </c>
      <c r="C487" s="556" t="str">
        <f t="shared" si="40"/>
        <v/>
      </c>
      <c r="D487" s="557" t="str">
        <f t="shared" si="41"/>
        <v/>
      </c>
      <c r="E487" s="560"/>
      <c r="F487" s="559"/>
      <c r="G487" s="559" t="str">
        <f t="shared" si="42"/>
        <v/>
      </c>
      <c r="H487" s="559" t="str">
        <f t="shared" si="43"/>
        <v/>
      </c>
      <c r="I487" s="559" t="str">
        <f t="shared" si="44"/>
        <v/>
      </c>
    </row>
    <row r="488" spans="2:9">
      <c r="B488" s="555" t="str">
        <f t="shared" si="39"/>
        <v/>
      </c>
      <c r="C488" s="556" t="str">
        <f t="shared" si="40"/>
        <v/>
      </c>
      <c r="D488" s="557" t="str">
        <f t="shared" si="41"/>
        <v/>
      </c>
      <c r="E488" s="560"/>
      <c r="F488" s="559"/>
      <c r="G488" s="559" t="str">
        <f t="shared" si="42"/>
        <v/>
      </c>
      <c r="H488" s="559" t="str">
        <f t="shared" si="43"/>
        <v/>
      </c>
      <c r="I488" s="559" t="str">
        <f t="shared" si="44"/>
        <v/>
      </c>
    </row>
    <row r="489" spans="2:9">
      <c r="B489" s="555" t="str">
        <f t="shared" si="39"/>
        <v/>
      </c>
      <c r="C489" s="556" t="str">
        <f t="shared" si="40"/>
        <v/>
      </c>
      <c r="D489" s="557" t="str">
        <f t="shared" si="41"/>
        <v/>
      </c>
      <c r="E489" s="560"/>
      <c r="F489" s="559"/>
      <c r="G489" s="559" t="str">
        <f t="shared" si="42"/>
        <v/>
      </c>
      <c r="H489" s="559" t="str">
        <f t="shared" si="43"/>
        <v/>
      </c>
      <c r="I489" s="559" t="str">
        <f t="shared" si="44"/>
        <v/>
      </c>
    </row>
    <row r="490" spans="2:9">
      <c r="B490" s="555" t="str">
        <f t="shared" si="39"/>
        <v/>
      </c>
      <c r="C490" s="556" t="str">
        <f t="shared" si="40"/>
        <v/>
      </c>
      <c r="D490" s="557" t="str">
        <f t="shared" si="41"/>
        <v/>
      </c>
      <c r="E490" s="560"/>
      <c r="F490" s="559"/>
      <c r="G490" s="559" t="str">
        <f t="shared" si="42"/>
        <v/>
      </c>
      <c r="H490" s="559" t="str">
        <f t="shared" si="43"/>
        <v/>
      </c>
      <c r="I490" s="559" t="str">
        <f t="shared" si="44"/>
        <v/>
      </c>
    </row>
    <row r="491" spans="2:9">
      <c r="B491" s="555" t="str">
        <f t="shared" si="39"/>
        <v/>
      </c>
      <c r="C491" s="556" t="str">
        <f t="shared" si="40"/>
        <v/>
      </c>
      <c r="D491" s="557" t="str">
        <f t="shared" si="41"/>
        <v/>
      </c>
      <c r="E491" s="560"/>
      <c r="F491" s="559"/>
      <c r="G491" s="559" t="str">
        <f t="shared" si="42"/>
        <v/>
      </c>
      <c r="H491" s="559" t="str">
        <f t="shared" si="43"/>
        <v/>
      </c>
      <c r="I491" s="559" t="str">
        <f t="shared" si="44"/>
        <v/>
      </c>
    </row>
    <row r="492" spans="2:9">
      <c r="B492" s="555" t="str">
        <f t="shared" si="39"/>
        <v/>
      </c>
      <c r="C492" s="556" t="str">
        <f t="shared" si="40"/>
        <v/>
      </c>
      <c r="D492" s="557" t="str">
        <f t="shared" si="41"/>
        <v/>
      </c>
      <c r="E492" s="560"/>
      <c r="F492" s="559"/>
      <c r="G492" s="559" t="str">
        <f t="shared" si="42"/>
        <v/>
      </c>
      <c r="H492" s="559" t="str">
        <f t="shared" si="43"/>
        <v/>
      </c>
      <c r="I492" s="559" t="str">
        <f t="shared" si="44"/>
        <v/>
      </c>
    </row>
    <row r="493" spans="2:9">
      <c r="B493" s="555" t="str">
        <f t="shared" si="39"/>
        <v/>
      </c>
      <c r="C493" s="556" t="str">
        <f t="shared" si="40"/>
        <v/>
      </c>
      <c r="D493" s="557" t="str">
        <f t="shared" si="41"/>
        <v/>
      </c>
      <c r="E493" s="560"/>
      <c r="F493" s="559"/>
      <c r="G493" s="559" t="str">
        <f t="shared" si="42"/>
        <v/>
      </c>
      <c r="H493" s="559" t="str">
        <f t="shared" si="43"/>
        <v/>
      </c>
      <c r="I493" s="559" t="str">
        <f t="shared" si="44"/>
        <v/>
      </c>
    </row>
    <row r="494" spans="2:9">
      <c r="B494" s="555" t="str">
        <f t="shared" si="39"/>
        <v/>
      </c>
      <c r="C494" s="556" t="str">
        <f t="shared" si="40"/>
        <v/>
      </c>
      <c r="D494" s="557" t="str">
        <f t="shared" si="41"/>
        <v/>
      </c>
      <c r="E494" s="560"/>
      <c r="F494" s="559"/>
      <c r="G494" s="559" t="str">
        <f t="shared" si="42"/>
        <v/>
      </c>
      <c r="H494" s="559" t="str">
        <f t="shared" si="43"/>
        <v/>
      </c>
      <c r="I494" s="559" t="str">
        <f t="shared" si="44"/>
        <v/>
      </c>
    </row>
    <row r="495" spans="2:9">
      <c r="B495" s="555" t="str">
        <f t="shared" si="39"/>
        <v/>
      </c>
      <c r="C495" s="556" t="str">
        <f t="shared" si="40"/>
        <v/>
      </c>
      <c r="D495" s="557" t="str">
        <f t="shared" si="41"/>
        <v/>
      </c>
      <c r="E495" s="560"/>
      <c r="F495" s="559"/>
      <c r="G495" s="559" t="str">
        <f t="shared" si="42"/>
        <v/>
      </c>
      <c r="H495" s="559" t="str">
        <f t="shared" si="43"/>
        <v/>
      </c>
      <c r="I495" s="559" t="str">
        <f t="shared" si="44"/>
        <v/>
      </c>
    </row>
    <row r="496" spans="2:9">
      <c r="B496" s="555" t="str">
        <f t="shared" si="39"/>
        <v/>
      </c>
      <c r="C496" s="556" t="str">
        <f t="shared" si="40"/>
        <v/>
      </c>
      <c r="D496" s="557" t="str">
        <f t="shared" si="41"/>
        <v/>
      </c>
      <c r="E496" s="560"/>
      <c r="F496" s="559"/>
      <c r="G496" s="559" t="str">
        <f t="shared" si="42"/>
        <v/>
      </c>
      <c r="H496" s="559" t="str">
        <f t="shared" si="43"/>
        <v/>
      </c>
      <c r="I496" s="559" t="str">
        <f t="shared" si="44"/>
        <v/>
      </c>
    </row>
    <row r="497" spans="2:9">
      <c r="B497" s="555" t="str">
        <f t="shared" si="39"/>
        <v/>
      </c>
      <c r="C497" s="556" t="str">
        <f t="shared" si="40"/>
        <v/>
      </c>
      <c r="D497" s="557" t="str">
        <f t="shared" si="41"/>
        <v/>
      </c>
      <c r="E497" s="560"/>
      <c r="F497" s="559"/>
      <c r="G497" s="559" t="str">
        <f t="shared" si="42"/>
        <v/>
      </c>
      <c r="H497" s="559" t="str">
        <f t="shared" si="43"/>
        <v/>
      </c>
      <c r="I497" s="559" t="str">
        <f t="shared" si="44"/>
        <v/>
      </c>
    </row>
    <row r="498" spans="2:9">
      <c r="B498" s="555" t="str">
        <f t="shared" si="39"/>
        <v/>
      </c>
      <c r="C498" s="556" t="str">
        <f t="shared" si="40"/>
        <v/>
      </c>
      <c r="D498" s="557" t="str">
        <f t="shared" si="41"/>
        <v/>
      </c>
      <c r="E498" s="560"/>
      <c r="F498" s="559"/>
      <c r="G498" s="559" t="str">
        <f t="shared" si="42"/>
        <v/>
      </c>
      <c r="H498" s="559" t="str">
        <f t="shared" si="43"/>
        <v/>
      </c>
      <c r="I498" s="559" t="str">
        <f t="shared" si="44"/>
        <v/>
      </c>
    </row>
    <row r="499" spans="2:9">
      <c r="B499" s="555" t="str">
        <f t="shared" si="39"/>
        <v/>
      </c>
      <c r="C499" s="556" t="str">
        <f t="shared" si="40"/>
        <v/>
      </c>
      <c r="D499" s="557" t="str">
        <f t="shared" si="41"/>
        <v/>
      </c>
      <c r="E499" s="560"/>
      <c r="F499" s="559"/>
      <c r="G499" s="559" t="str">
        <f t="shared" si="42"/>
        <v/>
      </c>
      <c r="H499" s="559" t="str">
        <f t="shared" si="43"/>
        <v/>
      </c>
      <c r="I499" s="559" t="str">
        <f t="shared" si="44"/>
        <v/>
      </c>
    </row>
    <row r="500" spans="2:9">
      <c r="B500" s="555" t="str">
        <f t="shared" si="39"/>
        <v/>
      </c>
      <c r="C500" s="556" t="str">
        <f t="shared" si="40"/>
        <v/>
      </c>
      <c r="D500" s="557" t="str">
        <f t="shared" si="41"/>
        <v/>
      </c>
      <c r="E500" s="560"/>
      <c r="F500" s="559"/>
      <c r="G500" s="559" t="str">
        <f t="shared" si="42"/>
        <v/>
      </c>
      <c r="H500" s="559" t="str">
        <f t="shared" si="43"/>
        <v/>
      </c>
      <c r="I500" s="559" t="str">
        <f t="shared" si="44"/>
        <v/>
      </c>
    </row>
    <row r="501" spans="2:9">
      <c r="B501" s="555" t="str">
        <f t="shared" si="39"/>
        <v/>
      </c>
      <c r="C501" s="556" t="str">
        <f t="shared" si="40"/>
        <v/>
      </c>
      <c r="D501" s="557" t="str">
        <f t="shared" si="41"/>
        <v/>
      </c>
      <c r="E501" s="560"/>
      <c r="F501" s="559"/>
      <c r="G501" s="559" t="str">
        <f t="shared" si="42"/>
        <v/>
      </c>
      <c r="H501" s="559" t="str">
        <f t="shared" si="43"/>
        <v/>
      </c>
      <c r="I501" s="559" t="str">
        <f t="shared" si="44"/>
        <v/>
      </c>
    </row>
    <row r="502" spans="2:9">
      <c r="B502" s="555" t="str">
        <f t="shared" si="39"/>
        <v/>
      </c>
      <c r="C502" s="556" t="str">
        <f t="shared" si="40"/>
        <v/>
      </c>
      <c r="D502" s="557" t="str">
        <f t="shared" si="41"/>
        <v/>
      </c>
      <c r="E502" s="560"/>
      <c r="F502" s="559"/>
      <c r="G502" s="559" t="str">
        <f t="shared" si="42"/>
        <v/>
      </c>
      <c r="H502" s="559" t="str">
        <f t="shared" si="43"/>
        <v/>
      </c>
      <c r="I502" s="559" t="str">
        <f t="shared" si="44"/>
        <v/>
      </c>
    </row>
    <row r="503" spans="2:9">
      <c r="B503" s="555" t="str">
        <f t="shared" si="39"/>
        <v/>
      </c>
      <c r="C503" s="556" t="str">
        <f t="shared" si="40"/>
        <v/>
      </c>
      <c r="D503" s="557" t="str">
        <f t="shared" si="41"/>
        <v/>
      </c>
      <c r="E503" s="560"/>
      <c r="F503" s="559"/>
      <c r="G503" s="559" t="str">
        <f t="shared" si="42"/>
        <v/>
      </c>
      <c r="H503" s="559" t="str">
        <f t="shared" si="43"/>
        <v/>
      </c>
      <c r="I503" s="559" t="str">
        <f t="shared" si="44"/>
        <v/>
      </c>
    </row>
    <row r="504" spans="2:9">
      <c r="B504" s="555" t="str">
        <f t="shared" si="39"/>
        <v/>
      </c>
      <c r="C504" s="556" t="str">
        <f t="shared" si="40"/>
        <v/>
      </c>
      <c r="D504" s="557" t="str">
        <f t="shared" si="41"/>
        <v/>
      </c>
      <c r="E504" s="560"/>
      <c r="F504" s="559"/>
      <c r="G504" s="559" t="str">
        <f t="shared" si="42"/>
        <v/>
      </c>
      <c r="H504" s="559" t="str">
        <f t="shared" si="43"/>
        <v/>
      </c>
      <c r="I504" s="559" t="str">
        <f t="shared" si="44"/>
        <v/>
      </c>
    </row>
    <row r="505" spans="2:9">
      <c r="B505" s="555" t="str">
        <f t="shared" si="39"/>
        <v/>
      </c>
      <c r="C505" s="556" t="str">
        <f t="shared" si="40"/>
        <v/>
      </c>
      <c r="D505" s="557" t="str">
        <f t="shared" si="41"/>
        <v/>
      </c>
      <c r="E505" s="560"/>
      <c r="F505" s="559"/>
      <c r="G505" s="559" t="str">
        <f t="shared" si="42"/>
        <v/>
      </c>
      <c r="H505" s="559" t="str">
        <f t="shared" si="43"/>
        <v/>
      </c>
      <c r="I505" s="559" t="str">
        <f t="shared" si="44"/>
        <v/>
      </c>
    </row>
    <row r="506" spans="2:9">
      <c r="B506" s="555" t="str">
        <f t="shared" si="39"/>
        <v/>
      </c>
      <c r="C506" s="556" t="str">
        <f t="shared" si="40"/>
        <v/>
      </c>
      <c r="D506" s="557" t="str">
        <f t="shared" si="41"/>
        <v/>
      </c>
      <c r="E506" s="560"/>
      <c r="F506" s="559"/>
      <c r="G506" s="559" t="str">
        <f t="shared" si="42"/>
        <v/>
      </c>
      <c r="H506" s="559" t="str">
        <f t="shared" si="43"/>
        <v/>
      </c>
      <c r="I506" s="559" t="str">
        <f t="shared" si="44"/>
        <v/>
      </c>
    </row>
    <row r="507" spans="2:9">
      <c r="B507" s="555" t="str">
        <f t="shared" si="39"/>
        <v/>
      </c>
      <c r="C507" s="556" t="str">
        <f t="shared" si="40"/>
        <v/>
      </c>
      <c r="D507" s="557" t="str">
        <f t="shared" si="41"/>
        <v/>
      </c>
      <c r="E507" s="560"/>
      <c r="F507" s="559"/>
      <c r="G507" s="559" t="str">
        <f t="shared" si="42"/>
        <v/>
      </c>
      <c r="H507" s="559" t="str">
        <f t="shared" si="43"/>
        <v/>
      </c>
      <c r="I507" s="559" t="str">
        <f t="shared" si="44"/>
        <v/>
      </c>
    </row>
    <row r="508" spans="2:9">
      <c r="B508" s="555" t="str">
        <f t="shared" si="39"/>
        <v/>
      </c>
      <c r="C508" s="556" t="str">
        <f t="shared" si="40"/>
        <v/>
      </c>
      <c r="D508" s="557" t="str">
        <f t="shared" si="41"/>
        <v/>
      </c>
      <c r="E508" s="560"/>
      <c r="F508" s="559"/>
      <c r="G508" s="559" t="str">
        <f t="shared" si="42"/>
        <v/>
      </c>
      <c r="H508" s="559" t="str">
        <f t="shared" si="43"/>
        <v/>
      </c>
      <c r="I508" s="559" t="str">
        <f t="shared" si="44"/>
        <v/>
      </c>
    </row>
    <row r="509" spans="2:9">
      <c r="B509" s="555" t="str">
        <f t="shared" ref="B509:B572" si="45">IF(I508="","",IF(roundOpt,IF(OR(B508&gt;=nper,ROUND(I508,2)&lt;=0),"",B508+1),IF(OR(B508&gt;=nper,I508&lt;=0),"",B508+1)))</f>
        <v/>
      </c>
      <c r="C509" s="556" t="str">
        <f t="shared" ref="C509:C572" si="46">IF(B509="","",IF(OR(periods_per_year=26,periods_per_year=52),IF(periods_per_year=26,IF(B509=1,fpdate,C508+14),IF(periods_per_year=52,IF(B509=1,fpdate,C508+7),"n/a")),IF(periods_per_year=24,DATE(YEAR(fpdate),MONTH(fpdate)+(B509-1)/2+IF(AND(DAY(fpdate)&gt;=15,MOD(B509,2)=0),1,0),IF(MOD(B509,2)=0,IF(DAY(fpdate)&gt;=15,DAY(fpdate)-14,DAY(fpdate)+14),DAY(fpdate))),IF(DAY(DATE(YEAR(fpdate),MONTH(fpdate)+(B509-1)*months_per_period,DAY(fpdate)))&lt;&gt;DAY(fpdate),DATE(YEAR(fpdate),MONTH(fpdate)+(B509-1)*months_per_period+1,0),DATE(YEAR(fpdate),MONTH(fpdate)+(B509-1)*months_per_period,DAY(fpdate))))))</f>
        <v/>
      </c>
      <c r="D509" s="557" t="str">
        <f t="shared" ref="D509:D572" si="47">IF(B509="","",IF(roundOpt,IF(OR(B509=nper,payment&gt;ROUND((1+rate)*I508,2)),ROUND((1+rate)*I508,2),payment),IF(OR(B509=nper,payment&gt;(1+rate)*I508),(1+rate)*I508,payment)))</f>
        <v/>
      </c>
      <c r="E509" s="560"/>
      <c r="F509" s="559"/>
      <c r="G509" s="559" t="str">
        <f t="shared" ref="G509:G572" si="48">IF(B509="","",IF(AND(B509=1,pmtType=1),0,IF(roundOpt,ROUND(rate*I508,2),rate*I508)))</f>
        <v/>
      </c>
      <c r="H509" s="559" t="str">
        <f t="shared" ref="H509:H572" si="49">IF(B509="","",D509-G509+E509)</f>
        <v/>
      </c>
      <c r="I509" s="559" t="str">
        <f t="shared" ref="I509:I572" si="50">IF(B509="","",I508-H509)</f>
        <v/>
      </c>
    </row>
    <row r="510" spans="2:9">
      <c r="B510" s="555" t="str">
        <f t="shared" si="45"/>
        <v/>
      </c>
      <c r="C510" s="556" t="str">
        <f t="shared" si="46"/>
        <v/>
      </c>
      <c r="D510" s="557" t="str">
        <f t="shared" si="47"/>
        <v/>
      </c>
      <c r="E510" s="560"/>
      <c r="F510" s="559"/>
      <c r="G510" s="559" t="str">
        <f t="shared" si="48"/>
        <v/>
      </c>
      <c r="H510" s="559" t="str">
        <f t="shared" si="49"/>
        <v/>
      </c>
      <c r="I510" s="559" t="str">
        <f t="shared" si="50"/>
        <v/>
      </c>
    </row>
    <row r="511" spans="2:9">
      <c r="B511" s="555" t="str">
        <f t="shared" si="45"/>
        <v/>
      </c>
      <c r="C511" s="556" t="str">
        <f t="shared" si="46"/>
        <v/>
      </c>
      <c r="D511" s="557" t="str">
        <f t="shared" si="47"/>
        <v/>
      </c>
      <c r="E511" s="560"/>
      <c r="F511" s="559"/>
      <c r="G511" s="559" t="str">
        <f t="shared" si="48"/>
        <v/>
      </c>
      <c r="H511" s="559" t="str">
        <f t="shared" si="49"/>
        <v/>
      </c>
      <c r="I511" s="559" t="str">
        <f t="shared" si="50"/>
        <v/>
      </c>
    </row>
    <row r="512" spans="2:9">
      <c r="B512" s="555" t="str">
        <f t="shared" si="45"/>
        <v/>
      </c>
      <c r="C512" s="556" t="str">
        <f t="shared" si="46"/>
        <v/>
      </c>
      <c r="D512" s="557" t="str">
        <f t="shared" si="47"/>
        <v/>
      </c>
      <c r="E512" s="560"/>
      <c r="F512" s="559"/>
      <c r="G512" s="559" t="str">
        <f t="shared" si="48"/>
        <v/>
      </c>
      <c r="H512" s="559" t="str">
        <f t="shared" si="49"/>
        <v/>
      </c>
      <c r="I512" s="559" t="str">
        <f t="shared" si="50"/>
        <v/>
      </c>
    </row>
    <row r="513" spans="2:9">
      <c r="B513" s="555" t="str">
        <f t="shared" si="45"/>
        <v/>
      </c>
      <c r="C513" s="556" t="str">
        <f t="shared" si="46"/>
        <v/>
      </c>
      <c r="D513" s="557" t="str">
        <f t="shared" si="47"/>
        <v/>
      </c>
      <c r="E513" s="560"/>
      <c r="F513" s="559"/>
      <c r="G513" s="559" t="str">
        <f t="shared" si="48"/>
        <v/>
      </c>
      <c r="H513" s="559" t="str">
        <f t="shared" si="49"/>
        <v/>
      </c>
      <c r="I513" s="559" t="str">
        <f t="shared" si="50"/>
        <v/>
      </c>
    </row>
    <row r="514" spans="2:9">
      <c r="B514" s="555" t="str">
        <f t="shared" si="45"/>
        <v/>
      </c>
      <c r="C514" s="556" t="str">
        <f t="shared" si="46"/>
        <v/>
      </c>
      <c r="D514" s="557" t="str">
        <f t="shared" si="47"/>
        <v/>
      </c>
      <c r="E514" s="560"/>
      <c r="F514" s="559"/>
      <c r="G514" s="559" t="str">
        <f t="shared" si="48"/>
        <v/>
      </c>
      <c r="H514" s="559" t="str">
        <f t="shared" si="49"/>
        <v/>
      </c>
      <c r="I514" s="559" t="str">
        <f t="shared" si="50"/>
        <v/>
      </c>
    </row>
    <row r="515" spans="2:9">
      <c r="B515" s="555" t="str">
        <f t="shared" si="45"/>
        <v/>
      </c>
      <c r="C515" s="556" t="str">
        <f t="shared" si="46"/>
        <v/>
      </c>
      <c r="D515" s="557" t="str">
        <f t="shared" si="47"/>
        <v/>
      </c>
      <c r="E515" s="560"/>
      <c r="F515" s="559"/>
      <c r="G515" s="559" t="str">
        <f t="shared" si="48"/>
        <v/>
      </c>
      <c r="H515" s="559" t="str">
        <f t="shared" si="49"/>
        <v/>
      </c>
      <c r="I515" s="559" t="str">
        <f t="shared" si="50"/>
        <v/>
      </c>
    </row>
    <row r="516" spans="2:9">
      <c r="B516" s="555" t="str">
        <f t="shared" si="45"/>
        <v/>
      </c>
      <c r="C516" s="556" t="str">
        <f t="shared" si="46"/>
        <v/>
      </c>
      <c r="D516" s="557" t="str">
        <f t="shared" si="47"/>
        <v/>
      </c>
      <c r="E516" s="560"/>
      <c r="F516" s="559"/>
      <c r="G516" s="559" t="str">
        <f t="shared" si="48"/>
        <v/>
      </c>
      <c r="H516" s="559" t="str">
        <f t="shared" si="49"/>
        <v/>
      </c>
      <c r="I516" s="559" t="str">
        <f t="shared" si="50"/>
        <v/>
      </c>
    </row>
    <row r="517" spans="2:9">
      <c r="B517" s="555" t="str">
        <f t="shared" si="45"/>
        <v/>
      </c>
      <c r="C517" s="556" t="str">
        <f t="shared" si="46"/>
        <v/>
      </c>
      <c r="D517" s="557" t="str">
        <f t="shared" si="47"/>
        <v/>
      </c>
      <c r="E517" s="560"/>
      <c r="F517" s="559"/>
      <c r="G517" s="559" t="str">
        <f t="shared" si="48"/>
        <v/>
      </c>
      <c r="H517" s="559" t="str">
        <f t="shared" si="49"/>
        <v/>
      </c>
      <c r="I517" s="559" t="str">
        <f t="shared" si="50"/>
        <v/>
      </c>
    </row>
    <row r="518" spans="2:9">
      <c r="B518" s="555" t="str">
        <f t="shared" si="45"/>
        <v/>
      </c>
      <c r="C518" s="556" t="str">
        <f t="shared" si="46"/>
        <v/>
      </c>
      <c r="D518" s="557" t="str">
        <f t="shared" si="47"/>
        <v/>
      </c>
      <c r="E518" s="560"/>
      <c r="F518" s="559"/>
      <c r="G518" s="559" t="str">
        <f t="shared" si="48"/>
        <v/>
      </c>
      <c r="H518" s="559" t="str">
        <f t="shared" si="49"/>
        <v/>
      </c>
      <c r="I518" s="559" t="str">
        <f t="shared" si="50"/>
        <v/>
      </c>
    </row>
    <row r="519" spans="2:9">
      <c r="B519" s="555" t="str">
        <f t="shared" si="45"/>
        <v/>
      </c>
      <c r="C519" s="556" t="str">
        <f t="shared" si="46"/>
        <v/>
      </c>
      <c r="D519" s="557" t="str">
        <f t="shared" si="47"/>
        <v/>
      </c>
      <c r="E519" s="560"/>
      <c r="F519" s="559"/>
      <c r="G519" s="559" t="str">
        <f t="shared" si="48"/>
        <v/>
      </c>
      <c r="H519" s="559" t="str">
        <f t="shared" si="49"/>
        <v/>
      </c>
      <c r="I519" s="559" t="str">
        <f t="shared" si="50"/>
        <v/>
      </c>
    </row>
    <row r="520" spans="2:9">
      <c r="B520" s="555" t="str">
        <f t="shared" si="45"/>
        <v/>
      </c>
      <c r="C520" s="556" t="str">
        <f t="shared" si="46"/>
        <v/>
      </c>
      <c r="D520" s="557" t="str">
        <f t="shared" si="47"/>
        <v/>
      </c>
      <c r="E520" s="560"/>
      <c r="F520" s="559"/>
      <c r="G520" s="559" t="str">
        <f t="shared" si="48"/>
        <v/>
      </c>
      <c r="H520" s="559" t="str">
        <f t="shared" si="49"/>
        <v/>
      </c>
      <c r="I520" s="559" t="str">
        <f t="shared" si="50"/>
        <v/>
      </c>
    </row>
    <row r="521" spans="2:9">
      <c r="B521" s="555" t="str">
        <f t="shared" si="45"/>
        <v/>
      </c>
      <c r="C521" s="556" t="str">
        <f t="shared" si="46"/>
        <v/>
      </c>
      <c r="D521" s="557" t="str">
        <f t="shared" si="47"/>
        <v/>
      </c>
      <c r="E521" s="560"/>
      <c r="F521" s="559"/>
      <c r="G521" s="559" t="str">
        <f t="shared" si="48"/>
        <v/>
      </c>
      <c r="H521" s="559" t="str">
        <f t="shared" si="49"/>
        <v/>
      </c>
      <c r="I521" s="559" t="str">
        <f t="shared" si="50"/>
        <v/>
      </c>
    </row>
    <row r="522" spans="2:9">
      <c r="B522" s="555" t="str">
        <f t="shared" si="45"/>
        <v/>
      </c>
      <c r="C522" s="556" t="str">
        <f t="shared" si="46"/>
        <v/>
      </c>
      <c r="D522" s="557" t="str">
        <f t="shared" si="47"/>
        <v/>
      </c>
      <c r="E522" s="560"/>
      <c r="F522" s="559"/>
      <c r="G522" s="559" t="str">
        <f t="shared" si="48"/>
        <v/>
      </c>
      <c r="H522" s="559" t="str">
        <f t="shared" si="49"/>
        <v/>
      </c>
      <c r="I522" s="559" t="str">
        <f t="shared" si="50"/>
        <v/>
      </c>
    </row>
    <row r="523" spans="2:9">
      <c r="B523" s="555" t="str">
        <f t="shared" si="45"/>
        <v/>
      </c>
      <c r="C523" s="556" t="str">
        <f t="shared" si="46"/>
        <v/>
      </c>
      <c r="D523" s="557" t="str">
        <f t="shared" si="47"/>
        <v/>
      </c>
      <c r="E523" s="560"/>
      <c r="F523" s="559"/>
      <c r="G523" s="559" t="str">
        <f t="shared" si="48"/>
        <v/>
      </c>
      <c r="H523" s="559" t="str">
        <f t="shared" si="49"/>
        <v/>
      </c>
      <c r="I523" s="559" t="str">
        <f t="shared" si="50"/>
        <v/>
      </c>
    </row>
    <row r="524" spans="2:9">
      <c r="B524" s="555" t="str">
        <f t="shared" si="45"/>
        <v/>
      </c>
      <c r="C524" s="556" t="str">
        <f t="shared" si="46"/>
        <v/>
      </c>
      <c r="D524" s="557" t="str">
        <f t="shared" si="47"/>
        <v/>
      </c>
      <c r="E524" s="560"/>
      <c r="F524" s="559"/>
      <c r="G524" s="559" t="str">
        <f t="shared" si="48"/>
        <v/>
      </c>
      <c r="H524" s="559" t="str">
        <f t="shared" si="49"/>
        <v/>
      </c>
      <c r="I524" s="559" t="str">
        <f t="shared" si="50"/>
        <v/>
      </c>
    </row>
    <row r="525" spans="2:9">
      <c r="B525" s="555" t="str">
        <f t="shared" si="45"/>
        <v/>
      </c>
      <c r="C525" s="556" t="str">
        <f t="shared" si="46"/>
        <v/>
      </c>
      <c r="D525" s="557" t="str">
        <f t="shared" si="47"/>
        <v/>
      </c>
      <c r="E525" s="560"/>
      <c r="F525" s="559"/>
      <c r="G525" s="559" t="str">
        <f t="shared" si="48"/>
        <v/>
      </c>
      <c r="H525" s="559" t="str">
        <f t="shared" si="49"/>
        <v/>
      </c>
      <c r="I525" s="559" t="str">
        <f t="shared" si="50"/>
        <v/>
      </c>
    </row>
    <row r="526" spans="2:9">
      <c r="B526" s="555" t="str">
        <f t="shared" si="45"/>
        <v/>
      </c>
      <c r="C526" s="556" t="str">
        <f t="shared" si="46"/>
        <v/>
      </c>
      <c r="D526" s="557" t="str">
        <f t="shared" si="47"/>
        <v/>
      </c>
      <c r="E526" s="560"/>
      <c r="F526" s="559"/>
      <c r="G526" s="559" t="str">
        <f t="shared" si="48"/>
        <v/>
      </c>
      <c r="H526" s="559" t="str">
        <f t="shared" si="49"/>
        <v/>
      </c>
      <c r="I526" s="559" t="str">
        <f t="shared" si="50"/>
        <v/>
      </c>
    </row>
    <row r="527" spans="2:9">
      <c r="B527" s="555" t="str">
        <f t="shared" si="45"/>
        <v/>
      </c>
      <c r="C527" s="556" t="str">
        <f t="shared" si="46"/>
        <v/>
      </c>
      <c r="D527" s="557" t="str">
        <f t="shared" si="47"/>
        <v/>
      </c>
      <c r="E527" s="560"/>
      <c r="F527" s="559"/>
      <c r="G527" s="559" t="str">
        <f t="shared" si="48"/>
        <v/>
      </c>
      <c r="H527" s="559" t="str">
        <f t="shared" si="49"/>
        <v/>
      </c>
      <c r="I527" s="559" t="str">
        <f t="shared" si="50"/>
        <v/>
      </c>
    </row>
    <row r="528" spans="2:9">
      <c r="B528" s="555" t="str">
        <f t="shared" si="45"/>
        <v/>
      </c>
      <c r="C528" s="556" t="str">
        <f t="shared" si="46"/>
        <v/>
      </c>
      <c r="D528" s="557" t="str">
        <f t="shared" si="47"/>
        <v/>
      </c>
      <c r="E528" s="560"/>
      <c r="F528" s="559"/>
      <c r="G528" s="559" t="str">
        <f t="shared" si="48"/>
        <v/>
      </c>
      <c r="H528" s="559" t="str">
        <f t="shared" si="49"/>
        <v/>
      </c>
      <c r="I528" s="559" t="str">
        <f t="shared" si="50"/>
        <v/>
      </c>
    </row>
    <row r="529" spans="2:9">
      <c r="B529" s="555" t="str">
        <f t="shared" si="45"/>
        <v/>
      </c>
      <c r="C529" s="556" t="str">
        <f t="shared" si="46"/>
        <v/>
      </c>
      <c r="D529" s="557" t="str">
        <f t="shared" si="47"/>
        <v/>
      </c>
      <c r="E529" s="560"/>
      <c r="F529" s="559"/>
      <c r="G529" s="559" t="str">
        <f t="shared" si="48"/>
        <v/>
      </c>
      <c r="H529" s="559" t="str">
        <f t="shared" si="49"/>
        <v/>
      </c>
      <c r="I529" s="559" t="str">
        <f t="shared" si="50"/>
        <v/>
      </c>
    </row>
    <row r="530" spans="2:9">
      <c r="B530" s="555" t="str">
        <f t="shared" si="45"/>
        <v/>
      </c>
      <c r="C530" s="556" t="str">
        <f t="shared" si="46"/>
        <v/>
      </c>
      <c r="D530" s="557" t="str">
        <f t="shared" si="47"/>
        <v/>
      </c>
      <c r="E530" s="560"/>
      <c r="F530" s="559"/>
      <c r="G530" s="559" t="str">
        <f t="shared" si="48"/>
        <v/>
      </c>
      <c r="H530" s="559" t="str">
        <f t="shared" si="49"/>
        <v/>
      </c>
      <c r="I530" s="559" t="str">
        <f t="shared" si="50"/>
        <v/>
      </c>
    </row>
    <row r="531" spans="2:9">
      <c r="B531" s="555" t="str">
        <f t="shared" si="45"/>
        <v/>
      </c>
      <c r="C531" s="556" t="str">
        <f t="shared" si="46"/>
        <v/>
      </c>
      <c r="D531" s="557" t="str">
        <f t="shared" si="47"/>
        <v/>
      </c>
      <c r="E531" s="560"/>
      <c r="F531" s="559"/>
      <c r="G531" s="559" t="str">
        <f t="shared" si="48"/>
        <v/>
      </c>
      <c r="H531" s="559" t="str">
        <f t="shared" si="49"/>
        <v/>
      </c>
      <c r="I531" s="559" t="str">
        <f t="shared" si="50"/>
        <v/>
      </c>
    </row>
    <row r="532" spans="2:9">
      <c r="B532" s="555" t="str">
        <f t="shared" si="45"/>
        <v/>
      </c>
      <c r="C532" s="556" t="str">
        <f t="shared" si="46"/>
        <v/>
      </c>
      <c r="D532" s="557" t="str">
        <f t="shared" si="47"/>
        <v/>
      </c>
      <c r="E532" s="560"/>
      <c r="F532" s="559"/>
      <c r="G532" s="559" t="str">
        <f t="shared" si="48"/>
        <v/>
      </c>
      <c r="H532" s="559" t="str">
        <f t="shared" si="49"/>
        <v/>
      </c>
      <c r="I532" s="559" t="str">
        <f t="shared" si="50"/>
        <v/>
      </c>
    </row>
    <row r="533" spans="2:9">
      <c r="B533" s="555" t="str">
        <f t="shared" si="45"/>
        <v/>
      </c>
      <c r="C533" s="556" t="str">
        <f t="shared" si="46"/>
        <v/>
      </c>
      <c r="D533" s="557" t="str">
        <f t="shared" si="47"/>
        <v/>
      </c>
      <c r="E533" s="560"/>
      <c r="F533" s="559"/>
      <c r="G533" s="559" t="str">
        <f t="shared" si="48"/>
        <v/>
      </c>
      <c r="H533" s="559" t="str">
        <f t="shared" si="49"/>
        <v/>
      </c>
      <c r="I533" s="559" t="str">
        <f t="shared" si="50"/>
        <v/>
      </c>
    </row>
    <row r="534" spans="2:9">
      <c r="B534" s="555" t="str">
        <f t="shared" si="45"/>
        <v/>
      </c>
      <c r="C534" s="556" t="str">
        <f t="shared" si="46"/>
        <v/>
      </c>
      <c r="D534" s="557" t="str">
        <f t="shared" si="47"/>
        <v/>
      </c>
      <c r="E534" s="560"/>
      <c r="F534" s="559"/>
      <c r="G534" s="559" t="str">
        <f t="shared" si="48"/>
        <v/>
      </c>
      <c r="H534" s="559" t="str">
        <f t="shared" si="49"/>
        <v/>
      </c>
      <c r="I534" s="559" t="str">
        <f t="shared" si="50"/>
        <v/>
      </c>
    </row>
    <row r="535" spans="2:9">
      <c r="B535" s="555" t="str">
        <f t="shared" si="45"/>
        <v/>
      </c>
      <c r="C535" s="556" t="str">
        <f t="shared" si="46"/>
        <v/>
      </c>
      <c r="D535" s="557" t="str">
        <f t="shared" si="47"/>
        <v/>
      </c>
      <c r="E535" s="560"/>
      <c r="F535" s="559"/>
      <c r="G535" s="559" t="str">
        <f t="shared" si="48"/>
        <v/>
      </c>
      <c r="H535" s="559" t="str">
        <f t="shared" si="49"/>
        <v/>
      </c>
      <c r="I535" s="559" t="str">
        <f t="shared" si="50"/>
        <v/>
      </c>
    </row>
    <row r="536" spans="2:9">
      <c r="B536" s="555" t="str">
        <f t="shared" si="45"/>
        <v/>
      </c>
      <c r="C536" s="556" t="str">
        <f t="shared" si="46"/>
        <v/>
      </c>
      <c r="D536" s="557" t="str">
        <f t="shared" si="47"/>
        <v/>
      </c>
      <c r="E536" s="560"/>
      <c r="F536" s="559"/>
      <c r="G536" s="559" t="str">
        <f t="shared" si="48"/>
        <v/>
      </c>
      <c r="H536" s="559" t="str">
        <f t="shared" si="49"/>
        <v/>
      </c>
      <c r="I536" s="559" t="str">
        <f t="shared" si="50"/>
        <v/>
      </c>
    </row>
    <row r="537" spans="2:9">
      <c r="B537" s="555" t="str">
        <f t="shared" si="45"/>
        <v/>
      </c>
      <c r="C537" s="556" t="str">
        <f t="shared" si="46"/>
        <v/>
      </c>
      <c r="D537" s="557" t="str">
        <f t="shared" si="47"/>
        <v/>
      </c>
      <c r="E537" s="560"/>
      <c r="F537" s="559"/>
      <c r="G537" s="559" t="str">
        <f t="shared" si="48"/>
        <v/>
      </c>
      <c r="H537" s="559" t="str">
        <f t="shared" si="49"/>
        <v/>
      </c>
      <c r="I537" s="559" t="str">
        <f t="shared" si="50"/>
        <v/>
      </c>
    </row>
    <row r="538" spans="2:9">
      <c r="B538" s="555" t="str">
        <f t="shared" si="45"/>
        <v/>
      </c>
      <c r="C538" s="556" t="str">
        <f t="shared" si="46"/>
        <v/>
      </c>
      <c r="D538" s="557" t="str">
        <f t="shared" si="47"/>
        <v/>
      </c>
      <c r="E538" s="560"/>
      <c r="F538" s="559"/>
      <c r="G538" s="559" t="str">
        <f t="shared" si="48"/>
        <v/>
      </c>
      <c r="H538" s="559" t="str">
        <f t="shared" si="49"/>
        <v/>
      </c>
      <c r="I538" s="559" t="str">
        <f t="shared" si="50"/>
        <v/>
      </c>
    </row>
    <row r="539" spans="2:9">
      <c r="B539" s="555" t="str">
        <f t="shared" si="45"/>
        <v/>
      </c>
      <c r="C539" s="556" t="str">
        <f t="shared" si="46"/>
        <v/>
      </c>
      <c r="D539" s="557" t="str">
        <f t="shared" si="47"/>
        <v/>
      </c>
      <c r="E539" s="560"/>
      <c r="F539" s="559"/>
      <c r="G539" s="559" t="str">
        <f t="shared" si="48"/>
        <v/>
      </c>
      <c r="H539" s="559" t="str">
        <f t="shared" si="49"/>
        <v/>
      </c>
      <c r="I539" s="559" t="str">
        <f t="shared" si="50"/>
        <v/>
      </c>
    </row>
    <row r="540" spans="2:9">
      <c r="B540" s="555" t="str">
        <f t="shared" si="45"/>
        <v/>
      </c>
      <c r="C540" s="556" t="str">
        <f t="shared" si="46"/>
        <v/>
      </c>
      <c r="D540" s="557" t="str">
        <f t="shared" si="47"/>
        <v/>
      </c>
      <c r="E540" s="560"/>
      <c r="F540" s="559"/>
      <c r="G540" s="559" t="str">
        <f t="shared" si="48"/>
        <v/>
      </c>
      <c r="H540" s="559" t="str">
        <f t="shared" si="49"/>
        <v/>
      </c>
      <c r="I540" s="559" t="str">
        <f t="shared" si="50"/>
        <v/>
      </c>
    </row>
    <row r="541" spans="2:9">
      <c r="B541" s="555" t="str">
        <f t="shared" si="45"/>
        <v/>
      </c>
      <c r="C541" s="556" t="str">
        <f t="shared" si="46"/>
        <v/>
      </c>
      <c r="D541" s="557" t="str">
        <f t="shared" si="47"/>
        <v/>
      </c>
      <c r="E541" s="560"/>
      <c r="F541" s="559"/>
      <c r="G541" s="559" t="str">
        <f t="shared" si="48"/>
        <v/>
      </c>
      <c r="H541" s="559" t="str">
        <f t="shared" si="49"/>
        <v/>
      </c>
      <c r="I541" s="559" t="str">
        <f t="shared" si="50"/>
        <v/>
      </c>
    </row>
    <row r="542" spans="2:9">
      <c r="B542" s="555" t="str">
        <f t="shared" si="45"/>
        <v/>
      </c>
      <c r="C542" s="556" t="str">
        <f t="shared" si="46"/>
        <v/>
      </c>
      <c r="D542" s="557" t="str">
        <f t="shared" si="47"/>
        <v/>
      </c>
      <c r="E542" s="560"/>
      <c r="F542" s="559"/>
      <c r="G542" s="559" t="str">
        <f t="shared" si="48"/>
        <v/>
      </c>
      <c r="H542" s="559" t="str">
        <f t="shared" si="49"/>
        <v/>
      </c>
      <c r="I542" s="559" t="str">
        <f t="shared" si="50"/>
        <v/>
      </c>
    </row>
    <row r="543" spans="2:9">
      <c r="B543" s="555" t="str">
        <f t="shared" si="45"/>
        <v/>
      </c>
      <c r="C543" s="556" t="str">
        <f t="shared" si="46"/>
        <v/>
      </c>
      <c r="D543" s="557" t="str">
        <f t="shared" si="47"/>
        <v/>
      </c>
      <c r="E543" s="560"/>
      <c r="F543" s="559"/>
      <c r="G543" s="559" t="str">
        <f t="shared" si="48"/>
        <v/>
      </c>
      <c r="H543" s="559" t="str">
        <f t="shared" si="49"/>
        <v/>
      </c>
      <c r="I543" s="559" t="str">
        <f t="shared" si="50"/>
        <v/>
      </c>
    </row>
    <row r="544" spans="2:9">
      <c r="B544" s="555" t="str">
        <f t="shared" si="45"/>
        <v/>
      </c>
      <c r="C544" s="556" t="str">
        <f t="shared" si="46"/>
        <v/>
      </c>
      <c r="D544" s="557" t="str">
        <f t="shared" si="47"/>
        <v/>
      </c>
      <c r="E544" s="560"/>
      <c r="F544" s="559"/>
      <c r="G544" s="559" t="str">
        <f t="shared" si="48"/>
        <v/>
      </c>
      <c r="H544" s="559" t="str">
        <f t="shared" si="49"/>
        <v/>
      </c>
      <c r="I544" s="559" t="str">
        <f t="shared" si="50"/>
        <v/>
      </c>
    </row>
    <row r="545" spans="2:9">
      <c r="B545" s="555" t="str">
        <f t="shared" si="45"/>
        <v/>
      </c>
      <c r="C545" s="556" t="str">
        <f t="shared" si="46"/>
        <v/>
      </c>
      <c r="D545" s="557" t="str">
        <f t="shared" si="47"/>
        <v/>
      </c>
      <c r="E545" s="560"/>
      <c r="F545" s="559"/>
      <c r="G545" s="559" t="str">
        <f t="shared" si="48"/>
        <v/>
      </c>
      <c r="H545" s="559" t="str">
        <f t="shared" si="49"/>
        <v/>
      </c>
      <c r="I545" s="559" t="str">
        <f t="shared" si="50"/>
        <v/>
      </c>
    </row>
    <row r="546" spans="2:9">
      <c r="B546" s="555" t="str">
        <f t="shared" si="45"/>
        <v/>
      </c>
      <c r="C546" s="556" t="str">
        <f t="shared" si="46"/>
        <v/>
      </c>
      <c r="D546" s="557" t="str">
        <f t="shared" si="47"/>
        <v/>
      </c>
      <c r="E546" s="560"/>
      <c r="F546" s="559"/>
      <c r="G546" s="559" t="str">
        <f t="shared" si="48"/>
        <v/>
      </c>
      <c r="H546" s="559" t="str">
        <f t="shared" si="49"/>
        <v/>
      </c>
      <c r="I546" s="559" t="str">
        <f t="shared" si="50"/>
        <v/>
      </c>
    </row>
    <row r="547" spans="2:9">
      <c r="B547" s="555" t="str">
        <f t="shared" si="45"/>
        <v/>
      </c>
      <c r="C547" s="556" t="str">
        <f t="shared" si="46"/>
        <v/>
      </c>
      <c r="D547" s="557" t="str">
        <f t="shared" si="47"/>
        <v/>
      </c>
      <c r="E547" s="560"/>
      <c r="F547" s="559"/>
      <c r="G547" s="559" t="str">
        <f t="shared" si="48"/>
        <v/>
      </c>
      <c r="H547" s="559" t="str">
        <f t="shared" si="49"/>
        <v/>
      </c>
      <c r="I547" s="559" t="str">
        <f t="shared" si="50"/>
        <v/>
      </c>
    </row>
    <row r="548" spans="2:9">
      <c r="B548" s="555" t="str">
        <f t="shared" si="45"/>
        <v/>
      </c>
      <c r="C548" s="556" t="str">
        <f t="shared" si="46"/>
        <v/>
      </c>
      <c r="D548" s="557" t="str">
        <f t="shared" si="47"/>
        <v/>
      </c>
      <c r="E548" s="560"/>
      <c r="F548" s="559"/>
      <c r="G548" s="559" t="str">
        <f t="shared" si="48"/>
        <v/>
      </c>
      <c r="H548" s="559" t="str">
        <f t="shared" si="49"/>
        <v/>
      </c>
      <c r="I548" s="559" t="str">
        <f t="shared" si="50"/>
        <v/>
      </c>
    </row>
    <row r="549" spans="2:9">
      <c r="B549" s="555" t="str">
        <f t="shared" si="45"/>
        <v/>
      </c>
      <c r="C549" s="556" t="str">
        <f t="shared" si="46"/>
        <v/>
      </c>
      <c r="D549" s="557" t="str">
        <f t="shared" si="47"/>
        <v/>
      </c>
      <c r="E549" s="560"/>
      <c r="F549" s="559"/>
      <c r="G549" s="559" t="str">
        <f t="shared" si="48"/>
        <v/>
      </c>
      <c r="H549" s="559" t="str">
        <f t="shared" si="49"/>
        <v/>
      </c>
      <c r="I549" s="559" t="str">
        <f t="shared" si="50"/>
        <v/>
      </c>
    </row>
    <row r="550" spans="2:9">
      <c r="B550" s="555" t="str">
        <f t="shared" si="45"/>
        <v/>
      </c>
      <c r="C550" s="556" t="str">
        <f t="shared" si="46"/>
        <v/>
      </c>
      <c r="D550" s="557" t="str">
        <f t="shared" si="47"/>
        <v/>
      </c>
      <c r="E550" s="560"/>
      <c r="F550" s="559"/>
      <c r="G550" s="559" t="str">
        <f t="shared" si="48"/>
        <v/>
      </c>
      <c r="H550" s="559" t="str">
        <f t="shared" si="49"/>
        <v/>
      </c>
      <c r="I550" s="559" t="str">
        <f t="shared" si="50"/>
        <v/>
      </c>
    </row>
    <row r="551" spans="2:9">
      <c r="B551" s="555" t="str">
        <f t="shared" si="45"/>
        <v/>
      </c>
      <c r="C551" s="556" t="str">
        <f t="shared" si="46"/>
        <v/>
      </c>
      <c r="D551" s="557" t="str">
        <f t="shared" si="47"/>
        <v/>
      </c>
      <c r="E551" s="560"/>
      <c r="F551" s="559"/>
      <c r="G551" s="559" t="str">
        <f t="shared" si="48"/>
        <v/>
      </c>
      <c r="H551" s="559" t="str">
        <f t="shared" si="49"/>
        <v/>
      </c>
      <c r="I551" s="559" t="str">
        <f t="shared" si="50"/>
        <v/>
      </c>
    </row>
    <row r="552" spans="2:9">
      <c r="B552" s="555" t="str">
        <f t="shared" si="45"/>
        <v/>
      </c>
      <c r="C552" s="556" t="str">
        <f t="shared" si="46"/>
        <v/>
      </c>
      <c r="D552" s="557" t="str">
        <f t="shared" si="47"/>
        <v/>
      </c>
      <c r="E552" s="560"/>
      <c r="F552" s="559"/>
      <c r="G552" s="559" t="str">
        <f t="shared" si="48"/>
        <v/>
      </c>
      <c r="H552" s="559" t="str">
        <f t="shared" si="49"/>
        <v/>
      </c>
      <c r="I552" s="559" t="str">
        <f t="shared" si="50"/>
        <v/>
      </c>
    </row>
    <row r="553" spans="2:9">
      <c r="B553" s="555" t="str">
        <f t="shared" si="45"/>
        <v/>
      </c>
      <c r="C553" s="556" t="str">
        <f t="shared" si="46"/>
        <v/>
      </c>
      <c r="D553" s="557" t="str">
        <f t="shared" si="47"/>
        <v/>
      </c>
      <c r="E553" s="560"/>
      <c r="F553" s="559"/>
      <c r="G553" s="559" t="str">
        <f t="shared" si="48"/>
        <v/>
      </c>
      <c r="H553" s="559" t="str">
        <f t="shared" si="49"/>
        <v/>
      </c>
      <c r="I553" s="559" t="str">
        <f t="shared" si="50"/>
        <v/>
      </c>
    </row>
    <row r="554" spans="2:9">
      <c r="B554" s="555" t="str">
        <f t="shared" si="45"/>
        <v/>
      </c>
      <c r="C554" s="556" t="str">
        <f t="shared" si="46"/>
        <v/>
      </c>
      <c r="D554" s="557" t="str">
        <f t="shared" si="47"/>
        <v/>
      </c>
      <c r="E554" s="560"/>
      <c r="F554" s="559"/>
      <c r="G554" s="559" t="str">
        <f t="shared" si="48"/>
        <v/>
      </c>
      <c r="H554" s="559" t="str">
        <f t="shared" si="49"/>
        <v/>
      </c>
      <c r="I554" s="559" t="str">
        <f t="shared" si="50"/>
        <v/>
      </c>
    </row>
    <row r="555" spans="2:9">
      <c r="B555" s="555" t="str">
        <f t="shared" si="45"/>
        <v/>
      </c>
      <c r="C555" s="556" t="str">
        <f t="shared" si="46"/>
        <v/>
      </c>
      <c r="D555" s="557" t="str">
        <f t="shared" si="47"/>
        <v/>
      </c>
      <c r="E555" s="560"/>
      <c r="F555" s="559"/>
      <c r="G555" s="559" t="str">
        <f t="shared" si="48"/>
        <v/>
      </c>
      <c r="H555" s="559" t="str">
        <f t="shared" si="49"/>
        <v/>
      </c>
      <c r="I555" s="559" t="str">
        <f t="shared" si="50"/>
        <v/>
      </c>
    </row>
    <row r="556" spans="2:9">
      <c r="B556" s="555" t="str">
        <f t="shared" si="45"/>
        <v/>
      </c>
      <c r="C556" s="556" t="str">
        <f t="shared" si="46"/>
        <v/>
      </c>
      <c r="D556" s="557" t="str">
        <f t="shared" si="47"/>
        <v/>
      </c>
      <c r="E556" s="560"/>
      <c r="F556" s="559"/>
      <c r="G556" s="559" t="str">
        <f t="shared" si="48"/>
        <v/>
      </c>
      <c r="H556" s="559" t="str">
        <f t="shared" si="49"/>
        <v/>
      </c>
      <c r="I556" s="559" t="str">
        <f t="shared" si="50"/>
        <v/>
      </c>
    </row>
    <row r="557" spans="2:9">
      <c r="B557" s="555" t="str">
        <f t="shared" si="45"/>
        <v/>
      </c>
      <c r="C557" s="556" t="str">
        <f t="shared" si="46"/>
        <v/>
      </c>
      <c r="D557" s="557" t="str">
        <f t="shared" si="47"/>
        <v/>
      </c>
      <c r="E557" s="560"/>
      <c r="F557" s="559"/>
      <c r="G557" s="559" t="str">
        <f t="shared" si="48"/>
        <v/>
      </c>
      <c r="H557" s="559" t="str">
        <f t="shared" si="49"/>
        <v/>
      </c>
      <c r="I557" s="559" t="str">
        <f t="shared" si="50"/>
        <v/>
      </c>
    </row>
    <row r="558" spans="2:9">
      <c r="B558" s="555" t="str">
        <f t="shared" si="45"/>
        <v/>
      </c>
      <c r="C558" s="556" t="str">
        <f t="shared" si="46"/>
        <v/>
      </c>
      <c r="D558" s="557" t="str">
        <f t="shared" si="47"/>
        <v/>
      </c>
      <c r="E558" s="560"/>
      <c r="F558" s="559"/>
      <c r="G558" s="559" t="str">
        <f t="shared" si="48"/>
        <v/>
      </c>
      <c r="H558" s="559" t="str">
        <f t="shared" si="49"/>
        <v/>
      </c>
      <c r="I558" s="559" t="str">
        <f t="shared" si="50"/>
        <v/>
      </c>
    </row>
    <row r="559" spans="2:9">
      <c r="B559" s="555" t="str">
        <f t="shared" si="45"/>
        <v/>
      </c>
      <c r="C559" s="556" t="str">
        <f t="shared" si="46"/>
        <v/>
      </c>
      <c r="D559" s="557" t="str">
        <f t="shared" si="47"/>
        <v/>
      </c>
      <c r="E559" s="560"/>
      <c r="F559" s="559"/>
      <c r="G559" s="559" t="str">
        <f t="shared" si="48"/>
        <v/>
      </c>
      <c r="H559" s="559" t="str">
        <f t="shared" si="49"/>
        <v/>
      </c>
      <c r="I559" s="559" t="str">
        <f t="shared" si="50"/>
        <v/>
      </c>
    </row>
    <row r="560" spans="2:9">
      <c r="B560" s="555" t="str">
        <f t="shared" si="45"/>
        <v/>
      </c>
      <c r="C560" s="556" t="str">
        <f t="shared" si="46"/>
        <v/>
      </c>
      <c r="D560" s="557" t="str">
        <f t="shared" si="47"/>
        <v/>
      </c>
      <c r="E560" s="560"/>
      <c r="F560" s="559"/>
      <c r="G560" s="559" t="str">
        <f t="shared" si="48"/>
        <v/>
      </c>
      <c r="H560" s="559" t="str">
        <f t="shared" si="49"/>
        <v/>
      </c>
      <c r="I560" s="559" t="str">
        <f t="shared" si="50"/>
        <v/>
      </c>
    </row>
    <row r="561" spans="2:9">
      <c r="B561" s="555" t="str">
        <f t="shared" si="45"/>
        <v/>
      </c>
      <c r="C561" s="556" t="str">
        <f t="shared" si="46"/>
        <v/>
      </c>
      <c r="D561" s="557" t="str">
        <f t="shared" si="47"/>
        <v/>
      </c>
      <c r="E561" s="560"/>
      <c r="F561" s="559"/>
      <c r="G561" s="559" t="str">
        <f t="shared" si="48"/>
        <v/>
      </c>
      <c r="H561" s="559" t="str">
        <f t="shared" si="49"/>
        <v/>
      </c>
      <c r="I561" s="559" t="str">
        <f t="shared" si="50"/>
        <v/>
      </c>
    </row>
    <row r="562" spans="2:9">
      <c r="B562" s="555" t="str">
        <f t="shared" si="45"/>
        <v/>
      </c>
      <c r="C562" s="556" t="str">
        <f t="shared" si="46"/>
        <v/>
      </c>
      <c r="D562" s="557" t="str">
        <f t="shared" si="47"/>
        <v/>
      </c>
      <c r="E562" s="560"/>
      <c r="F562" s="559"/>
      <c r="G562" s="559" t="str">
        <f t="shared" si="48"/>
        <v/>
      </c>
      <c r="H562" s="559" t="str">
        <f t="shared" si="49"/>
        <v/>
      </c>
      <c r="I562" s="559" t="str">
        <f t="shared" si="50"/>
        <v/>
      </c>
    </row>
    <row r="563" spans="2:9">
      <c r="B563" s="555" t="str">
        <f t="shared" si="45"/>
        <v/>
      </c>
      <c r="C563" s="556" t="str">
        <f t="shared" si="46"/>
        <v/>
      </c>
      <c r="D563" s="557" t="str">
        <f t="shared" si="47"/>
        <v/>
      </c>
      <c r="E563" s="560"/>
      <c r="F563" s="559"/>
      <c r="G563" s="559" t="str">
        <f t="shared" si="48"/>
        <v/>
      </c>
      <c r="H563" s="559" t="str">
        <f t="shared" si="49"/>
        <v/>
      </c>
      <c r="I563" s="559" t="str">
        <f t="shared" si="50"/>
        <v/>
      </c>
    </row>
    <row r="564" spans="2:9">
      <c r="B564" s="555" t="str">
        <f t="shared" si="45"/>
        <v/>
      </c>
      <c r="C564" s="556" t="str">
        <f t="shared" si="46"/>
        <v/>
      </c>
      <c r="D564" s="557" t="str">
        <f t="shared" si="47"/>
        <v/>
      </c>
      <c r="E564" s="560"/>
      <c r="F564" s="559"/>
      <c r="G564" s="559" t="str">
        <f t="shared" si="48"/>
        <v/>
      </c>
      <c r="H564" s="559" t="str">
        <f t="shared" si="49"/>
        <v/>
      </c>
      <c r="I564" s="559" t="str">
        <f t="shared" si="50"/>
        <v/>
      </c>
    </row>
    <row r="565" spans="2:9">
      <c r="B565" s="555" t="str">
        <f t="shared" si="45"/>
        <v/>
      </c>
      <c r="C565" s="556" t="str">
        <f t="shared" si="46"/>
        <v/>
      </c>
      <c r="D565" s="557" t="str">
        <f t="shared" si="47"/>
        <v/>
      </c>
      <c r="E565" s="560"/>
      <c r="F565" s="559"/>
      <c r="G565" s="559" t="str">
        <f t="shared" si="48"/>
        <v/>
      </c>
      <c r="H565" s="559" t="str">
        <f t="shared" si="49"/>
        <v/>
      </c>
      <c r="I565" s="559" t="str">
        <f t="shared" si="50"/>
        <v/>
      </c>
    </row>
    <row r="566" spans="2:9">
      <c r="B566" s="555" t="str">
        <f t="shared" si="45"/>
        <v/>
      </c>
      <c r="C566" s="556" t="str">
        <f t="shared" si="46"/>
        <v/>
      </c>
      <c r="D566" s="557" t="str">
        <f t="shared" si="47"/>
        <v/>
      </c>
      <c r="E566" s="560"/>
      <c r="F566" s="559"/>
      <c r="G566" s="559" t="str">
        <f t="shared" si="48"/>
        <v/>
      </c>
      <c r="H566" s="559" t="str">
        <f t="shared" si="49"/>
        <v/>
      </c>
      <c r="I566" s="559" t="str">
        <f t="shared" si="50"/>
        <v/>
      </c>
    </row>
    <row r="567" spans="2:9">
      <c r="B567" s="555" t="str">
        <f t="shared" si="45"/>
        <v/>
      </c>
      <c r="C567" s="556" t="str">
        <f t="shared" si="46"/>
        <v/>
      </c>
      <c r="D567" s="557" t="str">
        <f t="shared" si="47"/>
        <v/>
      </c>
      <c r="E567" s="560"/>
      <c r="F567" s="559"/>
      <c r="G567" s="559" t="str">
        <f t="shared" si="48"/>
        <v/>
      </c>
      <c r="H567" s="559" t="str">
        <f t="shared" si="49"/>
        <v/>
      </c>
      <c r="I567" s="559" t="str">
        <f t="shared" si="50"/>
        <v/>
      </c>
    </row>
    <row r="568" spans="2:9">
      <c r="B568" s="555" t="str">
        <f t="shared" si="45"/>
        <v/>
      </c>
      <c r="C568" s="556" t="str">
        <f t="shared" si="46"/>
        <v/>
      </c>
      <c r="D568" s="557" t="str">
        <f t="shared" si="47"/>
        <v/>
      </c>
      <c r="E568" s="560"/>
      <c r="F568" s="559"/>
      <c r="G568" s="559" t="str">
        <f t="shared" si="48"/>
        <v/>
      </c>
      <c r="H568" s="559" t="str">
        <f t="shared" si="49"/>
        <v/>
      </c>
      <c r="I568" s="559" t="str">
        <f t="shared" si="50"/>
        <v/>
      </c>
    </row>
    <row r="569" spans="2:9">
      <c r="B569" s="555" t="str">
        <f t="shared" si="45"/>
        <v/>
      </c>
      <c r="C569" s="556" t="str">
        <f t="shared" si="46"/>
        <v/>
      </c>
      <c r="D569" s="557" t="str">
        <f t="shared" si="47"/>
        <v/>
      </c>
      <c r="E569" s="560"/>
      <c r="F569" s="559"/>
      <c r="G569" s="559" t="str">
        <f t="shared" si="48"/>
        <v/>
      </c>
      <c r="H569" s="559" t="str">
        <f t="shared" si="49"/>
        <v/>
      </c>
      <c r="I569" s="559" t="str">
        <f t="shared" si="50"/>
        <v/>
      </c>
    </row>
    <row r="570" spans="2:9">
      <c r="B570" s="555" t="str">
        <f t="shared" si="45"/>
        <v/>
      </c>
      <c r="C570" s="556" t="str">
        <f t="shared" si="46"/>
        <v/>
      </c>
      <c r="D570" s="557" t="str">
        <f t="shared" si="47"/>
        <v/>
      </c>
      <c r="E570" s="560"/>
      <c r="F570" s="559"/>
      <c r="G570" s="559" t="str">
        <f t="shared" si="48"/>
        <v/>
      </c>
      <c r="H570" s="559" t="str">
        <f t="shared" si="49"/>
        <v/>
      </c>
      <c r="I570" s="559" t="str">
        <f t="shared" si="50"/>
        <v/>
      </c>
    </row>
    <row r="571" spans="2:9">
      <c r="B571" s="555" t="str">
        <f t="shared" si="45"/>
        <v/>
      </c>
      <c r="C571" s="556" t="str">
        <f t="shared" si="46"/>
        <v/>
      </c>
      <c r="D571" s="557" t="str">
        <f t="shared" si="47"/>
        <v/>
      </c>
      <c r="E571" s="560"/>
      <c r="F571" s="559"/>
      <c r="G571" s="559" t="str">
        <f t="shared" si="48"/>
        <v/>
      </c>
      <c r="H571" s="559" t="str">
        <f t="shared" si="49"/>
        <v/>
      </c>
      <c r="I571" s="559" t="str">
        <f t="shared" si="50"/>
        <v/>
      </c>
    </row>
    <row r="572" spans="2:9">
      <c r="B572" s="555" t="str">
        <f t="shared" si="45"/>
        <v/>
      </c>
      <c r="C572" s="556" t="str">
        <f t="shared" si="46"/>
        <v/>
      </c>
      <c r="D572" s="557" t="str">
        <f t="shared" si="47"/>
        <v/>
      </c>
      <c r="E572" s="560"/>
      <c r="F572" s="559"/>
      <c r="G572" s="559" t="str">
        <f t="shared" si="48"/>
        <v/>
      </c>
      <c r="H572" s="559" t="str">
        <f t="shared" si="49"/>
        <v/>
      </c>
      <c r="I572" s="559" t="str">
        <f t="shared" si="50"/>
        <v/>
      </c>
    </row>
    <row r="573" spans="2:9">
      <c r="B573" s="555" t="str">
        <f t="shared" ref="B573:B636" si="51">IF(I572="","",IF(roundOpt,IF(OR(B572&gt;=nper,ROUND(I572,2)&lt;=0),"",B572+1),IF(OR(B572&gt;=nper,I572&lt;=0),"",B572+1)))</f>
        <v/>
      </c>
      <c r="C573" s="556" t="str">
        <f t="shared" ref="C573:C636" si="52">IF(B573="","",IF(OR(periods_per_year=26,periods_per_year=52),IF(periods_per_year=26,IF(B573=1,fpdate,C572+14),IF(periods_per_year=52,IF(B573=1,fpdate,C572+7),"n/a")),IF(periods_per_year=24,DATE(YEAR(fpdate),MONTH(fpdate)+(B573-1)/2+IF(AND(DAY(fpdate)&gt;=15,MOD(B573,2)=0),1,0),IF(MOD(B573,2)=0,IF(DAY(fpdate)&gt;=15,DAY(fpdate)-14,DAY(fpdate)+14),DAY(fpdate))),IF(DAY(DATE(YEAR(fpdate),MONTH(fpdate)+(B573-1)*months_per_period,DAY(fpdate)))&lt;&gt;DAY(fpdate),DATE(YEAR(fpdate),MONTH(fpdate)+(B573-1)*months_per_period+1,0),DATE(YEAR(fpdate),MONTH(fpdate)+(B573-1)*months_per_period,DAY(fpdate))))))</f>
        <v/>
      </c>
      <c r="D573" s="557" t="str">
        <f t="shared" ref="D573:D636" si="53">IF(B573="","",IF(roundOpt,IF(OR(B573=nper,payment&gt;ROUND((1+rate)*I572,2)),ROUND((1+rate)*I572,2),payment),IF(OR(B573=nper,payment&gt;(1+rate)*I572),(1+rate)*I572,payment)))</f>
        <v/>
      </c>
      <c r="E573" s="560"/>
      <c r="F573" s="559"/>
      <c r="G573" s="559" t="str">
        <f t="shared" ref="G573:G636" si="54">IF(B573="","",IF(AND(B573=1,pmtType=1),0,IF(roundOpt,ROUND(rate*I572,2),rate*I572)))</f>
        <v/>
      </c>
      <c r="H573" s="559" t="str">
        <f t="shared" ref="H573:H636" si="55">IF(B573="","",D573-G573+E573)</f>
        <v/>
      </c>
      <c r="I573" s="559" t="str">
        <f t="shared" ref="I573:I636" si="56">IF(B573="","",I572-H573)</f>
        <v/>
      </c>
    </row>
    <row r="574" spans="2:9">
      <c r="B574" s="555" t="str">
        <f t="shared" si="51"/>
        <v/>
      </c>
      <c r="C574" s="556" t="str">
        <f t="shared" si="52"/>
        <v/>
      </c>
      <c r="D574" s="557" t="str">
        <f t="shared" si="53"/>
        <v/>
      </c>
      <c r="E574" s="560"/>
      <c r="F574" s="559"/>
      <c r="G574" s="559" t="str">
        <f t="shared" si="54"/>
        <v/>
      </c>
      <c r="H574" s="559" t="str">
        <f t="shared" si="55"/>
        <v/>
      </c>
      <c r="I574" s="559" t="str">
        <f t="shared" si="56"/>
        <v/>
      </c>
    </row>
    <row r="575" spans="2:9">
      <c r="B575" s="555" t="str">
        <f t="shared" si="51"/>
        <v/>
      </c>
      <c r="C575" s="556" t="str">
        <f t="shared" si="52"/>
        <v/>
      </c>
      <c r="D575" s="557" t="str">
        <f t="shared" si="53"/>
        <v/>
      </c>
      <c r="E575" s="560"/>
      <c r="F575" s="559"/>
      <c r="G575" s="559" t="str">
        <f t="shared" si="54"/>
        <v/>
      </c>
      <c r="H575" s="559" t="str">
        <f t="shared" si="55"/>
        <v/>
      </c>
      <c r="I575" s="559" t="str">
        <f t="shared" si="56"/>
        <v/>
      </c>
    </row>
    <row r="576" spans="2:9">
      <c r="B576" s="555" t="str">
        <f t="shared" si="51"/>
        <v/>
      </c>
      <c r="C576" s="556" t="str">
        <f t="shared" si="52"/>
        <v/>
      </c>
      <c r="D576" s="557" t="str">
        <f t="shared" si="53"/>
        <v/>
      </c>
      <c r="E576" s="560"/>
      <c r="F576" s="559"/>
      <c r="G576" s="559" t="str">
        <f t="shared" si="54"/>
        <v/>
      </c>
      <c r="H576" s="559" t="str">
        <f t="shared" si="55"/>
        <v/>
      </c>
      <c r="I576" s="559" t="str">
        <f t="shared" si="56"/>
        <v/>
      </c>
    </row>
    <row r="577" spans="2:9">
      <c r="B577" s="555" t="str">
        <f t="shared" si="51"/>
        <v/>
      </c>
      <c r="C577" s="556" t="str">
        <f t="shared" si="52"/>
        <v/>
      </c>
      <c r="D577" s="557" t="str">
        <f t="shared" si="53"/>
        <v/>
      </c>
      <c r="E577" s="560"/>
      <c r="F577" s="559"/>
      <c r="G577" s="559" t="str">
        <f t="shared" si="54"/>
        <v/>
      </c>
      <c r="H577" s="559" t="str">
        <f t="shared" si="55"/>
        <v/>
      </c>
      <c r="I577" s="559" t="str">
        <f t="shared" si="56"/>
        <v/>
      </c>
    </row>
    <row r="578" spans="2:9">
      <c r="B578" s="555" t="str">
        <f t="shared" si="51"/>
        <v/>
      </c>
      <c r="C578" s="556" t="str">
        <f t="shared" si="52"/>
        <v/>
      </c>
      <c r="D578" s="557" t="str">
        <f t="shared" si="53"/>
        <v/>
      </c>
      <c r="E578" s="560"/>
      <c r="F578" s="559"/>
      <c r="G578" s="559" t="str">
        <f t="shared" si="54"/>
        <v/>
      </c>
      <c r="H578" s="559" t="str">
        <f t="shared" si="55"/>
        <v/>
      </c>
      <c r="I578" s="559" t="str">
        <f t="shared" si="56"/>
        <v/>
      </c>
    </row>
    <row r="579" spans="2:9">
      <c r="B579" s="555" t="str">
        <f t="shared" si="51"/>
        <v/>
      </c>
      <c r="C579" s="556" t="str">
        <f t="shared" si="52"/>
        <v/>
      </c>
      <c r="D579" s="557" t="str">
        <f t="shared" si="53"/>
        <v/>
      </c>
      <c r="E579" s="560"/>
      <c r="F579" s="559"/>
      <c r="G579" s="559" t="str">
        <f t="shared" si="54"/>
        <v/>
      </c>
      <c r="H579" s="559" t="str">
        <f t="shared" si="55"/>
        <v/>
      </c>
      <c r="I579" s="559" t="str">
        <f t="shared" si="56"/>
        <v/>
      </c>
    </row>
    <row r="580" spans="2:9">
      <c r="B580" s="555" t="str">
        <f t="shared" si="51"/>
        <v/>
      </c>
      <c r="C580" s="556" t="str">
        <f t="shared" si="52"/>
        <v/>
      </c>
      <c r="D580" s="557" t="str">
        <f t="shared" si="53"/>
        <v/>
      </c>
      <c r="E580" s="560"/>
      <c r="F580" s="559"/>
      <c r="G580" s="559" t="str">
        <f t="shared" si="54"/>
        <v/>
      </c>
      <c r="H580" s="559" t="str">
        <f t="shared" si="55"/>
        <v/>
      </c>
      <c r="I580" s="559" t="str">
        <f t="shared" si="56"/>
        <v/>
      </c>
    </row>
    <row r="581" spans="2:9">
      <c r="B581" s="555" t="str">
        <f t="shared" si="51"/>
        <v/>
      </c>
      <c r="C581" s="556" t="str">
        <f t="shared" si="52"/>
        <v/>
      </c>
      <c r="D581" s="557" t="str">
        <f t="shared" si="53"/>
        <v/>
      </c>
      <c r="E581" s="560"/>
      <c r="F581" s="559"/>
      <c r="G581" s="559" t="str">
        <f t="shared" si="54"/>
        <v/>
      </c>
      <c r="H581" s="559" t="str">
        <f t="shared" si="55"/>
        <v/>
      </c>
      <c r="I581" s="559" t="str">
        <f t="shared" si="56"/>
        <v/>
      </c>
    </row>
    <row r="582" spans="2:9">
      <c r="B582" s="555" t="str">
        <f t="shared" si="51"/>
        <v/>
      </c>
      <c r="C582" s="556" t="str">
        <f t="shared" si="52"/>
        <v/>
      </c>
      <c r="D582" s="557" t="str">
        <f t="shared" si="53"/>
        <v/>
      </c>
      <c r="E582" s="560"/>
      <c r="F582" s="559"/>
      <c r="G582" s="559" t="str">
        <f t="shared" si="54"/>
        <v/>
      </c>
      <c r="H582" s="559" t="str">
        <f t="shared" si="55"/>
        <v/>
      </c>
      <c r="I582" s="559" t="str">
        <f t="shared" si="56"/>
        <v/>
      </c>
    </row>
    <row r="583" spans="2:9">
      <c r="B583" s="555" t="str">
        <f t="shared" si="51"/>
        <v/>
      </c>
      <c r="C583" s="556" t="str">
        <f t="shared" si="52"/>
        <v/>
      </c>
      <c r="D583" s="557" t="str">
        <f t="shared" si="53"/>
        <v/>
      </c>
      <c r="E583" s="560"/>
      <c r="F583" s="559"/>
      <c r="G583" s="559" t="str">
        <f t="shared" si="54"/>
        <v/>
      </c>
      <c r="H583" s="559" t="str">
        <f t="shared" si="55"/>
        <v/>
      </c>
      <c r="I583" s="559" t="str">
        <f t="shared" si="56"/>
        <v/>
      </c>
    </row>
    <row r="584" spans="2:9">
      <c r="B584" s="555" t="str">
        <f t="shared" si="51"/>
        <v/>
      </c>
      <c r="C584" s="556" t="str">
        <f t="shared" si="52"/>
        <v/>
      </c>
      <c r="D584" s="557" t="str">
        <f t="shared" si="53"/>
        <v/>
      </c>
      <c r="E584" s="560"/>
      <c r="F584" s="559"/>
      <c r="G584" s="559" t="str">
        <f t="shared" si="54"/>
        <v/>
      </c>
      <c r="H584" s="559" t="str">
        <f t="shared" si="55"/>
        <v/>
      </c>
      <c r="I584" s="559" t="str">
        <f t="shared" si="56"/>
        <v/>
      </c>
    </row>
    <row r="585" spans="2:9">
      <c r="B585" s="555" t="str">
        <f t="shared" si="51"/>
        <v/>
      </c>
      <c r="C585" s="556" t="str">
        <f t="shared" si="52"/>
        <v/>
      </c>
      <c r="D585" s="557" t="str">
        <f t="shared" si="53"/>
        <v/>
      </c>
      <c r="E585" s="560"/>
      <c r="F585" s="559"/>
      <c r="G585" s="559" t="str">
        <f t="shared" si="54"/>
        <v/>
      </c>
      <c r="H585" s="559" t="str">
        <f t="shared" si="55"/>
        <v/>
      </c>
      <c r="I585" s="559" t="str">
        <f t="shared" si="56"/>
        <v/>
      </c>
    </row>
    <row r="586" spans="2:9">
      <c r="B586" s="555" t="str">
        <f t="shared" si="51"/>
        <v/>
      </c>
      <c r="C586" s="556" t="str">
        <f t="shared" si="52"/>
        <v/>
      </c>
      <c r="D586" s="557" t="str">
        <f t="shared" si="53"/>
        <v/>
      </c>
      <c r="E586" s="560"/>
      <c r="F586" s="559"/>
      <c r="G586" s="559" t="str">
        <f t="shared" si="54"/>
        <v/>
      </c>
      <c r="H586" s="559" t="str">
        <f t="shared" si="55"/>
        <v/>
      </c>
      <c r="I586" s="559" t="str">
        <f t="shared" si="56"/>
        <v/>
      </c>
    </row>
    <row r="587" spans="2:9">
      <c r="B587" s="555" t="str">
        <f t="shared" si="51"/>
        <v/>
      </c>
      <c r="C587" s="556" t="str">
        <f t="shared" si="52"/>
        <v/>
      </c>
      <c r="D587" s="557" t="str">
        <f t="shared" si="53"/>
        <v/>
      </c>
      <c r="E587" s="560"/>
      <c r="F587" s="559"/>
      <c r="G587" s="559" t="str">
        <f t="shared" si="54"/>
        <v/>
      </c>
      <c r="H587" s="559" t="str">
        <f t="shared" si="55"/>
        <v/>
      </c>
      <c r="I587" s="559" t="str">
        <f t="shared" si="56"/>
        <v/>
      </c>
    </row>
    <row r="588" spans="2:9">
      <c r="B588" s="555" t="str">
        <f t="shared" si="51"/>
        <v/>
      </c>
      <c r="C588" s="556" t="str">
        <f t="shared" si="52"/>
        <v/>
      </c>
      <c r="D588" s="557" t="str">
        <f t="shared" si="53"/>
        <v/>
      </c>
      <c r="E588" s="560"/>
      <c r="F588" s="559"/>
      <c r="G588" s="559" t="str">
        <f t="shared" si="54"/>
        <v/>
      </c>
      <c r="H588" s="559" t="str">
        <f t="shared" si="55"/>
        <v/>
      </c>
      <c r="I588" s="559" t="str">
        <f t="shared" si="56"/>
        <v/>
      </c>
    </row>
    <row r="589" spans="2:9">
      <c r="B589" s="555" t="str">
        <f t="shared" si="51"/>
        <v/>
      </c>
      <c r="C589" s="556" t="str">
        <f t="shared" si="52"/>
        <v/>
      </c>
      <c r="D589" s="557" t="str">
        <f t="shared" si="53"/>
        <v/>
      </c>
      <c r="E589" s="560"/>
      <c r="F589" s="559"/>
      <c r="G589" s="559" t="str">
        <f t="shared" si="54"/>
        <v/>
      </c>
      <c r="H589" s="559" t="str">
        <f t="shared" si="55"/>
        <v/>
      </c>
      <c r="I589" s="559" t="str">
        <f t="shared" si="56"/>
        <v/>
      </c>
    </row>
    <row r="590" spans="2:9">
      <c r="B590" s="555" t="str">
        <f t="shared" si="51"/>
        <v/>
      </c>
      <c r="C590" s="556" t="str">
        <f t="shared" si="52"/>
        <v/>
      </c>
      <c r="D590" s="557" t="str">
        <f t="shared" si="53"/>
        <v/>
      </c>
      <c r="E590" s="560"/>
      <c r="F590" s="559"/>
      <c r="G590" s="559" t="str">
        <f t="shared" si="54"/>
        <v/>
      </c>
      <c r="H590" s="559" t="str">
        <f t="shared" si="55"/>
        <v/>
      </c>
      <c r="I590" s="559" t="str">
        <f t="shared" si="56"/>
        <v/>
      </c>
    </row>
    <row r="591" spans="2:9">
      <c r="B591" s="555" t="str">
        <f t="shared" si="51"/>
        <v/>
      </c>
      <c r="C591" s="556" t="str">
        <f t="shared" si="52"/>
        <v/>
      </c>
      <c r="D591" s="557" t="str">
        <f t="shared" si="53"/>
        <v/>
      </c>
      <c r="E591" s="560"/>
      <c r="F591" s="559"/>
      <c r="G591" s="559" t="str">
        <f t="shared" si="54"/>
        <v/>
      </c>
      <c r="H591" s="559" t="str">
        <f t="shared" si="55"/>
        <v/>
      </c>
      <c r="I591" s="559" t="str">
        <f t="shared" si="56"/>
        <v/>
      </c>
    </row>
    <row r="592" spans="2:9">
      <c r="B592" s="555" t="str">
        <f t="shared" si="51"/>
        <v/>
      </c>
      <c r="C592" s="556" t="str">
        <f t="shared" si="52"/>
        <v/>
      </c>
      <c r="D592" s="557" t="str">
        <f t="shared" si="53"/>
        <v/>
      </c>
      <c r="E592" s="560"/>
      <c r="F592" s="559"/>
      <c r="G592" s="559" t="str">
        <f t="shared" si="54"/>
        <v/>
      </c>
      <c r="H592" s="559" t="str">
        <f t="shared" si="55"/>
        <v/>
      </c>
      <c r="I592" s="559" t="str">
        <f t="shared" si="56"/>
        <v/>
      </c>
    </row>
    <row r="593" spans="2:9">
      <c r="B593" s="555" t="str">
        <f t="shared" si="51"/>
        <v/>
      </c>
      <c r="C593" s="556" t="str">
        <f t="shared" si="52"/>
        <v/>
      </c>
      <c r="D593" s="557" t="str">
        <f t="shared" si="53"/>
        <v/>
      </c>
      <c r="E593" s="560"/>
      <c r="F593" s="559"/>
      <c r="G593" s="559" t="str">
        <f t="shared" si="54"/>
        <v/>
      </c>
      <c r="H593" s="559" t="str">
        <f t="shared" si="55"/>
        <v/>
      </c>
      <c r="I593" s="559" t="str">
        <f t="shared" si="56"/>
        <v/>
      </c>
    </row>
    <row r="594" spans="2:9">
      <c r="B594" s="555" t="str">
        <f t="shared" si="51"/>
        <v/>
      </c>
      <c r="C594" s="556" t="str">
        <f t="shared" si="52"/>
        <v/>
      </c>
      <c r="D594" s="557" t="str">
        <f t="shared" si="53"/>
        <v/>
      </c>
      <c r="E594" s="560"/>
      <c r="F594" s="559"/>
      <c r="G594" s="559" t="str">
        <f t="shared" si="54"/>
        <v/>
      </c>
      <c r="H594" s="559" t="str">
        <f t="shared" si="55"/>
        <v/>
      </c>
      <c r="I594" s="559" t="str">
        <f t="shared" si="56"/>
        <v/>
      </c>
    </row>
    <row r="595" spans="2:9">
      <c r="B595" s="555" t="str">
        <f t="shared" si="51"/>
        <v/>
      </c>
      <c r="C595" s="556" t="str">
        <f t="shared" si="52"/>
        <v/>
      </c>
      <c r="D595" s="557" t="str">
        <f t="shared" si="53"/>
        <v/>
      </c>
      <c r="E595" s="560"/>
      <c r="F595" s="559"/>
      <c r="G595" s="559" t="str">
        <f t="shared" si="54"/>
        <v/>
      </c>
      <c r="H595" s="559" t="str">
        <f t="shared" si="55"/>
        <v/>
      </c>
      <c r="I595" s="559" t="str">
        <f t="shared" si="56"/>
        <v/>
      </c>
    </row>
    <row r="596" spans="2:9">
      <c r="B596" s="555" t="str">
        <f t="shared" si="51"/>
        <v/>
      </c>
      <c r="C596" s="556" t="str">
        <f t="shared" si="52"/>
        <v/>
      </c>
      <c r="D596" s="557" t="str">
        <f t="shared" si="53"/>
        <v/>
      </c>
      <c r="E596" s="560"/>
      <c r="F596" s="559"/>
      <c r="G596" s="559" t="str">
        <f t="shared" si="54"/>
        <v/>
      </c>
      <c r="H596" s="559" t="str">
        <f t="shared" si="55"/>
        <v/>
      </c>
      <c r="I596" s="559" t="str">
        <f t="shared" si="56"/>
        <v/>
      </c>
    </row>
    <row r="597" spans="2:9">
      <c r="B597" s="555" t="str">
        <f t="shared" si="51"/>
        <v/>
      </c>
      <c r="C597" s="556" t="str">
        <f t="shared" si="52"/>
        <v/>
      </c>
      <c r="D597" s="557" t="str">
        <f t="shared" si="53"/>
        <v/>
      </c>
      <c r="E597" s="560"/>
      <c r="F597" s="559"/>
      <c r="G597" s="559" t="str">
        <f t="shared" si="54"/>
        <v/>
      </c>
      <c r="H597" s="559" t="str">
        <f t="shared" si="55"/>
        <v/>
      </c>
      <c r="I597" s="559" t="str">
        <f t="shared" si="56"/>
        <v/>
      </c>
    </row>
    <row r="598" spans="2:9">
      <c r="B598" s="555" t="str">
        <f t="shared" si="51"/>
        <v/>
      </c>
      <c r="C598" s="556" t="str">
        <f t="shared" si="52"/>
        <v/>
      </c>
      <c r="D598" s="557" t="str">
        <f t="shared" si="53"/>
        <v/>
      </c>
      <c r="E598" s="560"/>
      <c r="F598" s="559"/>
      <c r="G598" s="559" t="str">
        <f t="shared" si="54"/>
        <v/>
      </c>
      <c r="H598" s="559" t="str">
        <f t="shared" si="55"/>
        <v/>
      </c>
      <c r="I598" s="559" t="str">
        <f t="shared" si="56"/>
        <v/>
      </c>
    </row>
    <row r="599" spans="2:9">
      <c r="B599" s="555" t="str">
        <f t="shared" si="51"/>
        <v/>
      </c>
      <c r="C599" s="556" t="str">
        <f t="shared" si="52"/>
        <v/>
      </c>
      <c r="D599" s="557" t="str">
        <f t="shared" si="53"/>
        <v/>
      </c>
      <c r="E599" s="560"/>
      <c r="F599" s="559"/>
      <c r="G599" s="559" t="str">
        <f t="shared" si="54"/>
        <v/>
      </c>
      <c r="H599" s="559" t="str">
        <f t="shared" si="55"/>
        <v/>
      </c>
      <c r="I599" s="559" t="str">
        <f t="shared" si="56"/>
        <v/>
      </c>
    </row>
    <row r="600" spans="2:9">
      <c r="B600" s="555" t="str">
        <f t="shared" si="51"/>
        <v/>
      </c>
      <c r="C600" s="556" t="str">
        <f t="shared" si="52"/>
        <v/>
      </c>
      <c r="D600" s="557" t="str">
        <f t="shared" si="53"/>
        <v/>
      </c>
      <c r="E600" s="560"/>
      <c r="F600" s="559"/>
      <c r="G600" s="559" t="str">
        <f t="shared" si="54"/>
        <v/>
      </c>
      <c r="H600" s="559" t="str">
        <f t="shared" si="55"/>
        <v/>
      </c>
      <c r="I600" s="559" t="str">
        <f t="shared" si="56"/>
        <v/>
      </c>
    </row>
    <row r="601" spans="2:9">
      <c r="B601" s="555" t="str">
        <f t="shared" si="51"/>
        <v/>
      </c>
      <c r="C601" s="556" t="str">
        <f t="shared" si="52"/>
        <v/>
      </c>
      <c r="D601" s="557" t="str">
        <f t="shared" si="53"/>
        <v/>
      </c>
      <c r="E601" s="560"/>
      <c r="F601" s="559"/>
      <c r="G601" s="559" t="str">
        <f t="shared" si="54"/>
        <v/>
      </c>
      <c r="H601" s="559" t="str">
        <f t="shared" si="55"/>
        <v/>
      </c>
      <c r="I601" s="559" t="str">
        <f t="shared" si="56"/>
        <v/>
      </c>
    </row>
    <row r="602" spans="2:9">
      <c r="B602" s="555" t="str">
        <f t="shared" si="51"/>
        <v/>
      </c>
      <c r="C602" s="556" t="str">
        <f t="shared" si="52"/>
        <v/>
      </c>
      <c r="D602" s="557" t="str">
        <f t="shared" si="53"/>
        <v/>
      </c>
      <c r="E602" s="560"/>
      <c r="F602" s="559"/>
      <c r="G602" s="559" t="str">
        <f t="shared" si="54"/>
        <v/>
      </c>
      <c r="H602" s="559" t="str">
        <f t="shared" si="55"/>
        <v/>
      </c>
      <c r="I602" s="559" t="str">
        <f t="shared" si="56"/>
        <v/>
      </c>
    </row>
    <row r="603" spans="2:9">
      <c r="B603" s="555" t="str">
        <f t="shared" si="51"/>
        <v/>
      </c>
      <c r="C603" s="556" t="str">
        <f t="shared" si="52"/>
        <v/>
      </c>
      <c r="D603" s="557" t="str">
        <f t="shared" si="53"/>
        <v/>
      </c>
      <c r="E603" s="560"/>
      <c r="F603" s="559"/>
      <c r="G603" s="559" t="str">
        <f t="shared" si="54"/>
        <v/>
      </c>
      <c r="H603" s="559" t="str">
        <f t="shared" si="55"/>
        <v/>
      </c>
      <c r="I603" s="559" t="str">
        <f t="shared" si="56"/>
        <v/>
      </c>
    </row>
    <row r="604" spans="2:9">
      <c r="B604" s="555" t="str">
        <f t="shared" si="51"/>
        <v/>
      </c>
      <c r="C604" s="556" t="str">
        <f t="shared" si="52"/>
        <v/>
      </c>
      <c r="D604" s="557" t="str">
        <f t="shared" si="53"/>
        <v/>
      </c>
      <c r="E604" s="560"/>
      <c r="F604" s="559"/>
      <c r="G604" s="559" t="str">
        <f t="shared" si="54"/>
        <v/>
      </c>
      <c r="H604" s="559" t="str">
        <f t="shared" si="55"/>
        <v/>
      </c>
      <c r="I604" s="559" t="str">
        <f t="shared" si="56"/>
        <v/>
      </c>
    </row>
    <row r="605" spans="2:9">
      <c r="B605" s="555" t="str">
        <f t="shared" si="51"/>
        <v/>
      </c>
      <c r="C605" s="556" t="str">
        <f t="shared" si="52"/>
        <v/>
      </c>
      <c r="D605" s="557" t="str">
        <f t="shared" si="53"/>
        <v/>
      </c>
      <c r="E605" s="560"/>
      <c r="F605" s="559"/>
      <c r="G605" s="559" t="str">
        <f t="shared" si="54"/>
        <v/>
      </c>
      <c r="H605" s="559" t="str">
        <f t="shared" si="55"/>
        <v/>
      </c>
      <c r="I605" s="559" t="str">
        <f t="shared" si="56"/>
        <v/>
      </c>
    </row>
    <row r="606" spans="2:9">
      <c r="B606" s="555" t="str">
        <f t="shared" si="51"/>
        <v/>
      </c>
      <c r="C606" s="556" t="str">
        <f t="shared" si="52"/>
        <v/>
      </c>
      <c r="D606" s="557" t="str">
        <f t="shared" si="53"/>
        <v/>
      </c>
      <c r="E606" s="560"/>
      <c r="F606" s="559"/>
      <c r="G606" s="559" t="str">
        <f t="shared" si="54"/>
        <v/>
      </c>
      <c r="H606" s="559" t="str">
        <f t="shared" si="55"/>
        <v/>
      </c>
      <c r="I606" s="559" t="str">
        <f t="shared" si="56"/>
        <v/>
      </c>
    </row>
    <row r="607" spans="2:9">
      <c r="B607" s="555" t="str">
        <f t="shared" si="51"/>
        <v/>
      </c>
      <c r="C607" s="556" t="str">
        <f t="shared" si="52"/>
        <v/>
      </c>
      <c r="D607" s="557" t="str">
        <f t="shared" si="53"/>
        <v/>
      </c>
      <c r="E607" s="560"/>
      <c r="F607" s="559"/>
      <c r="G607" s="559" t="str">
        <f t="shared" si="54"/>
        <v/>
      </c>
      <c r="H607" s="559" t="str">
        <f t="shared" si="55"/>
        <v/>
      </c>
      <c r="I607" s="559" t="str">
        <f t="shared" si="56"/>
        <v/>
      </c>
    </row>
    <row r="608" spans="2:9">
      <c r="B608" s="555" t="str">
        <f t="shared" si="51"/>
        <v/>
      </c>
      <c r="C608" s="556" t="str">
        <f t="shared" si="52"/>
        <v/>
      </c>
      <c r="D608" s="557" t="str">
        <f t="shared" si="53"/>
        <v/>
      </c>
      <c r="E608" s="560"/>
      <c r="F608" s="559"/>
      <c r="G608" s="559" t="str">
        <f t="shared" si="54"/>
        <v/>
      </c>
      <c r="H608" s="559" t="str">
        <f t="shared" si="55"/>
        <v/>
      </c>
      <c r="I608" s="559" t="str">
        <f t="shared" si="56"/>
        <v/>
      </c>
    </row>
    <row r="609" spans="2:9">
      <c r="B609" s="555" t="str">
        <f t="shared" si="51"/>
        <v/>
      </c>
      <c r="C609" s="556" t="str">
        <f t="shared" si="52"/>
        <v/>
      </c>
      <c r="D609" s="557" t="str">
        <f t="shared" si="53"/>
        <v/>
      </c>
      <c r="E609" s="560"/>
      <c r="F609" s="559"/>
      <c r="G609" s="559" t="str">
        <f t="shared" si="54"/>
        <v/>
      </c>
      <c r="H609" s="559" t="str">
        <f t="shared" si="55"/>
        <v/>
      </c>
      <c r="I609" s="559" t="str">
        <f t="shared" si="56"/>
        <v/>
      </c>
    </row>
    <row r="610" spans="2:9">
      <c r="B610" s="555" t="str">
        <f t="shared" si="51"/>
        <v/>
      </c>
      <c r="C610" s="556" t="str">
        <f t="shared" si="52"/>
        <v/>
      </c>
      <c r="D610" s="557" t="str">
        <f t="shared" si="53"/>
        <v/>
      </c>
      <c r="E610" s="560"/>
      <c r="F610" s="559"/>
      <c r="G610" s="559" t="str">
        <f t="shared" si="54"/>
        <v/>
      </c>
      <c r="H610" s="559" t="str">
        <f t="shared" si="55"/>
        <v/>
      </c>
      <c r="I610" s="559" t="str">
        <f t="shared" si="56"/>
        <v/>
      </c>
    </row>
    <row r="611" spans="2:9">
      <c r="B611" s="555" t="str">
        <f t="shared" si="51"/>
        <v/>
      </c>
      <c r="C611" s="556" t="str">
        <f t="shared" si="52"/>
        <v/>
      </c>
      <c r="D611" s="557" t="str">
        <f t="shared" si="53"/>
        <v/>
      </c>
      <c r="E611" s="560"/>
      <c r="F611" s="559"/>
      <c r="G611" s="559" t="str">
        <f t="shared" si="54"/>
        <v/>
      </c>
      <c r="H611" s="559" t="str">
        <f t="shared" si="55"/>
        <v/>
      </c>
      <c r="I611" s="559" t="str">
        <f t="shared" si="56"/>
        <v/>
      </c>
    </row>
    <row r="612" spans="2:9">
      <c r="B612" s="555" t="str">
        <f t="shared" si="51"/>
        <v/>
      </c>
      <c r="C612" s="556" t="str">
        <f t="shared" si="52"/>
        <v/>
      </c>
      <c r="D612" s="557" t="str">
        <f t="shared" si="53"/>
        <v/>
      </c>
      <c r="E612" s="560"/>
      <c r="F612" s="559"/>
      <c r="G612" s="559" t="str">
        <f t="shared" si="54"/>
        <v/>
      </c>
      <c r="H612" s="559" t="str">
        <f t="shared" si="55"/>
        <v/>
      </c>
      <c r="I612" s="559" t="str">
        <f t="shared" si="56"/>
        <v/>
      </c>
    </row>
    <row r="613" spans="2:9">
      <c r="B613" s="555" t="str">
        <f t="shared" si="51"/>
        <v/>
      </c>
      <c r="C613" s="556" t="str">
        <f t="shared" si="52"/>
        <v/>
      </c>
      <c r="D613" s="557" t="str">
        <f t="shared" si="53"/>
        <v/>
      </c>
      <c r="E613" s="560"/>
      <c r="F613" s="559"/>
      <c r="G613" s="559" t="str">
        <f t="shared" si="54"/>
        <v/>
      </c>
      <c r="H613" s="559" t="str">
        <f t="shared" si="55"/>
        <v/>
      </c>
      <c r="I613" s="559" t="str">
        <f t="shared" si="56"/>
        <v/>
      </c>
    </row>
    <row r="614" spans="2:9">
      <c r="B614" s="555" t="str">
        <f t="shared" si="51"/>
        <v/>
      </c>
      <c r="C614" s="556" t="str">
        <f t="shared" si="52"/>
        <v/>
      </c>
      <c r="D614" s="557" t="str">
        <f t="shared" si="53"/>
        <v/>
      </c>
      <c r="E614" s="560"/>
      <c r="F614" s="559"/>
      <c r="G614" s="559" t="str">
        <f t="shared" si="54"/>
        <v/>
      </c>
      <c r="H614" s="559" t="str">
        <f t="shared" si="55"/>
        <v/>
      </c>
      <c r="I614" s="559" t="str">
        <f t="shared" si="56"/>
        <v/>
      </c>
    </row>
    <row r="615" spans="2:9">
      <c r="B615" s="555" t="str">
        <f t="shared" si="51"/>
        <v/>
      </c>
      <c r="C615" s="556" t="str">
        <f t="shared" si="52"/>
        <v/>
      </c>
      <c r="D615" s="557" t="str">
        <f t="shared" si="53"/>
        <v/>
      </c>
      <c r="E615" s="560"/>
      <c r="F615" s="559"/>
      <c r="G615" s="559" t="str">
        <f t="shared" si="54"/>
        <v/>
      </c>
      <c r="H615" s="559" t="str">
        <f t="shared" si="55"/>
        <v/>
      </c>
      <c r="I615" s="559" t="str">
        <f t="shared" si="56"/>
        <v/>
      </c>
    </row>
    <row r="616" spans="2:9">
      <c r="B616" s="555" t="str">
        <f t="shared" si="51"/>
        <v/>
      </c>
      <c r="C616" s="556" t="str">
        <f t="shared" si="52"/>
        <v/>
      </c>
      <c r="D616" s="557" t="str">
        <f t="shared" si="53"/>
        <v/>
      </c>
      <c r="E616" s="560"/>
      <c r="F616" s="559"/>
      <c r="G616" s="559" t="str">
        <f t="shared" si="54"/>
        <v/>
      </c>
      <c r="H616" s="559" t="str">
        <f t="shared" si="55"/>
        <v/>
      </c>
      <c r="I616" s="559" t="str">
        <f t="shared" si="56"/>
        <v/>
      </c>
    </row>
    <row r="617" spans="2:9">
      <c r="B617" s="555" t="str">
        <f t="shared" si="51"/>
        <v/>
      </c>
      <c r="C617" s="556" t="str">
        <f t="shared" si="52"/>
        <v/>
      </c>
      <c r="D617" s="557" t="str">
        <f t="shared" si="53"/>
        <v/>
      </c>
      <c r="E617" s="560"/>
      <c r="F617" s="559"/>
      <c r="G617" s="559" t="str">
        <f t="shared" si="54"/>
        <v/>
      </c>
      <c r="H617" s="559" t="str">
        <f t="shared" si="55"/>
        <v/>
      </c>
      <c r="I617" s="559" t="str">
        <f t="shared" si="56"/>
        <v/>
      </c>
    </row>
    <row r="618" spans="2:9">
      <c r="B618" s="555" t="str">
        <f t="shared" si="51"/>
        <v/>
      </c>
      <c r="C618" s="556" t="str">
        <f t="shared" si="52"/>
        <v/>
      </c>
      <c r="D618" s="557" t="str">
        <f t="shared" si="53"/>
        <v/>
      </c>
      <c r="E618" s="560"/>
      <c r="F618" s="559"/>
      <c r="G618" s="559" t="str">
        <f t="shared" si="54"/>
        <v/>
      </c>
      <c r="H618" s="559" t="str">
        <f t="shared" si="55"/>
        <v/>
      </c>
      <c r="I618" s="559" t="str">
        <f t="shared" si="56"/>
        <v/>
      </c>
    </row>
    <row r="619" spans="2:9">
      <c r="B619" s="555" t="str">
        <f t="shared" si="51"/>
        <v/>
      </c>
      <c r="C619" s="556" t="str">
        <f t="shared" si="52"/>
        <v/>
      </c>
      <c r="D619" s="557" t="str">
        <f t="shared" si="53"/>
        <v/>
      </c>
      <c r="E619" s="560"/>
      <c r="F619" s="559"/>
      <c r="G619" s="559" t="str">
        <f t="shared" si="54"/>
        <v/>
      </c>
      <c r="H619" s="559" t="str">
        <f t="shared" si="55"/>
        <v/>
      </c>
      <c r="I619" s="559" t="str">
        <f t="shared" si="56"/>
        <v/>
      </c>
    </row>
    <row r="620" spans="2:9">
      <c r="B620" s="555" t="str">
        <f t="shared" si="51"/>
        <v/>
      </c>
      <c r="C620" s="556" t="str">
        <f t="shared" si="52"/>
        <v/>
      </c>
      <c r="D620" s="557" t="str">
        <f t="shared" si="53"/>
        <v/>
      </c>
      <c r="E620" s="560"/>
      <c r="F620" s="559"/>
      <c r="G620" s="559" t="str">
        <f t="shared" si="54"/>
        <v/>
      </c>
      <c r="H620" s="559" t="str">
        <f t="shared" si="55"/>
        <v/>
      </c>
      <c r="I620" s="559" t="str">
        <f t="shared" si="56"/>
        <v/>
      </c>
    </row>
    <row r="621" spans="2:9">
      <c r="B621" s="555" t="str">
        <f t="shared" si="51"/>
        <v/>
      </c>
      <c r="C621" s="556" t="str">
        <f t="shared" si="52"/>
        <v/>
      </c>
      <c r="D621" s="557" t="str">
        <f t="shared" si="53"/>
        <v/>
      </c>
      <c r="E621" s="560"/>
      <c r="F621" s="559"/>
      <c r="G621" s="559" t="str">
        <f t="shared" si="54"/>
        <v/>
      </c>
      <c r="H621" s="559" t="str">
        <f t="shared" si="55"/>
        <v/>
      </c>
      <c r="I621" s="559" t="str">
        <f t="shared" si="56"/>
        <v/>
      </c>
    </row>
    <row r="622" spans="2:9">
      <c r="B622" s="555" t="str">
        <f t="shared" si="51"/>
        <v/>
      </c>
      <c r="C622" s="556" t="str">
        <f t="shared" si="52"/>
        <v/>
      </c>
      <c r="D622" s="557" t="str">
        <f t="shared" si="53"/>
        <v/>
      </c>
      <c r="E622" s="560"/>
      <c r="F622" s="559"/>
      <c r="G622" s="559" t="str">
        <f t="shared" si="54"/>
        <v/>
      </c>
      <c r="H622" s="559" t="str">
        <f t="shared" si="55"/>
        <v/>
      </c>
      <c r="I622" s="559" t="str">
        <f t="shared" si="56"/>
        <v/>
      </c>
    </row>
    <row r="623" spans="2:9">
      <c r="B623" s="555" t="str">
        <f t="shared" si="51"/>
        <v/>
      </c>
      <c r="C623" s="556" t="str">
        <f t="shared" si="52"/>
        <v/>
      </c>
      <c r="D623" s="557" t="str">
        <f t="shared" si="53"/>
        <v/>
      </c>
      <c r="E623" s="560"/>
      <c r="F623" s="559"/>
      <c r="G623" s="559" t="str">
        <f t="shared" si="54"/>
        <v/>
      </c>
      <c r="H623" s="559" t="str">
        <f t="shared" si="55"/>
        <v/>
      </c>
      <c r="I623" s="559" t="str">
        <f t="shared" si="56"/>
        <v/>
      </c>
    </row>
    <row r="624" spans="2:9">
      <c r="B624" s="555" t="str">
        <f t="shared" si="51"/>
        <v/>
      </c>
      <c r="C624" s="556" t="str">
        <f t="shared" si="52"/>
        <v/>
      </c>
      <c r="D624" s="557" t="str">
        <f t="shared" si="53"/>
        <v/>
      </c>
      <c r="E624" s="560"/>
      <c r="F624" s="559"/>
      <c r="G624" s="559" t="str">
        <f t="shared" si="54"/>
        <v/>
      </c>
      <c r="H624" s="559" t="str">
        <f t="shared" si="55"/>
        <v/>
      </c>
      <c r="I624" s="559" t="str">
        <f t="shared" si="56"/>
        <v/>
      </c>
    </row>
    <row r="625" spans="2:9">
      <c r="B625" s="555" t="str">
        <f t="shared" si="51"/>
        <v/>
      </c>
      <c r="C625" s="556" t="str">
        <f t="shared" si="52"/>
        <v/>
      </c>
      <c r="D625" s="557" t="str">
        <f t="shared" si="53"/>
        <v/>
      </c>
      <c r="E625" s="560"/>
      <c r="F625" s="559"/>
      <c r="G625" s="559" t="str">
        <f t="shared" si="54"/>
        <v/>
      </c>
      <c r="H625" s="559" t="str">
        <f t="shared" si="55"/>
        <v/>
      </c>
      <c r="I625" s="559" t="str">
        <f t="shared" si="56"/>
        <v/>
      </c>
    </row>
    <row r="626" spans="2:9">
      <c r="B626" s="555" t="str">
        <f t="shared" si="51"/>
        <v/>
      </c>
      <c r="C626" s="556" t="str">
        <f t="shared" si="52"/>
        <v/>
      </c>
      <c r="D626" s="557" t="str">
        <f t="shared" si="53"/>
        <v/>
      </c>
      <c r="E626" s="560"/>
      <c r="F626" s="559"/>
      <c r="G626" s="559" t="str">
        <f t="shared" si="54"/>
        <v/>
      </c>
      <c r="H626" s="559" t="str">
        <f t="shared" si="55"/>
        <v/>
      </c>
      <c r="I626" s="559" t="str">
        <f t="shared" si="56"/>
        <v/>
      </c>
    </row>
    <row r="627" spans="2:9">
      <c r="B627" s="555" t="str">
        <f t="shared" si="51"/>
        <v/>
      </c>
      <c r="C627" s="556" t="str">
        <f t="shared" si="52"/>
        <v/>
      </c>
      <c r="D627" s="557" t="str">
        <f t="shared" si="53"/>
        <v/>
      </c>
      <c r="E627" s="560"/>
      <c r="F627" s="559"/>
      <c r="G627" s="559" t="str">
        <f t="shared" si="54"/>
        <v/>
      </c>
      <c r="H627" s="559" t="str">
        <f t="shared" si="55"/>
        <v/>
      </c>
      <c r="I627" s="559" t="str">
        <f t="shared" si="56"/>
        <v/>
      </c>
    </row>
    <row r="628" spans="2:9">
      <c r="B628" s="555" t="str">
        <f t="shared" si="51"/>
        <v/>
      </c>
      <c r="C628" s="556" t="str">
        <f t="shared" si="52"/>
        <v/>
      </c>
      <c r="D628" s="557" t="str">
        <f t="shared" si="53"/>
        <v/>
      </c>
      <c r="E628" s="560"/>
      <c r="F628" s="559"/>
      <c r="G628" s="559" t="str">
        <f t="shared" si="54"/>
        <v/>
      </c>
      <c r="H628" s="559" t="str">
        <f t="shared" si="55"/>
        <v/>
      </c>
      <c r="I628" s="559" t="str">
        <f t="shared" si="56"/>
        <v/>
      </c>
    </row>
    <row r="629" spans="2:9">
      <c r="B629" s="555" t="str">
        <f t="shared" si="51"/>
        <v/>
      </c>
      <c r="C629" s="556" t="str">
        <f t="shared" si="52"/>
        <v/>
      </c>
      <c r="D629" s="557" t="str">
        <f t="shared" si="53"/>
        <v/>
      </c>
      <c r="E629" s="560"/>
      <c r="F629" s="559"/>
      <c r="G629" s="559" t="str">
        <f t="shared" si="54"/>
        <v/>
      </c>
      <c r="H629" s="559" t="str">
        <f t="shared" si="55"/>
        <v/>
      </c>
      <c r="I629" s="559" t="str">
        <f t="shared" si="56"/>
        <v/>
      </c>
    </row>
    <row r="630" spans="2:9">
      <c r="B630" s="555" t="str">
        <f t="shared" si="51"/>
        <v/>
      </c>
      <c r="C630" s="556" t="str">
        <f t="shared" si="52"/>
        <v/>
      </c>
      <c r="D630" s="557" t="str">
        <f t="shared" si="53"/>
        <v/>
      </c>
      <c r="E630" s="560"/>
      <c r="F630" s="559"/>
      <c r="G630" s="559" t="str">
        <f t="shared" si="54"/>
        <v/>
      </c>
      <c r="H630" s="559" t="str">
        <f t="shared" si="55"/>
        <v/>
      </c>
      <c r="I630" s="559" t="str">
        <f t="shared" si="56"/>
        <v/>
      </c>
    </row>
    <row r="631" spans="2:9">
      <c r="B631" s="555" t="str">
        <f t="shared" si="51"/>
        <v/>
      </c>
      <c r="C631" s="556" t="str">
        <f t="shared" si="52"/>
        <v/>
      </c>
      <c r="D631" s="557" t="str">
        <f t="shared" si="53"/>
        <v/>
      </c>
      <c r="E631" s="560"/>
      <c r="F631" s="559"/>
      <c r="G631" s="559" t="str">
        <f t="shared" si="54"/>
        <v/>
      </c>
      <c r="H631" s="559" t="str">
        <f t="shared" si="55"/>
        <v/>
      </c>
      <c r="I631" s="559" t="str">
        <f t="shared" si="56"/>
        <v/>
      </c>
    </row>
    <row r="632" spans="2:9">
      <c r="B632" s="555" t="str">
        <f t="shared" si="51"/>
        <v/>
      </c>
      <c r="C632" s="556" t="str">
        <f t="shared" si="52"/>
        <v/>
      </c>
      <c r="D632" s="557" t="str">
        <f t="shared" si="53"/>
        <v/>
      </c>
      <c r="E632" s="560"/>
      <c r="F632" s="559"/>
      <c r="G632" s="559" t="str">
        <f t="shared" si="54"/>
        <v/>
      </c>
      <c r="H632" s="559" t="str">
        <f t="shared" si="55"/>
        <v/>
      </c>
      <c r="I632" s="559" t="str">
        <f t="shared" si="56"/>
        <v/>
      </c>
    </row>
    <row r="633" spans="2:9">
      <c r="B633" s="555" t="str">
        <f t="shared" si="51"/>
        <v/>
      </c>
      <c r="C633" s="556" t="str">
        <f t="shared" si="52"/>
        <v/>
      </c>
      <c r="D633" s="557" t="str">
        <f t="shared" si="53"/>
        <v/>
      </c>
      <c r="E633" s="560"/>
      <c r="F633" s="559"/>
      <c r="G633" s="559" t="str">
        <f t="shared" si="54"/>
        <v/>
      </c>
      <c r="H633" s="559" t="str">
        <f t="shared" si="55"/>
        <v/>
      </c>
      <c r="I633" s="559" t="str">
        <f t="shared" si="56"/>
        <v/>
      </c>
    </row>
    <row r="634" spans="2:9">
      <c r="B634" s="555" t="str">
        <f t="shared" si="51"/>
        <v/>
      </c>
      <c r="C634" s="556" t="str">
        <f t="shared" si="52"/>
        <v/>
      </c>
      <c r="D634" s="557" t="str">
        <f t="shared" si="53"/>
        <v/>
      </c>
      <c r="E634" s="560"/>
      <c r="F634" s="559"/>
      <c r="G634" s="559" t="str">
        <f t="shared" si="54"/>
        <v/>
      </c>
      <c r="H634" s="559" t="str">
        <f t="shared" si="55"/>
        <v/>
      </c>
      <c r="I634" s="559" t="str">
        <f t="shared" si="56"/>
        <v/>
      </c>
    </row>
    <row r="635" spans="2:9">
      <c r="B635" s="555" t="str">
        <f t="shared" si="51"/>
        <v/>
      </c>
      <c r="C635" s="556" t="str">
        <f t="shared" si="52"/>
        <v/>
      </c>
      <c r="D635" s="557" t="str">
        <f t="shared" si="53"/>
        <v/>
      </c>
      <c r="E635" s="560"/>
      <c r="F635" s="559"/>
      <c r="G635" s="559" t="str">
        <f t="shared" si="54"/>
        <v/>
      </c>
      <c r="H635" s="559" t="str">
        <f t="shared" si="55"/>
        <v/>
      </c>
      <c r="I635" s="559" t="str">
        <f t="shared" si="56"/>
        <v/>
      </c>
    </row>
    <row r="636" spans="2:9">
      <c r="B636" s="555" t="str">
        <f t="shared" si="51"/>
        <v/>
      </c>
      <c r="C636" s="556" t="str">
        <f t="shared" si="52"/>
        <v/>
      </c>
      <c r="D636" s="557" t="str">
        <f t="shared" si="53"/>
        <v/>
      </c>
      <c r="E636" s="560"/>
      <c r="F636" s="559"/>
      <c r="G636" s="559" t="str">
        <f t="shared" si="54"/>
        <v/>
      </c>
      <c r="H636" s="559" t="str">
        <f t="shared" si="55"/>
        <v/>
      </c>
      <c r="I636" s="559" t="str">
        <f t="shared" si="56"/>
        <v/>
      </c>
    </row>
    <row r="637" spans="2:9">
      <c r="B637" s="555" t="str">
        <f t="shared" ref="B637:B700" si="57">IF(I636="","",IF(roundOpt,IF(OR(B636&gt;=nper,ROUND(I636,2)&lt;=0),"",B636+1),IF(OR(B636&gt;=nper,I636&lt;=0),"",B636+1)))</f>
        <v/>
      </c>
      <c r="C637" s="556" t="str">
        <f t="shared" ref="C637:C700" si="58">IF(B637="","",IF(OR(periods_per_year=26,periods_per_year=52),IF(periods_per_year=26,IF(B637=1,fpdate,C636+14),IF(periods_per_year=52,IF(B637=1,fpdate,C636+7),"n/a")),IF(periods_per_year=24,DATE(YEAR(fpdate),MONTH(fpdate)+(B637-1)/2+IF(AND(DAY(fpdate)&gt;=15,MOD(B637,2)=0),1,0),IF(MOD(B637,2)=0,IF(DAY(fpdate)&gt;=15,DAY(fpdate)-14,DAY(fpdate)+14),DAY(fpdate))),IF(DAY(DATE(YEAR(fpdate),MONTH(fpdate)+(B637-1)*months_per_period,DAY(fpdate)))&lt;&gt;DAY(fpdate),DATE(YEAR(fpdate),MONTH(fpdate)+(B637-1)*months_per_period+1,0),DATE(YEAR(fpdate),MONTH(fpdate)+(B637-1)*months_per_period,DAY(fpdate))))))</f>
        <v/>
      </c>
      <c r="D637" s="557" t="str">
        <f t="shared" ref="D637:D700" si="59">IF(B637="","",IF(roundOpt,IF(OR(B637=nper,payment&gt;ROUND((1+rate)*I636,2)),ROUND((1+rate)*I636,2),payment),IF(OR(B637=nper,payment&gt;(1+rate)*I636),(1+rate)*I636,payment)))</f>
        <v/>
      </c>
      <c r="E637" s="560"/>
      <c r="F637" s="559"/>
      <c r="G637" s="559" t="str">
        <f t="shared" ref="G637:G700" si="60">IF(B637="","",IF(AND(B637=1,pmtType=1),0,IF(roundOpt,ROUND(rate*I636,2),rate*I636)))</f>
        <v/>
      </c>
      <c r="H637" s="559" t="str">
        <f t="shared" ref="H637:H700" si="61">IF(B637="","",D637-G637+E637)</f>
        <v/>
      </c>
      <c r="I637" s="559" t="str">
        <f t="shared" ref="I637:I700" si="62">IF(B637="","",I636-H637)</f>
        <v/>
      </c>
    </row>
    <row r="638" spans="2:9">
      <c r="B638" s="555" t="str">
        <f t="shared" si="57"/>
        <v/>
      </c>
      <c r="C638" s="556" t="str">
        <f t="shared" si="58"/>
        <v/>
      </c>
      <c r="D638" s="557" t="str">
        <f t="shared" si="59"/>
        <v/>
      </c>
      <c r="E638" s="560"/>
      <c r="F638" s="559"/>
      <c r="G638" s="559" t="str">
        <f t="shared" si="60"/>
        <v/>
      </c>
      <c r="H638" s="559" t="str">
        <f t="shared" si="61"/>
        <v/>
      </c>
      <c r="I638" s="559" t="str">
        <f t="shared" si="62"/>
        <v/>
      </c>
    </row>
    <row r="639" spans="2:9">
      <c r="B639" s="555" t="str">
        <f t="shared" si="57"/>
        <v/>
      </c>
      <c r="C639" s="556" t="str">
        <f t="shared" si="58"/>
        <v/>
      </c>
      <c r="D639" s="557" t="str">
        <f t="shared" si="59"/>
        <v/>
      </c>
      <c r="E639" s="560"/>
      <c r="F639" s="559"/>
      <c r="G639" s="559" t="str">
        <f t="shared" si="60"/>
        <v/>
      </c>
      <c r="H639" s="559" t="str">
        <f t="shared" si="61"/>
        <v/>
      </c>
      <c r="I639" s="559" t="str">
        <f t="shared" si="62"/>
        <v/>
      </c>
    </row>
    <row r="640" spans="2:9">
      <c r="B640" s="555" t="str">
        <f t="shared" si="57"/>
        <v/>
      </c>
      <c r="C640" s="556" t="str">
        <f t="shared" si="58"/>
        <v/>
      </c>
      <c r="D640" s="557" t="str">
        <f t="shared" si="59"/>
        <v/>
      </c>
      <c r="E640" s="560"/>
      <c r="F640" s="559"/>
      <c r="G640" s="559" t="str">
        <f t="shared" si="60"/>
        <v/>
      </c>
      <c r="H640" s="559" t="str">
        <f t="shared" si="61"/>
        <v/>
      </c>
      <c r="I640" s="559" t="str">
        <f t="shared" si="62"/>
        <v/>
      </c>
    </row>
    <row r="641" spans="2:9">
      <c r="B641" s="555" t="str">
        <f t="shared" si="57"/>
        <v/>
      </c>
      <c r="C641" s="556" t="str">
        <f t="shared" si="58"/>
        <v/>
      </c>
      <c r="D641" s="557" t="str">
        <f t="shared" si="59"/>
        <v/>
      </c>
      <c r="E641" s="560"/>
      <c r="F641" s="559"/>
      <c r="G641" s="559" t="str">
        <f t="shared" si="60"/>
        <v/>
      </c>
      <c r="H641" s="559" t="str">
        <f t="shared" si="61"/>
        <v/>
      </c>
      <c r="I641" s="559" t="str">
        <f t="shared" si="62"/>
        <v/>
      </c>
    </row>
    <row r="642" spans="2:9">
      <c r="B642" s="555" t="str">
        <f t="shared" si="57"/>
        <v/>
      </c>
      <c r="C642" s="556" t="str">
        <f t="shared" si="58"/>
        <v/>
      </c>
      <c r="D642" s="557" t="str">
        <f t="shared" si="59"/>
        <v/>
      </c>
      <c r="E642" s="560"/>
      <c r="F642" s="559"/>
      <c r="G642" s="559" t="str">
        <f t="shared" si="60"/>
        <v/>
      </c>
      <c r="H642" s="559" t="str">
        <f t="shared" si="61"/>
        <v/>
      </c>
      <c r="I642" s="559" t="str">
        <f t="shared" si="62"/>
        <v/>
      </c>
    </row>
    <row r="643" spans="2:9">
      <c r="B643" s="555" t="str">
        <f t="shared" si="57"/>
        <v/>
      </c>
      <c r="C643" s="556" t="str">
        <f t="shared" si="58"/>
        <v/>
      </c>
      <c r="D643" s="557" t="str">
        <f t="shared" si="59"/>
        <v/>
      </c>
      <c r="E643" s="560"/>
      <c r="F643" s="559"/>
      <c r="G643" s="559" t="str">
        <f t="shared" si="60"/>
        <v/>
      </c>
      <c r="H643" s="559" t="str">
        <f t="shared" si="61"/>
        <v/>
      </c>
      <c r="I643" s="559" t="str">
        <f t="shared" si="62"/>
        <v/>
      </c>
    </row>
    <row r="644" spans="2:9">
      <c r="B644" s="555" t="str">
        <f t="shared" si="57"/>
        <v/>
      </c>
      <c r="C644" s="556" t="str">
        <f t="shared" si="58"/>
        <v/>
      </c>
      <c r="D644" s="557" t="str">
        <f t="shared" si="59"/>
        <v/>
      </c>
      <c r="E644" s="560"/>
      <c r="F644" s="559"/>
      <c r="G644" s="559" t="str">
        <f t="shared" si="60"/>
        <v/>
      </c>
      <c r="H644" s="559" t="str">
        <f t="shared" si="61"/>
        <v/>
      </c>
      <c r="I644" s="559" t="str">
        <f t="shared" si="62"/>
        <v/>
      </c>
    </row>
    <row r="645" spans="2:9">
      <c r="B645" s="555" t="str">
        <f t="shared" si="57"/>
        <v/>
      </c>
      <c r="C645" s="556" t="str">
        <f t="shared" si="58"/>
        <v/>
      </c>
      <c r="D645" s="557" t="str">
        <f t="shared" si="59"/>
        <v/>
      </c>
      <c r="E645" s="560"/>
      <c r="F645" s="559"/>
      <c r="G645" s="559" t="str">
        <f t="shared" si="60"/>
        <v/>
      </c>
      <c r="H645" s="559" t="str">
        <f t="shared" si="61"/>
        <v/>
      </c>
      <c r="I645" s="559" t="str">
        <f t="shared" si="62"/>
        <v/>
      </c>
    </row>
    <row r="646" spans="2:9">
      <c r="B646" s="555" t="str">
        <f t="shared" si="57"/>
        <v/>
      </c>
      <c r="C646" s="556" t="str">
        <f t="shared" si="58"/>
        <v/>
      </c>
      <c r="D646" s="557" t="str">
        <f t="shared" si="59"/>
        <v/>
      </c>
      <c r="E646" s="560"/>
      <c r="F646" s="559"/>
      <c r="G646" s="559" t="str">
        <f t="shared" si="60"/>
        <v/>
      </c>
      <c r="H646" s="559" t="str">
        <f t="shared" si="61"/>
        <v/>
      </c>
      <c r="I646" s="559" t="str">
        <f t="shared" si="62"/>
        <v/>
      </c>
    </row>
    <row r="647" spans="2:9">
      <c r="B647" s="555" t="str">
        <f t="shared" si="57"/>
        <v/>
      </c>
      <c r="C647" s="556" t="str">
        <f t="shared" si="58"/>
        <v/>
      </c>
      <c r="D647" s="557" t="str">
        <f t="shared" si="59"/>
        <v/>
      </c>
      <c r="E647" s="560"/>
      <c r="F647" s="559"/>
      <c r="G647" s="559" t="str">
        <f t="shared" si="60"/>
        <v/>
      </c>
      <c r="H647" s="559" t="str">
        <f t="shared" si="61"/>
        <v/>
      </c>
      <c r="I647" s="559" t="str">
        <f t="shared" si="62"/>
        <v/>
      </c>
    </row>
    <row r="648" spans="2:9">
      <c r="B648" s="555" t="str">
        <f t="shared" si="57"/>
        <v/>
      </c>
      <c r="C648" s="556" t="str">
        <f t="shared" si="58"/>
        <v/>
      </c>
      <c r="D648" s="557" t="str">
        <f t="shared" si="59"/>
        <v/>
      </c>
      <c r="E648" s="560"/>
      <c r="F648" s="559"/>
      <c r="G648" s="559" t="str">
        <f t="shared" si="60"/>
        <v/>
      </c>
      <c r="H648" s="559" t="str">
        <f t="shared" si="61"/>
        <v/>
      </c>
      <c r="I648" s="559" t="str">
        <f t="shared" si="62"/>
        <v/>
      </c>
    </row>
    <row r="649" spans="2:9">
      <c r="B649" s="555" t="str">
        <f t="shared" si="57"/>
        <v/>
      </c>
      <c r="C649" s="556" t="str">
        <f t="shared" si="58"/>
        <v/>
      </c>
      <c r="D649" s="557" t="str">
        <f t="shared" si="59"/>
        <v/>
      </c>
      <c r="E649" s="560"/>
      <c r="F649" s="559"/>
      <c r="G649" s="559" t="str">
        <f t="shared" si="60"/>
        <v/>
      </c>
      <c r="H649" s="559" t="str">
        <f t="shared" si="61"/>
        <v/>
      </c>
      <c r="I649" s="559" t="str">
        <f t="shared" si="62"/>
        <v/>
      </c>
    </row>
    <row r="650" spans="2:9">
      <c r="B650" s="555" t="str">
        <f t="shared" si="57"/>
        <v/>
      </c>
      <c r="C650" s="556" t="str">
        <f t="shared" si="58"/>
        <v/>
      </c>
      <c r="D650" s="557" t="str">
        <f t="shared" si="59"/>
        <v/>
      </c>
      <c r="E650" s="560"/>
      <c r="F650" s="559"/>
      <c r="G650" s="559" t="str">
        <f t="shared" si="60"/>
        <v/>
      </c>
      <c r="H650" s="559" t="str">
        <f t="shared" si="61"/>
        <v/>
      </c>
      <c r="I650" s="559" t="str">
        <f t="shared" si="62"/>
        <v/>
      </c>
    </row>
    <row r="651" spans="2:9">
      <c r="B651" s="555" t="str">
        <f t="shared" si="57"/>
        <v/>
      </c>
      <c r="C651" s="556" t="str">
        <f t="shared" si="58"/>
        <v/>
      </c>
      <c r="D651" s="557" t="str">
        <f t="shared" si="59"/>
        <v/>
      </c>
      <c r="E651" s="560"/>
      <c r="F651" s="559"/>
      <c r="G651" s="559" t="str">
        <f t="shared" si="60"/>
        <v/>
      </c>
      <c r="H651" s="559" t="str">
        <f t="shared" si="61"/>
        <v/>
      </c>
      <c r="I651" s="559" t="str">
        <f t="shared" si="62"/>
        <v/>
      </c>
    </row>
    <row r="652" spans="2:9">
      <c r="B652" s="555" t="str">
        <f t="shared" si="57"/>
        <v/>
      </c>
      <c r="C652" s="556" t="str">
        <f t="shared" si="58"/>
        <v/>
      </c>
      <c r="D652" s="557" t="str">
        <f t="shared" si="59"/>
        <v/>
      </c>
      <c r="E652" s="560"/>
      <c r="F652" s="559"/>
      <c r="G652" s="559" t="str">
        <f t="shared" si="60"/>
        <v/>
      </c>
      <c r="H652" s="559" t="str">
        <f t="shared" si="61"/>
        <v/>
      </c>
      <c r="I652" s="559" t="str">
        <f t="shared" si="62"/>
        <v/>
      </c>
    </row>
    <row r="653" spans="2:9">
      <c r="B653" s="555" t="str">
        <f t="shared" si="57"/>
        <v/>
      </c>
      <c r="C653" s="556" t="str">
        <f t="shared" si="58"/>
        <v/>
      </c>
      <c r="D653" s="557" t="str">
        <f t="shared" si="59"/>
        <v/>
      </c>
      <c r="E653" s="560"/>
      <c r="F653" s="559"/>
      <c r="G653" s="559" t="str">
        <f t="shared" si="60"/>
        <v/>
      </c>
      <c r="H653" s="559" t="str">
        <f t="shared" si="61"/>
        <v/>
      </c>
      <c r="I653" s="559" t="str">
        <f t="shared" si="62"/>
        <v/>
      </c>
    </row>
    <row r="654" spans="2:9">
      <c r="B654" s="555" t="str">
        <f t="shared" si="57"/>
        <v/>
      </c>
      <c r="C654" s="556" t="str">
        <f t="shared" si="58"/>
        <v/>
      </c>
      <c r="D654" s="557" t="str">
        <f t="shared" si="59"/>
        <v/>
      </c>
      <c r="E654" s="560"/>
      <c r="F654" s="559"/>
      <c r="G654" s="559" t="str">
        <f t="shared" si="60"/>
        <v/>
      </c>
      <c r="H654" s="559" t="str">
        <f t="shared" si="61"/>
        <v/>
      </c>
      <c r="I654" s="559" t="str">
        <f t="shared" si="62"/>
        <v/>
      </c>
    </row>
    <row r="655" spans="2:9">
      <c r="B655" s="555" t="str">
        <f t="shared" si="57"/>
        <v/>
      </c>
      <c r="C655" s="556" t="str">
        <f t="shared" si="58"/>
        <v/>
      </c>
      <c r="D655" s="557" t="str">
        <f t="shared" si="59"/>
        <v/>
      </c>
      <c r="E655" s="560"/>
      <c r="F655" s="559"/>
      <c r="G655" s="559" t="str">
        <f t="shared" si="60"/>
        <v/>
      </c>
      <c r="H655" s="559" t="str">
        <f t="shared" si="61"/>
        <v/>
      </c>
      <c r="I655" s="559" t="str">
        <f t="shared" si="62"/>
        <v/>
      </c>
    </row>
    <row r="656" spans="2:9">
      <c r="B656" s="555" t="str">
        <f t="shared" si="57"/>
        <v/>
      </c>
      <c r="C656" s="556" t="str">
        <f t="shared" si="58"/>
        <v/>
      </c>
      <c r="D656" s="557" t="str">
        <f t="shared" si="59"/>
        <v/>
      </c>
      <c r="E656" s="560"/>
      <c r="F656" s="559"/>
      <c r="G656" s="559" t="str">
        <f t="shared" si="60"/>
        <v/>
      </c>
      <c r="H656" s="559" t="str">
        <f t="shared" si="61"/>
        <v/>
      </c>
      <c r="I656" s="559" t="str">
        <f t="shared" si="62"/>
        <v/>
      </c>
    </row>
    <row r="657" spans="2:9">
      <c r="B657" s="555" t="str">
        <f t="shared" si="57"/>
        <v/>
      </c>
      <c r="C657" s="556" t="str">
        <f t="shared" si="58"/>
        <v/>
      </c>
      <c r="D657" s="557" t="str">
        <f t="shared" si="59"/>
        <v/>
      </c>
      <c r="E657" s="560"/>
      <c r="F657" s="559"/>
      <c r="G657" s="559" t="str">
        <f t="shared" si="60"/>
        <v/>
      </c>
      <c r="H657" s="559" t="str">
        <f t="shared" si="61"/>
        <v/>
      </c>
      <c r="I657" s="559" t="str">
        <f t="shared" si="62"/>
        <v/>
      </c>
    </row>
    <row r="658" spans="2:9">
      <c r="B658" s="555" t="str">
        <f t="shared" si="57"/>
        <v/>
      </c>
      <c r="C658" s="556" t="str">
        <f t="shared" si="58"/>
        <v/>
      </c>
      <c r="D658" s="557" t="str">
        <f t="shared" si="59"/>
        <v/>
      </c>
      <c r="E658" s="560"/>
      <c r="F658" s="559"/>
      <c r="G658" s="559" t="str">
        <f t="shared" si="60"/>
        <v/>
      </c>
      <c r="H658" s="559" t="str">
        <f t="shared" si="61"/>
        <v/>
      </c>
      <c r="I658" s="559" t="str">
        <f t="shared" si="62"/>
        <v/>
      </c>
    </row>
    <row r="659" spans="2:9">
      <c r="B659" s="555" t="str">
        <f t="shared" si="57"/>
        <v/>
      </c>
      <c r="C659" s="556" t="str">
        <f t="shared" si="58"/>
        <v/>
      </c>
      <c r="D659" s="557" t="str">
        <f t="shared" si="59"/>
        <v/>
      </c>
      <c r="E659" s="560"/>
      <c r="F659" s="559"/>
      <c r="G659" s="559" t="str">
        <f t="shared" si="60"/>
        <v/>
      </c>
      <c r="H659" s="559" t="str">
        <f t="shared" si="61"/>
        <v/>
      </c>
      <c r="I659" s="559" t="str">
        <f t="shared" si="62"/>
        <v/>
      </c>
    </row>
    <row r="660" spans="2:9">
      <c r="B660" s="555" t="str">
        <f t="shared" si="57"/>
        <v/>
      </c>
      <c r="C660" s="556" t="str">
        <f t="shared" si="58"/>
        <v/>
      </c>
      <c r="D660" s="557" t="str">
        <f t="shared" si="59"/>
        <v/>
      </c>
      <c r="E660" s="560"/>
      <c r="F660" s="559"/>
      <c r="G660" s="559" t="str">
        <f t="shared" si="60"/>
        <v/>
      </c>
      <c r="H660" s="559" t="str">
        <f t="shared" si="61"/>
        <v/>
      </c>
      <c r="I660" s="559" t="str">
        <f t="shared" si="62"/>
        <v/>
      </c>
    </row>
    <row r="661" spans="2:9">
      <c r="B661" s="555" t="str">
        <f t="shared" si="57"/>
        <v/>
      </c>
      <c r="C661" s="556" t="str">
        <f t="shared" si="58"/>
        <v/>
      </c>
      <c r="D661" s="557" t="str">
        <f t="shared" si="59"/>
        <v/>
      </c>
      <c r="E661" s="560"/>
      <c r="F661" s="559"/>
      <c r="G661" s="559" t="str">
        <f t="shared" si="60"/>
        <v/>
      </c>
      <c r="H661" s="559" t="str">
        <f t="shared" si="61"/>
        <v/>
      </c>
      <c r="I661" s="559" t="str">
        <f t="shared" si="62"/>
        <v/>
      </c>
    </row>
    <row r="662" spans="2:9">
      <c r="B662" s="555" t="str">
        <f t="shared" si="57"/>
        <v/>
      </c>
      <c r="C662" s="556" t="str">
        <f t="shared" si="58"/>
        <v/>
      </c>
      <c r="D662" s="557" t="str">
        <f t="shared" si="59"/>
        <v/>
      </c>
      <c r="E662" s="560"/>
      <c r="F662" s="559"/>
      <c r="G662" s="559" t="str">
        <f t="shared" si="60"/>
        <v/>
      </c>
      <c r="H662" s="559" t="str">
        <f t="shared" si="61"/>
        <v/>
      </c>
      <c r="I662" s="559" t="str">
        <f t="shared" si="62"/>
        <v/>
      </c>
    </row>
    <row r="663" spans="2:9">
      <c r="B663" s="555" t="str">
        <f t="shared" si="57"/>
        <v/>
      </c>
      <c r="C663" s="556" t="str">
        <f t="shared" si="58"/>
        <v/>
      </c>
      <c r="D663" s="557" t="str">
        <f t="shared" si="59"/>
        <v/>
      </c>
      <c r="E663" s="560"/>
      <c r="F663" s="559"/>
      <c r="G663" s="559" t="str">
        <f t="shared" si="60"/>
        <v/>
      </c>
      <c r="H663" s="559" t="str">
        <f t="shared" si="61"/>
        <v/>
      </c>
      <c r="I663" s="559" t="str">
        <f t="shared" si="62"/>
        <v/>
      </c>
    </row>
    <row r="664" spans="2:9">
      <c r="B664" s="555" t="str">
        <f t="shared" si="57"/>
        <v/>
      </c>
      <c r="C664" s="556" t="str">
        <f t="shared" si="58"/>
        <v/>
      </c>
      <c r="D664" s="557" t="str">
        <f t="shared" si="59"/>
        <v/>
      </c>
      <c r="E664" s="560"/>
      <c r="F664" s="559"/>
      <c r="G664" s="559" t="str">
        <f t="shared" si="60"/>
        <v/>
      </c>
      <c r="H664" s="559" t="str">
        <f t="shared" si="61"/>
        <v/>
      </c>
      <c r="I664" s="559" t="str">
        <f t="shared" si="62"/>
        <v/>
      </c>
    </row>
    <row r="665" spans="2:9">
      <c r="B665" s="555" t="str">
        <f t="shared" si="57"/>
        <v/>
      </c>
      <c r="C665" s="556" t="str">
        <f t="shared" si="58"/>
        <v/>
      </c>
      <c r="D665" s="557" t="str">
        <f t="shared" si="59"/>
        <v/>
      </c>
      <c r="E665" s="560"/>
      <c r="F665" s="559"/>
      <c r="G665" s="559" t="str">
        <f t="shared" si="60"/>
        <v/>
      </c>
      <c r="H665" s="559" t="str">
        <f t="shared" si="61"/>
        <v/>
      </c>
      <c r="I665" s="559" t="str">
        <f t="shared" si="62"/>
        <v/>
      </c>
    </row>
    <row r="666" spans="2:9">
      <c r="B666" s="555" t="str">
        <f t="shared" si="57"/>
        <v/>
      </c>
      <c r="C666" s="556" t="str">
        <f t="shared" si="58"/>
        <v/>
      </c>
      <c r="D666" s="557" t="str">
        <f t="shared" si="59"/>
        <v/>
      </c>
      <c r="E666" s="560"/>
      <c r="F666" s="559"/>
      <c r="G666" s="559" t="str">
        <f t="shared" si="60"/>
        <v/>
      </c>
      <c r="H666" s="559" t="str">
        <f t="shared" si="61"/>
        <v/>
      </c>
      <c r="I666" s="559" t="str">
        <f t="shared" si="62"/>
        <v/>
      </c>
    </row>
    <row r="667" spans="2:9">
      <c r="B667" s="555" t="str">
        <f t="shared" si="57"/>
        <v/>
      </c>
      <c r="C667" s="556" t="str">
        <f t="shared" si="58"/>
        <v/>
      </c>
      <c r="D667" s="557" t="str">
        <f t="shared" si="59"/>
        <v/>
      </c>
      <c r="E667" s="560"/>
      <c r="F667" s="559"/>
      <c r="G667" s="559" t="str">
        <f t="shared" si="60"/>
        <v/>
      </c>
      <c r="H667" s="559" t="str">
        <f t="shared" si="61"/>
        <v/>
      </c>
      <c r="I667" s="559" t="str">
        <f t="shared" si="62"/>
        <v/>
      </c>
    </row>
    <row r="668" spans="2:9">
      <c r="B668" s="555" t="str">
        <f t="shared" si="57"/>
        <v/>
      </c>
      <c r="C668" s="556" t="str">
        <f t="shared" si="58"/>
        <v/>
      </c>
      <c r="D668" s="557" t="str">
        <f t="shared" si="59"/>
        <v/>
      </c>
      <c r="E668" s="560"/>
      <c r="F668" s="559"/>
      <c r="G668" s="559" t="str">
        <f t="shared" si="60"/>
        <v/>
      </c>
      <c r="H668" s="559" t="str">
        <f t="shared" si="61"/>
        <v/>
      </c>
      <c r="I668" s="559" t="str">
        <f t="shared" si="62"/>
        <v/>
      </c>
    </row>
    <row r="669" spans="2:9">
      <c r="B669" s="555" t="str">
        <f t="shared" si="57"/>
        <v/>
      </c>
      <c r="C669" s="556" t="str">
        <f t="shared" si="58"/>
        <v/>
      </c>
      <c r="D669" s="557" t="str">
        <f t="shared" si="59"/>
        <v/>
      </c>
      <c r="E669" s="560"/>
      <c r="F669" s="559"/>
      <c r="G669" s="559" t="str">
        <f t="shared" si="60"/>
        <v/>
      </c>
      <c r="H669" s="559" t="str">
        <f t="shared" si="61"/>
        <v/>
      </c>
      <c r="I669" s="559" t="str">
        <f t="shared" si="62"/>
        <v/>
      </c>
    </row>
    <row r="670" spans="2:9">
      <c r="B670" s="555" t="str">
        <f t="shared" si="57"/>
        <v/>
      </c>
      <c r="C670" s="556" t="str">
        <f t="shared" si="58"/>
        <v/>
      </c>
      <c r="D670" s="557" t="str">
        <f t="shared" si="59"/>
        <v/>
      </c>
      <c r="E670" s="560"/>
      <c r="F670" s="559"/>
      <c r="G670" s="559" t="str">
        <f t="shared" si="60"/>
        <v/>
      </c>
      <c r="H670" s="559" t="str">
        <f t="shared" si="61"/>
        <v/>
      </c>
      <c r="I670" s="559" t="str">
        <f t="shared" si="62"/>
        <v/>
      </c>
    </row>
    <row r="671" spans="2:9">
      <c r="B671" s="555" t="str">
        <f t="shared" si="57"/>
        <v/>
      </c>
      <c r="C671" s="556" t="str">
        <f t="shared" si="58"/>
        <v/>
      </c>
      <c r="D671" s="557" t="str">
        <f t="shared" si="59"/>
        <v/>
      </c>
      <c r="E671" s="560"/>
      <c r="F671" s="559"/>
      <c r="G671" s="559" t="str">
        <f t="shared" si="60"/>
        <v/>
      </c>
      <c r="H671" s="559" t="str">
        <f t="shared" si="61"/>
        <v/>
      </c>
      <c r="I671" s="559" t="str">
        <f t="shared" si="62"/>
        <v/>
      </c>
    </row>
    <row r="672" spans="2:9">
      <c r="B672" s="555" t="str">
        <f t="shared" si="57"/>
        <v/>
      </c>
      <c r="C672" s="556" t="str">
        <f t="shared" si="58"/>
        <v/>
      </c>
      <c r="D672" s="557" t="str">
        <f t="shared" si="59"/>
        <v/>
      </c>
      <c r="E672" s="560"/>
      <c r="F672" s="559"/>
      <c r="G672" s="559" t="str">
        <f t="shared" si="60"/>
        <v/>
      </c>
      <c r="H672" s="559" t="str">
        <f t="shared" si="61"/>
        <v/>
      </c>
      <c r="I672" s="559" t="str">
        <f t="shared" si="62"/>
        <v/>
      </c>
    </row>
    <row r="673" spans="2:9">
      <c r="B673" s="555" t="str">
        <f t="shared" si="57"/>
        <v/>
      </c>
      <c r="C673" s="556" t="str">
        <f t="shared" si="58"/>
        <v/>
      </c>
      <c r="D673" s="557" t="str">
        <f t="shared" si="59"/>
        <v/>
      </c>
      <c r="E673" s="560"/>
      <c r="F673" s="559"/>
      <c r="G673" s="559" t="str">
        <f t="shared" si="60"/>
        <v/>
      </c>
      <c r="H673" s="559" t="str">
        <f t="shared" si="61"/>
        <v/>
      </c>
      <c r="I673" s="559" t="str">
        <f t="shared" si="62"/>
        <v/>
      </c>
    </row>
    <row r="674" spans="2:9">
      <c r="B674" s="555" t="str">
        <f t="shared" si="57"/>
        <v/>
      </c>
      <c r="C674" s="556" t="str">
        <f t="shared" si="58"/>
        <v/>
      </c>
      <c r="D674" s="557" t="str">
        <f t="shared" si="59"/>
        <v/>
      </c>
      <c r="E674" s="560"/>
      <c r="F674" s="559"/>
      <c r="G674" s="559" t="str">
        <f t="shared" si="60"/>
        <v/>
      </c>
      <c r="H674" s="559" t="str">
        <f t="shared" si="61"/>
        <v/>
      </c>
      <c r="I674" s="559" t="str">
        <f t="shared" si="62"/>
        <v/>
      </c>
    </row>
    <row r="675" spans="2:9">
      <c r="B675" s="555" t="str">
        <f t="shared" si="57"/>
        <v/>
      </c>
      <c r="C675" s="556" t="str">
        <f t="shared" si="58"/>
        <v/>
      </c>
      <c r="D675" s="557" t="str">
        <f t="shared" si="59"/>
        <v/>
      </c>
      <c r="E675" s="560"/>
      <c r="F675" s="559"/>
      <c r="G675" s="559" t="str">
        <f t="shared" si="60"/>
        <v/>
      </c>
      <c r="H675" s="559" t="str">
        <f t="shared" si="61"/>
        <v/>
      </c>
      <c r="I675" s="559" t="str">
        <f t="shared" si="62"/>
        <v/>
      </c>
    </row>
    <row r="676" spans="2:9">
      <c r="B676" s="555" t="str">
        <f t="shared" si="57"/>
        <v/>
      </c>
      <c r="C676" s="556" t="str">
        <f t="shared" si="58"/>
        <v/>
      </c>
      <c r="D676" s="557" t="str">
        <f t="shared" si="59"/>
        <v/>
      </c>
      <c r="E676" s="560"/>
      <c r="F676" s="559"/>
      <c r="G676" s="559" t="str">
        <f t="shared" si="60"/>
        <v/>
      </c>
      <c r="H676" s="559" t="str">
        <f t="shared" si="61"/>
        <v/>
      </c>
      <c r="I676" s="559" t="str">
        <f t="shared" si="62"/>
        <v/>
      </c>
    </row>
    <row r="677" spans="2:9">
      <c r="B677" s="555" t="str">
        <f t="shared" si="57"/>
        <v/>
      </c>
      <c r="C677" s="556" t="str">
        <f t="shared" si="58"/>
        <v/>
      </c>
      <c r="D677" s="557" t="str">
        <f t="shared" si="59"/>
        <v/>
      </c>
      <c r="E677" s="560"/>
      <c r="F677" s="559"/>
      <c r="G677" s="559" t="str">
        <f t="shared" si="60"/>
        <v/>
      </c>
      <c r="H677" s="559" t="str">
        <f t="shared" si="61"/>
        <v/>
      </c>
      <c r="I677" s="559" t="str">
        <f t="shared" si="62"/>
        <v/>
      </c>
    </row>
    <row r="678" spans="2:9">
      <c r="B678" s="555" t="str">
        <f t="shared" si="57"/>
        <v/>
      </c>
      <c r="C678" s="556" t="str">
        <f t="shared" si="58"/>
        <v/>
      </c>
      <c r="D678" s="557" t="str">
        <f t="shared" si="59"/>
        <v/>
      </c>
      <c r="E678" s="560"/>
      <c r="F678" s="559"/>
      <c r="G678" s="559" t="str">
        <f t="shared" si="60"/>
        <v/>
      </c>
      <c r="H678" s="559" t="str">
        <f t="shared" si="61"/>
        <v/>
      </c>
      <c r="I678" s="559" t="str">
        <f t="shared" si="62"/>
        <v/>
      </c>
    </row>
    <row r="679" spans="2:9">
      <c r="B679" s="555" t="str">
        <f t="shared" si="57"/>
        <v/>
      </c>
      <c r="C679" s="556" t="str">
        <f t="shared" si="58"/>
        <v/>
      </c>
      <c r="D679" s="557" t="str">
        <f t="shared" si="59"/>
        <v/>
      </c>
      <c r="E679" s="560"/>
      <c r="F679" s="559"/>
      <c r="G679" s="559" t="str">
        <f t="shared" si="60"/>
        <v/>
      </c>
      <c r="H679" s="559" t="str">
        <f t="shared" si="61"/>
        <v/>
      </c>
      <c r="I679" s="559" t="str">
        <f t="shared" si="62"/>
        <v/>
      </c>
    </row>
    <row r="680" spans="2:9">
      <c r="B680" s="555" t="str">
        <f t="shared" si="57"/>
        <v/>
      </c>
      <c r="C680" s="556" t="str">
        <f t="shared" si="58"/>
        <v/>
      </c>
      <c r="D680" s="557" t="str">
        <f t="shared" si="59"/>
        <v/>
      </c>
      <c r="E680" s="560"/>
      <c r="F680" s="559"/>
      <c r="G680" s="559" t="str">
        <f t="shared" si="60"/>
        <v/>
      </c>
      <c r="H680" s="559" t="str">
        <f t="shared" si="61"/>
        <v/>
      </c>
      <c r="I680" s="559" t="str">
        <f t="shared" si="62"/>
        <v/>
      </c>
    </row>
    <row r="681" spans="2:9">
      <c r="B681" s="555" t="str">
        <f t="shared" si="57"/>
        <v/>
      </c>
      <c r="C681" s="556" t="str">
        <f t="shared" si="58"/>
        <v/>
      </c>
      <c r="D681" s="557" t="str">
        <f t="shared" si="59"/>
        <v/>
      </c>
      <c r="E681" s="560"/>
      <c r="F681" s="559"/>
      <c r="G681" s="559" t="str">
        <f t="shared" si="60"/>
        <v/>
      </c>
      <c r="H681" s="559" t="str">
        <f t="shared" si="61"/>
        <v/>
      </c>
      <c r="I681" s="559" t="str">
        <f t="shared" si="62"/>
        <v/>
      </c>
    </row>
    <row r="682" spans="2:9">
      <c r="B682" s="555" t="str">
        <f t="shared" si="57"/>
        <v/>
      </c>
      <c r="C682" s="556" t="str">
        <f t="shared" si="58"/>
        <v/>
      </c>
      <c r="D682" s="557" t="str">
        <f t="shared" si="59"/>
        <v/>
      </c>
      <c r="E682" s="560"/>
      <c r="F682" s="559"/>
      <c r="G682" s="559" t="str">
        <f t="shared" si="60"/>
        <v/>
      </c>
      <c r="H682" s="559" t="str">
        <f t="shared" si="61"/>
        <v/>
      </c>
      <c r="I682" s="559" t="str">
        <f t="shared" si="62"/>
        <v/>
      </c>
    </row>
    <row r="683" spans="2:9">
      <c r="B683" s="555" t="str">
        <f t="shared" si="57"/>
        <v/>
      </c>
      <c r="C683" s="556" t="str">
        <f t="shared" si="58"/>
        <v/>
      </c>
      <c r="D683" s="557" t="str">
        <f t="shared" si="59"/>
        <v/>
      </c>
      <c r="E683" s="560"/>
      <c r="F683" s="559"/>
      <c r="G683" s="559" t="str">
        <f t="shared" si="60"/>
        <v/>
      </c>
      <c r="H683" s="559" t="str">
        <f t="shared" si="61"/>
        <v/>
      </c>
      <c r="I683" s="559" t="str">
        <f t="shared" si="62"/>
        <v/>
      </c>
    </row>
    <row r="684" spans="2:9">
      <c r="B684" s="555" t="str">
        <f t="shared" si="57"/>
        <v/>
      </c>
      <c r="C684" s="556" t="str">
        <f t="shared" si="58"/>
        <v/>
      </c>
      <c r="D684" s="557" t="str">
        <f t="shared" si="59"/>
        <v/>
      </c>
      <c r="E684" s="560"/>
      <c r="F684" s="559"/>
      <c r="G684" s="559" t="str">
        <f t="shared" si="60"/>
        <v/>
      </c>
      <c r="H684" s="559" t="str">
        <f t="shared" si="61"/>
        <v/>
      </c>
      <c r="I684" s="559" t="str">
        <f t="shared" si="62"/>
        <v/>
      </c>
    </row>
    <row r="685" spans="2:9">
      <c r="B685" s="555" t="str">
        <f t="shared" si="57"/>
        <v/>
      </c>
      <c r="C685" s="556" t="str">
        <f t="shared" si="58"/>
        <v/>
      </c>
      <c r="D685" s="557" t="str">
        <f t="shared" si="59"/>
        <v/>
      </c>
      <c r="E685" s="560"/>
      <c r="F685" s="559"/>
      <c r="G685" s="559" t="str">
        <f t="shared" si="60"/>
        <v/>
      </c>
      <c r="H685" s="559" t="str">
        <f t="shared" si="61"/>
        <v/>
      </c>
      <c r="I685" s="559" t="str">
        <f t="shared" si="62"/>
        <v/>
      </c>
    </row>
    <row r="686" spans="2:9">
      <c r="B686" s="555" t="str">
        <f t="shared" si="57"/>
        <v/>
      </c>
      <c r="C686" s="556" t="str">
        <f t="shared" si="58"/>
        <v/>
      </c>
      <c r="D686" s="557" t="str">
        <f t="shared" si="59"/>
        <v/>
      </c>
      <c r="E686" s="560"/>
      <c r="F686" s="559"/>
      <c r="G686" s="559" t="str">
        <f t="shared" si="60"/>
        <v/>
      </c>
      <c r="H686" s="559" t="str">
        <f t="shared" si="61"/>
        <v/>
      </c>
      <c r="I686" s="559" t="str">
        <f t="shared" si="62"/>
        <v/>
      </c>
    </row>
    <row r="687" spans="2:9">
      <c r="B687" s="555" t="str">
        <f t="shared" si="57"/>
        <v/>
      </c>
      <c r="C687" s="556" t="str">
        <f t="shared" si="58"/>
        <v/>
      </c>
      <c r="D687" s="557" t="str">
        <f t="shared" si="59"/>
        <v/>
      </c>
      <c r="E687" s="560"/>
      <c r="F687" s="559"/>
      <c r="G687" s="559" t="str">
        <f t="shared" si="60"/>
        <v/>
      </c>
      <c r="H687" s="559" t="str">
        <f t="shared" si="61"/>
        <v/>
      </c>
      <c r="I687" s="559" t="str">
        <f t="shared" si="62"/>
        <v/>
      </c>
    </row>
    <row r="688" spans="2:9">
      <c r="B688" s="555" t="str">
        <f t="shared" si="57"/>
        <v/>
      </c>
      <c r="C688" s="556" t="str">
        <f t="shared" si="58"/>
        <v/>
      </c>
      <c r="D688" s="557" t="str">
        <f t="shared" si="59"/>
        <v/>
      </c>
      <c r="E688" s="560"/>
      <c r="F688" s="559"/>
      <c r="G688" s="559" t="str">
        <f t="shared" si="60"/>
        <v/>
      </c>
      <c r="H688" s="559" t="str">
        <f t="shared" si="61"/>
        <v/>
      </c>
      <c r="I688" s="559" t="str">
        <f t="shared" si="62"/>
        <v/>
      </c>
    </row>
    <row r="689" spans="2:9">
      <c r="B689" s="555" t="str">
        <f t="shared" si="57"/>
        <v/>
      </c>
      <c r="C689" s="556" t="str">
        <f t="shared" si="58"/>
        <v/>
      </c>
      <c r="D689" s="557" t="str">
        <f t="shared" si="59"/>
        <v/>
      </c>
      <c r="E689" s="560"/>
      <c r="F689" s="559"/>
      <c r="G689" s="559" t="str">
        <f t="shared" si="60"/>
        <v/>
      </c>
      <c r="H689" s="559" t="str">
        <f t="shared" si="61"/>
        <v/>
      </c>
      <c r="I689" s="559" t="str">
        <f t="shared" si="62"/>
        <v/>
      </c>
    </row>
    <row r="690" spans="2:9">
      <c r="B690" s="555" t="str">
        <f t="shared" si="57"/>
        <v/>
      </c>
      <c r="C690" s="556" t="str">
        <f t="shared" si="58"/>
        <v/>
      </c>
      <c r="D690" s="557" t="str">
        <f t="shared" si="59"/>
        <v/>
      </c>
      <c r="E690" s="560"/>
      <c r="F690" s="559"/>
      <c r="G690" s="559" t="str">
        <f t="shared" si="60"/>
        <v/>
      </c>
      <c r="H690" s="559" t="str">
        <f t="shared" si="61"/>
        <v/>
      </c>
      <c r="I690" s="559" t="str">
        <f t="shared" si="62"/>
        <v/>
      </c>
    </row>
    <row r="691" spans="2:9">
      <c r="B691" s="555" t="str">
        <f t="shared" si="57"/>
        <v/>
      </c>
      <c r="C691" s="556" t="str">
        <f t="shared" si="58"/>
        <v/>
      </c>
      <c r="D691" s="557" t="str">
        <f t="shared" si="59"/>
        <v/>
      </c>
      <c r="E691" s="560"/>
      <c r="F691" s="559"/>
      <c r="G691" s="559" t="str">
        <f t="shared" si="60"/>
        <v/>
      </c>
      <c r="H691" s="559" t="str">
        <f t="shared" si="61"/>
        <v/>
      </c>
      <c r="I691" s="559" t="str">
        <f t="shared" si="62"/>
        <v/>
      </c>
    </row>
    <row r="692" spans="2:9">
      <c r="B692" s="555" t="str">
        <f t="shared" si="57"/>
        <v/>
      </c>
      <c r="C692" s="556" t="str">
        <f t="shared" si="58"/>
        <v/>
      </c>
      <c r="D692" s="557" t="str">
        <f t="shared" si="59"/>
        <v/>
      </c>
      <c r="E692" s="560"/>
      <c r="F692" s="559"/>
      <c r="G692" s="559" t="str">
        <f t="shared" si="60"/>
        <v/>
      </c>
      <c r="H692" s="559" t="str">
        <f t="shared" si="61"/>
        <v/>
      </c>
      <c r="I692" s="559" t="str">
        <f t="shared" si="62"/>
        <v/>
      </c>
    </row>
    <row r="693" spans="2:9">
      <c r="B693" s="555" t="str">
        <f t="shared" si="57"/>
        <v/>
      </c>
      <c r="C693" s="556" t="str">
        <f t="shared" si="58"/>
        <v/>
      </c>
      <c r="D693" s="557" t="str">
        <f t="shared" si="59"/>
        <v/>
      </c>
      <c r="E693" s="560"/>
      <c r="F693" s="559"/>
      <c r="G693" s="559" t="str">
        <f t="shared" si="60"/>
        <v/>
      </c>
      <c r="H693" s="559" t="str">
        <f t="shared" si="61"/>
        <v/>
      </c>
      <c r="I693" s="559" t="str">
        <f t="shared" si="62"/>
        <v/>
      </c>
    </row>
    <row r="694" spans="2:9">
      <c r="B694" s="555" t="str">
        <f t="shared" si="57"/>
        <v/>
      </c>
      <c r="C694" s="556" t="str">
        <f t="shared" si="58"/>
        <v/>
      </c>
      <c r="D694" s="557" t="str">
        <f t="shared" si="59"/>
        <v/>
      </c>
      <c r="E694" s="560"/>
      <c r="F694" s="559"/>
      <c r="G694" s="559" t="str">
        <f t="shared" si="60"/>
        <v/>
      </c>
      <c r="H694" s="559" t="str">
        <f t="shared" si="61"/>
        <v/>
      </c>
      <c r="I694" s="559" t="str">
        <f t="shared" si="62"/>
        <v/>
      </c>
    </row>
    <row r="695" spans="2:9">
      <c r="B695" s="555" t="str">
        <f t="shared" si="57"/>
        <v/>
      </c>
      <c r="C695" s="556" t="str">
        <f t="shared" si="58"/>
        <v/>
      </c>
      <c r="D695" s="557" t="str">
        <f t="shared" si="59"/>
        <v/>
      </c>
      <c r="E695" s="560"/>
      <c r="F695" s="559"/>
      <c r="G695" s="559" t="str">
        <f t="shared" si="60"/>
        <v/>
      </c>
      <c r="H695" s="559" t="str">
        <f t="shared" si="61"/>
        <v/>
      </c>
      <c r="I695" s="559" t="str">
        <f t="shared" si="62"/>
        <v/>
      </c>
    </row>
    <row r="696" spans="2:9">
      <c r="B696" s="555" t="str">
        <f t="shared" si="57"/>
        <v/>
      </c>
      <c r="C696" s="556" t="str">
        <f t="shared" si="58"/>
        <v/>
      </c>
      <c r="D696" s="557" t="str">
        <f t="shared" si="59"/>
        <v/>
      </c>
      <c r="E696" s="560"/>
      <c r="F696" s="559"/>
      <c r="G696" s="559" t="str">
        <f t="shared" si="60"/>
        <v/>
      </c>
      <c r="H696" s="559" t="str">
        <f t="shared" si="61"/>
        <v/>
      </c>
      <c r="I696" s="559" t="str">
        <f t="shared" si="62"/>
        <v/>
      </c>
    </row>
    <row r="697" spans="2:9">
      <c r="B697" s="555" t="str">
        <f t="shared" si="57"/>
        <v/>
      </c>
      <c r="C697" s="556" t="str">
        <f t="shared" si="58"/>
        <v/>
      </c>
      <c r="D697" s="557" t="str">
        <f t="shared" si="59"/>
        <v/>
      </c>
      <c r="E697" s="560"/>
      <c r="F697" s="559"/>
      <c r="G697" s="559" t="str">
        <f t="shared" si="60"/>
        <v/>
      </c>
      <c r="H697" s="559" t="str">
        <f t="shared" si="61"/>
        <v/>
      </c>
      <c r="I697" s="559" t="str">
        <f t="shared" si="62"/>
        <v/>
      </c>
    </row>
    <row r="698" spans="2:9">
      <c r="B698" s="555" t="str">
        <f t="shared" si="57"/>
        <v/>
      </c>
      <c r="C698" s="556" t="str">
        <f t="shared" si="58"/>
        <v/>
      </c>
      <c r="D698" s="557" t="str">
        <f t="shared" si="59"/>
        <v/>
      </c>
      <c r="E698" s="560"/>
      <c r="F698" s="559"/>
      <c r="G698" s="559" t="str">
        <f t="shared" si="60"/>
        <v/>
      </c>
      <c r="H698" s="559" t="str">
        <f t="shared" si="61"/>
        <v/>
      </c>
      <c r="I698" s="559" t="str">
        <f t="shared" si="62"/>
        <v/>
      </c>
    </row>
    <row r="699" spans="2:9">
      <c r="B699" s="555" t="str">
        <f t="shared" si="57"/>
        <v/>
      </c>
      <c r="C699" s="556" t="str">
        <f t="shared" si="58"/>
        <v/>
      </c>
      <c r="D699" s="557" t="str">
        <f t="shared" si="59"/>
        <v/>
      </c>
      <c r="E699" s="560"/>
      <c r="F699" s="559"/>
      <c r="G699" s="559" t="str">
        <f t="shared" si="60"/>
        <v/>
      </c>
      <c r="H699" s="559" t="str">
        <f t="shared" si="61"/>
        <v/>
      </c>
      <c r="I699" s="559" t="str">
        <f t="shared" si="62"/>
        <v/>
      </c>
    </row>
    <row r="700" spans="2:9">
      <c r="B700" s="555" t="str">
        <f t="shared" si="57"/>
        <v/>
      </c>
      <c r="C700" s="556" t="str">
        <f t="shared" si="58"/>
        <v/>
      </c>
      <c r="D700" s="557" t="str">
        <f t="shared" si="59"/>
        <v/>
      </c>
      <c r="E700" s="560"/>
      <c r="F700" s="559"/>
      <c r="G700" s="559" t="str">
        <f t="shared" si="60"/>
        <v/>
      </c>
      <c r="H700" s="559" t="str">
        <f t="shared" si="61"/>
        <v/>
      </c>
      <c r="I700" s="559" t="str">
        <f t="shared" si="62"/>
        <v/>
      </c>
    </row>
    <row r="701" spans="2:9">
      <c r="B701" s="555" t="str">
        <f t="shared" ref="B701:B764" si="63">IF(I700="","",IF(roundOpt,IF(OR(B700&gt;=nper,ROUND(I700,2)&lt;=0),"",B700+1),IF(OR(B700&gt;=nper,I700&lt;=0),"",B700+1)))</f>
        <v/>
      </c>
      <c r="C701" s="556" t="str">
        <f t="shared" ref="C701:C764" si="64">IF(B701="","",IF(OR(periods_per_year=26,periods_per_year=52),IF(periods_per_year=26,IF(B701=1,fpdate,C700+14),IF(periods_per_year=52,IF(B701=1,fpdate,C700+7),"n/a")),IF(periods_per_year=24,DATE(YEAR(fpdate),MONTH(fpdate)+(B701-1)/2+IF(AND(DAY(fpdate)&gt;=15,MOD(B701,2)=0),1,0),IF(MOD(B701,2)=0,IF(DAY(fpdate)&gt;=15,DAY(fpdate)-14,DAY(fpdate)+14),DAY(fpdate))),IF(DAY(DATE(YEAR(fpdate),MONTH(fpdate)+(B701-1)*months_per_period,DAY(fpdate)))&lt;&gt;DAY(fpdate),DATE(YEAR(fpdate),MONTH(fpdate)+(B701-1)*months_per_period+1,0),DATE(YEAR(fpdate),MONTH(fpdate)+(B701-1)*months_per_period,DAY(fpdate))))))</f>
        <v/>
      </c>
      <c r="D701" s="557" t="str">
        <f t="shared" ref="D701:D764" si="65">IF(B701="","",IF(roundOpt,IF(OR(B701=nper,payment&gt;ROUND((1+rate)*I700,2)),ROUND((1+rate)*I700,2),payment),IF(OR(B701=nper,payment&gt;(1+rate)*I700),(1+rate)*I700,payment)))</f>
        <v/>
      </c>
      <c r="E701" s="560"/>
      <c r="F701" s="559"/>
      <c r="G701" s="559" t="str">
        <f t="shared" ref="G701:G764" si="66">IF(B701="","",IF(AND(B701=1,pmtType=1),0,IF(roundOpt,ROUND(rate*I700,2),rate*I700)))</f>
        <v/>
      </c>
      <c r="H701" s="559" t="str">
        <f t="shared" ref="H701:H764" si="67">IF(B701="","",D701-G701+E701)</f>
        <v/>
      </c>
      <c r="I701" s="559" t="str">
        <f t="shared" ref="I701:I764" si="68">IF(B701="","",I700-H701)</f>
        <v/>
      </c>
    </row>
    <row r="702" spans="2:9">
      <c r="B702" s="555" t="str">
        <f t="shared" si="63"/>
        <v/>
      </c>
      <c r="C702" s="556" t="str">
        <f t="shared" si="64"/>
        <v/>
      </c>
      <c r="D702" s="557" t="str">
        <f t="shared" si="65"/>
        <v/>
      </c>
      <c r="E702" s="560"/>
      <c r="F702" s="559"/>
      <c r="G702" s="559" t="str">
        <f t="shared" si="66"/>
        <v/>
      </c>
      <c r="H702" s="559" t="str">
        <f t="shared" si="67"/>
        <v/>
      </c>
      <c r="I702" s="559" t="str">
        <f t="shared" si="68"/>
        <v/>
      </c>
    </row>
    <row r="703" spans="2:9">
      <c r="B703" s="555" t="str">
        <f t="shared" si="63"/>
        <v/>
      </c>
      <c r="C703" s="556" t="str">
        <f t="shared" si="64"/>
        <v/>
      </c>
      <c r="D703" s="557" t="str">
        <f t="shared" si="65"/>
        <v/>
      </c>
      <c r="E703" s="560"/>
      <c r="F703" s="559"/>
      <c r="G703" s="559" t="str">
        <f t="shared" si="66"/>
        <v/>
      </c>
      <c r="H703" s="559" t="str">
        <f t="shared" si="67"/>
        <v/>
      </c>
      <c r="I703" s="559" t="str">
        <f t="shared" si="68"/>
        <v/>
      </c>
    </row>
    <row r="704" spans="2:9">
      <c r="B704" s="555" t="str">
        <f t="shared" si="63"/>
        <v/>
      </c>
      <c r="C704" s="556" t="str">
        <f t="shared" si="64"/>
        <v/>
      </c>
      <c r="D704" s="557" t="str">
        <f t="shared" si="65"/>
        <v/>
      </c>
      <c r="E704" s="560"/>
      <c r="F704" s="559"/>
      <c r="G704" s="559" t="str">
        <f t="shared" si="66"/>
        <v/>
      </c>
      <c r="H704" s="559" t="str">
        <f t="shared" si="67"/>
        <v/>
      </c>
      <c r="I704" s="559" t="str">
        <f t="shared" si="68"/>
        <v/>
      </c>
    </row>
    <row r="705" spans="2:9">
      <c r="B705" s="555" t="str">
        <f t="shared" si="63"/>
        <v/>
      </c>
      <c r="C705" s="556" t="str">
        <f t="shared" si="64"/>
        <v/>
      </c>
      <c r="D705" s="557" t="str">
        <f t="shared" si="65"/>
        <v/>
      </c>
      <c r="E705" s="560"/>
      <c r="F705" s="559"/>
      <c r="G705" s="559" t="str">
        <f t="shared" si="66"/>
        <v/>
      </c>
      <c r="H705" s="559" t="str">
        <f t="shared" si="67"/>
        <v/>
      </c>
      <c r="I705" s="559" t="str">
        <f t="shared" si="68"/>
        <v/>
      </c>
    </row>
    <row r="706" spans="2:9">
      <c r="B706" s="555" t="str">
        <f t="shared" si="63"/>
        <v/>
      </c>
      <c r="C706" s="556" t="str">
        <f t="shared" si="64"/>
        <v/>
      </c>
      <c r="D706" s="557" t="str">
        <f t="shared" si="65"/>
        <v/>
      </c>
      <c r="E706" s="560"/>
      <c r="F706" s="559"/>
      <c r="G706" s="559" t="str">
        <f t="shared" si="66"/>
        <v/>
      </c>
      <c r="H706" s="559" t="str">
        <f t="shared" si="67"/>
        <v/>
      </c>
      <c r="I706" s="559" t="str">
        <f t="shared" si="68"/>
        <v/>
      </c>
    </row>
    <row r="707" spans="2:9">
      <c r="B707" s="555" t="str">
        <f t="shared" si="63"/>
        <v/>
      </c>
      <c r="C707" s="556" t="str">
        <f t="shared" si="64"/>
        <v/>
      </c>
      <c r="D707" s="557" t="str">
        <f t="shared" si="65"/>
        <v/>
      </c>
      <c r="E707" s="560"/>
      <c r="F707" s="559"/>
      <c r="G707" s="559" t="str">
        <f t="shared" si="66"/>
        <v/>
      </c>
      <c r="H707" s="559" t="str">
        <f t="shared" si="67"/>
        <v/>
      </c>
      <c r="I707" s="559" t="str">
        <f t="shared" si="68"/>
        <v/>
      </c>
    </row>
    <row r="708" spans="2:9">
      <c r="B708" s="555" t="str">
        <f t="shared" si="63"/>
        <v/>
      </c>
      <c r="C708" s="556" t="str">
        <f t="shared" si="64"/>
        <v/>
      </c>
      <c r="D708" s="557" t="str">
        <f t="shared" si="65"/>
        <v/>
      </c>
      <c r="E708" s="560"/>
      <c r="F708" s="559"/>
      <c r="G708" s="559" t="str">
        <f t="shared" si="66"/>
        <v/>
      </c>
      <c r="H708" s="559" t="str">
        <f t="shared" si="67"/>
        <v/>
      </c>
      <c r="I708" s="559" t="str">
        <f t="shared" si="68"/>
        <v/>
      </c>
    </row>
    <row r="709" spans="2:9">
      <c r="B709" s="555" t="str">
        <f t="shared" si="63"/>
        <v/>
      </c>
      <c r="C709" s="556" t="str">
        <f t="shared" si="64"/>
        <v/>
      </c>
      <c r="D709" s="557" t="str">
        <f t="shared" si="65"/>
        <v/>
      </c>
      <c r="E709" s="560"/>
      <c r="F709" s="559"/>
      <c r="G709" s="559" t="str">
        <f t="shared" si="66"/>
        <v/>
      </c>
      <c r="H709" s="559" t="str">
        <f t="shared" si="67"/>
        <v/>
      </c>
      <c r="I709" s="559" t="str">
        <f t="shared" si="68"/>
        <v/>
      </c>
    </row>
    <row r="710" spans="2:9">
      <c r="B710" s="555" t="str">
        <f t="shared" si="63"/>
        <v/>
      </c>
      <c r="C710" s="556" t="str">
        <f t="shared" si="64"/>
        <v/>
      </c>
      <c r="D710" s="557" t="str">
        <f t="shared" si="65"/>
        <v/>
      </c>
      <c r="E710" s="560"/>
      <c r="F710" s="559"/>
      <c r="G710" s="559" t="str">
        <f t="shared" si="66"/>
        <v/>
      </c>
      <c r="H710" s="559" t="str">
        <f t="shared" si="67"/>
        <v/>
      </c>
      <c r="I710" s="559" t="str">
        <f t="shared" si="68"/>
        <v/>
      </c>
    </row>
    <row r="711" spans="2:9">
      <c r="B711" s="555" t="str">
        <f t="shared" si="63"/>
        <v/>
      </c>
      <c r="C711" s="556" t="str">
        <f t="shared" si="64"/>
        <v/>
      </c>
      <c r="D711" s="557" t="str">
        <f t="shared" si="65"/>
        <v/>
      </c>
      <c r="E711" s="560"/>
      <c r="F711" s="559"/>
      <c r="G711" s="559" t="str">
        <f t="shared" si="66"/>
        <v/>
      </c>
      <c r="H711" s="559" t="str">
        <f t="shared" si="67"/>
        <v/>
      </c>
      <c r="I711" s="559" t="str">
        <f t="shared" si="68"/>
        <v/>
      </c>
    </row>
    <row r="712" spans="2:9">
      <c r="B712" s="555" t="str">
        <f t="shared" si="63"/>
        <v/>
      </c>
      <c r="C712" s="556" t="str">
        <f t="shared" si="64"/>
        <v/>
      </c>
      <c r="D712" s="557" t="str">
        <f t="shared" si="65"/>
        <v/>
      </c>
      <c r="E712" s="560"/>
      <c r="F712" s="559"/>
      <c r="G712" s="559" t="str">
        <f t="shared" si="66"/>
        <v/>
      </c>
      <c r="H712" s="559" t="str">
        <f t="shared" si="67"/>
        <v/>
      </c>
      <c r="I712" s="559" t="str">
        <f t="shared" si="68"/>
        <v/>
      </c>
    </row>
    <row r="713" spans="2:9">
      <c r="B713" s="555" t="str">
        <f t="shared" si="63"/>
        <v/>
      </c>
      <c r="C713" s="556" t="str">
        <f t="shared" si="64"/>
        <v/>
      </c>
      <c r="D713" s="557" t="str">
        <f t="shared" si="65"/>
        <v/>
      </c>
      <c r="E713" s="560"/>
      <c r="F713" s="559"/>
      <c r="G713" s="559" t="str">
        <f t="shared" si="66"/>
        <v/>
      </c>
      <c r="H713" s="559" t="str">
        <f t="shared" si="67"/>
        <v/>
      </c>
      <c r="I713" s="559" t="str">
        <f t="shared" si="68"/>
        <v/>
      </c>
    </row>
    <row r="714" spans="2:9">
      <c r="B714" s="555" t="str">
        <f t="shared" si="63"/>
        <v/>
      </c>
      <c r="C714" s="556" t="str">
        <f t="shared" si="64"/>
        <v/>
      </c>
      <c r="D714" s="557" t="str">
        <f t="shared" si="65"/>
        <v/>
      </c>
      <c r="E714" s="560"/>
      <c r="F714" s="559"/>
      <c r="G714" s="559" t="str">
        <f t="shared" si="66"/>
        <v/>
      </c>
      <c r="H714" s="559" t="str">
        <f t="shared" si="67"/>
        <v/>
      </c>
      <c r="I714" s="559" t="str">
        <f t="shared" si="68"/>
        <v/>
      </c>
    </row>
    <row r="715" spans="2:9">
      <c r="B715" s="555" t="str">
        <f t="shared" si="63"/>
        <v/>
      </c>
      <c r="C715" s="556" t="str">
        <f t="shared" si="64"/>
        <v/>
      </c>
      <c r="D715" s="557" t="str">
        <f t="shared" si="65"/>
        <v/>
      </c>
      <c r="E715" s="560"/>
      <c r="F715" s="559"/>
      <c r="G715" s="559" t="str">
        <f t="shared" si="66"/>
        <v/>
      </c>
      <c r="H715" s="559" t="str">
        <f t="shared" si="67"/>
        <v/>
      </c>
      <c r="I715" s="559" t="str">
        <f t="shared" si="68"/>
        <v/>
      </c>
    </row>
    <row r="716" spans="2:9">
      <c r="B716" s="555" t="str">
        <f t="shared" si="63"/>
        <v/>
      </c>
      <c r="C716" s="556" t="str">
        <f t="shared" si="64"/>
        <v/>
      </c>
      <c r="D716" s="557" t="str">
        <f t="shared" si="65"/>
        <v/>
      </c>
      <c r="E716" s="560"/>
      <c r="F716" s="559"/>
      <c r="G716" s="559" t="str">
        <f t="shared" si="66"/>
        <v/>
      </c>
      <c r="H716" s="559" t="str">
        <f t="shared" si="67"/>
        <v/>
      </c>
      <c r="I716" s="559" t="str">
        <f t="shared" si="68"/>
        <v/>
      </c>
    </row>
    <row r="717" spans="2:9">
      <c r="B717" s="555" t="str">
        <f t="shared" si="63"/>
        <v/>
      </c>
      <c r="C717" s="556" t="str">
        <f t="shared" si="64"/>
        <v/>
      </c>
      <c r="D717" s="557" t="str">
        <f t="shared" si="65"/>
        <v/>
      </c>
      <c r="E717" s="560"/>
      <c r="F717" s="559"/>
      <c r="G717" s="559" t="str">
        <f t="shared" si="66"/>
        <v/>
      </c>
      <c r="H717" s="559" t="str">
        <f t="shared" si="67"/>
        <v/>
      </c>
      <c r="I717" s="559" t="str">
        <f t="shared" si="68"/>
        <v/>
      </c>
    </row>
    <row r="718" spans="2:9">
      <c r="B718" s="555" t="str">
        <f t="shared" si="63"/>
        <v/>
      </c>
      <c r="C718" s="556" t="str">
        <f t="shared" si="64"/>
        <v/>
      </c>
      <c r="D718" s="557" t="str">
        <f t="shared" si="65"/>
        <v/>
      </c>
      <c r="E718" s="560"/>
      <c r="F718" s="559"/>
      <c r="G718" s="559" t="str">
        <f t="shared" si="66"/>
        <v/>
      </c>
      <c r="H718" s="559" t="str">
        <f t="shared" si="67"/>
        <v/>
      </c>
      <c r="I718" s="559" t="str">
        <f t="shared" si="68"/>
        <v/>
      </c>
    </row>
    <row r="719" spans="2:9">
      <c r="B719" s="555" t="str">
        <f t="shared" si="63"/>
        <v/>
      </c>
      <c r="C719" s="556" t="str">
        <f t="shared" si="64"/>
        <v/>
      </c>
      <c r="D719" s="557" t="str">
        <f t="shared" si="65"/>
        <v/>
      </c>
      <c r="E719" s="560"/>
      <c r="F719" s="559"/>
      <c r="G719" s="559" t="str">
        <f t="shared" si="66"/>
        <v/>
      </c>
      <c r="H719" s="559" t="str">
        <f t="shared" si="67"/>
        <v/>
      </c>
      <c r="I719" s="559" t="str">
        <f t="shared" si="68"/>
        <v/>
      </c>
    </row>
    <row r="720" spans="2:9">
      <c r="B720" s="555" t="str">
        <f t="shared" si="63"/>
        <v/>
      </c>
      <c r="C720" s="556" t="str">
        <f t="shared" si="64"/>
        <v/>
      </c>
      <c r="D720" s="557" t="str">
        <f t="shared" si="65"/>
        <v/>
      </c>
      <c r="E720" s="560"/>
      <c r="F720" s="559"/>
      <c r="G720" s="559" t="str">
        <f t="shared" si="66"/>
        <v/>
      </c>
      <c r="H720" s="559" t="str">
        <f t="shared" si="67"/>
        <v/>
      </c>
      <c r="I720" s="559" t="str">
        <f t="shared" si="68"/>
        <v/>
      </c>
    </row>
    <row r="721" spans="2:9">
      <c r="B721" s="555" t="str">
        <f t="shared" si="63"/>
        <v/>
      </c>
      <c r="C721" s="556" t="str">
        <f t="shared" si="64"/>
        <v/>
      </c>
      <c r="D721" s="557" t="str">
        <f t="shared" si="65"/>
        <v/>
      </c>
      <c r="E721" s="560"/>
      <c r="F721" s="559"/>
      <c r="G721" s="559" t="str">
        <f t="shared" si="66"/>
        <v/>
      </c>
      <c r="H721" s="559" t="str">
        <f t="shared" si="67"/>
        <v/>
      </c>
      <c r="I721" s="559" t="str">
        <f t="shared" si="68"/>
        <v/>
      </c>
    </row>
    <row r="722" spans="2:9">
      <c r="B722" s="555" t="str">
        <f t="shared" si="63"/>
        <v/>
      </c>
      <c r="C722" s="556" t="str">
        <f t="shared" si="64"/>
        <v/>
      </c>
      <c r="D722" s="557" t="str">
        <f t="shared" si="65"/>
        <v/>
      </c>
      <c r="E722" s="560"/>
      <c r="F722" s="559"/>
      <c r="G722" s="559" t="str">
        <f t="shared" si="66"/>
        <v/>
      </c>
      <c r="H722" s="559" t="str">
        <f t="shared" si="67"/>
        <v/>
      </c>
      <c r="I722" s="559" t="str">
        <f t="shared" si="68"/>
        <v/>
      </c>
    </row>
    <row r="723" spans="2:9">
      <c r="B723" s="555" t="str">
        <f t="shared" si="63"/>
        <v/>
      </c>
      <c r="C723" s="556" t="str">
        <f t="shared" si="64"/>
        <v/>
      </c>
      <c r="D723" s="557" t="str">
        <f t="shared" si="65"/>
        <v/>
      </c>
      <c r="E723" s="560"/>
      <c r="F723" s="559"/>
      <c r="G723" s="559" t="str">
        <f t="shared" si="66"/>
        <v/>
      </c>
      <c r="H723" s="559" t="str">
        <f t="shared" si="67"/>
        <v/>
      </c>
      <c r="I723" s="559" t="str">
        <f t="shared" si="68"/>
        <v/>
      </c>
    </row>
    <row r="724" spans="2:9">
      <c r="B724" s="555" t="str">
        <f t="shared" si="63"/>
        <v/>
      </c>
      <c r="C724" s="556" t="str">
        <f t="shared" si="64"/>
        <v/>
      </c>
      <c r="D724" s="557" t="str">
        <f t="shared" si="65"/>
        <v/>
      </c>
      <c r="E724" s="560"/>
      <c r="F724" s="559"/>
      <c r="G724" s="559" t="str">
        <f t="shared" si="66"/>
        <v/>
      </c>
      <c r="H724" s="559" t="str">
        <f t="shared" si="67"/>
        <v/>
      </c>
      <c r="I724" s="559" t="str">
        <f t="shared" si="68"/>
        <v/>
      </c>
    </row>
    <row r="725" spans="2:9">
      <c r="B725" s="555" t="str">
        <f t="shared" si="63"/>
        <v/>
      </c>
      <c r="C725" s="556" t="str">
        <f t="shared" si="64"/>
        <v/>
      </c>
      <c r="D725" s="557" t="str">
        <f t="shared" si="65"/>
        <v/>
      </c>
      <c r="E725" s="560"/>
      <c r="F725" s="559"/>
      <c r="G725" s="559" t="str">
        <f t="shared" si="66"/>
        <v/>
      </c>
      <c r="H725" s="559" t="str">
        <f t="shared" si="67"/>
        <v/>
      </c>
      <c r="I725" s="559" t="str">
        <f t="shared" si="68"/>
        <v/>
      </c>
    </row>
    <row r="726" spans="2:9">
      <c r="B726" s="555" t="str">
        <f t="shared" si="63"/>
        <v/>
      </c>
      <c r="C726" s="556" t="str">
        <f t="shared" si="64"/>
        <v/>
      </c>
      <c r="D726" s="557" t="str">
        <f t="shared" si="65"/>
        <v/>
      </c>
      <c r="E726" s="560"/>
      <c r="F726" s="559"/>
      <c r="G726" s="559" t="str">
        <f t="shared" si="66"/>
        <v/>
      </c>
      <c r="H726" s="559" t="str">
        <f t="shared" si="67"/>
        <v/>
      </c>
      <c r="I726" s="559" t="str">
        <f t="shared" si="68"/>
        <v/>
      </c>
    </row>
    <row r="727" spans="2:9">
      <c r="B727" s="555" t="str">
        <f t="shared" si="63"/>
        <v/>
      </c>
      <c r="C727" s="556" t="str">
        <f t="shared" si="64"/>
        <v/>
      </c>
      <c r="D727" s="557" t="str">
        <f t="shared" si="65"/>
        <v/>
      </c>
      <c r="E727" s="560"/>
      <c r="F727" s="559"/>
      <c r="G727" s="559" t="str">
        <f t="shared" si="66"/>
        <v/>
      </c>
      <c r="H727" s="559" t="str">
        <f t="shared" si="67"/>
        <v/>
      </c>
      <c r="I727" s="559" t="str">
        <f t="shared" si="68"/>
        <v/>
      </c>
    </row>
    <row r="728" spans="2:9">
      <c r="B728" s="555" t="str">
        <f t="shared" si="63"/>
        <v/>
      </c>
      <c r="C728" s="556" t="str">
        <f t="shared" si="64"/>
        <v/>
      </c>
      <c r="D728" s="557" t="str">
        <f t="shared" si="65"/>
        <v/>
      </c>
      <c r="E728" s="560"/>
      <c r="F728" s="559"/>
      <c r="G728" s="559" t="str">
        <f t="shared" si="66"/>
        <v/>
      </c>
      <c r="H728" s="559" t="str">
        <f t="shared" si="67"/>
        <v/>
      </c>
      <c r="I728" s="559" t="str">
        <f t="shared" si="68"/>
        <v/>
      </c>
    </row>
    <row r="729" spans="2:9">
      <c r="B729" s="555" t="str">
        <f t="shared" si="63"/>
        <v/>
      </c>
      <c r="C729" s="556" t="str">
        <f t="shared" si="64"/>
        <v/>
      </c>
      <c r="D729" s="557" t="str">
        <f t="shared" si="65"/>
        <v/>
      </c>
      <c r="E729" s="560"/>
      <c r="F729" s="559"/>
      <c r="G729" s="559" t="str">
        <f t="shared" si="66"/>
        <v/>
      </c>
      <c r="H729" s="559" t="str">
        <f t="shared" si="67"/>
        <v/>
      </c>
      <c r="I729" s="559" t="str">
        <f t="shared" si="68"/>
        <v/>
      </c>
    </row>
    <row r="730" spans="2:9">
      <c r="B730" s="555" t="str">
        <f t="shared" si="63"/>
        <v/>
      </c>
      <c r="C730" s="556" t="str">
        <f t="shared" si="64"/>
        <v/>
      </c>
      <c r="D730" s="557" t="str">
        <f t="shared" si="65"/>
        <v/>
      </c>
      <c r="E730" s="560"/>
      <c r="F730" s="559"/>
      <c r="G730" s="559" t="str">
        <f t="shared" si="66"/>
        <v/>
      </c>
      <c r="H730" s="559" t="str">
        <f t="shared" si="67"/>
        <v/>
      </c>
      <c r="I730" s="559" t="str">
        <f t="shared" si="68"/>
        <v/>
      </c>
    </row>
    <row r="731" spans="2:9">
      <c r="B731" s="555" t="str">
        <f t="shared" si="63"/>
        <v/>
      </c>
      <c r="C731" s="556" t="str">
        <f t="shared" si="64"/>
        <v/>
      </c>
      <c r="D731" s="557" t="str">
        <f t="shared" si="65"/>
        <v/>
      </c>
      <c r="E731" s="560"/>
      <c r="F731" s="559"/>
      <c r="G731" s="559" t="str">
        <f t="shared" si="66"/>
        <v/>
      </c>
      <c r="H731" s="559" t="str">
        <f t="shared" si="67"/>
        <v/>
      </c>
      <c r="I731" s="559" t="str">
        <f t="shared" si="68"/>
        <v/>
      </c>
    </row>
    <row r="732" spans="2:9">
      <c r="B732" s="555" t="str">
        <f t="shared" si="63"/>
        <v/>
      </c>
      <c r="C732" s="556" t="str">
        <f t="shared" si="64"/>
        <v/>
      </c>
      <c r="D732" s="557" t="str">
        <f t="shared" si="65"/>
        <v/>
      </c>
      <c r="E732" s="560"/>
      <c r="F732" s="559"/>
      <c r="G732" s="559" t="str">
        <f t="shared" si="66"/>
        <v/>
      </c>
      <c r="H732" s="559" t="str">
        <f t="shared" si="67"/>
        <v/>
      </c>
      <c r="I732" s="559" t="str">
        <f t="shared" si="68"/>
        <v/>
      </c>
    </row>
    <row r="733" spans="2:9">
      <c r="B733" s="555" t="str">
        <f t="shared" si="63"/>
        <v/>
      </c>
      <c r="C733" s="556" t="str">
        <f t="shared" si="64"/>
        <v/>
      </c>
      <c r="D733" s="557" t="str">
        <f t="shared" si="65"/>
        <v/>
      </c>
      <c r="E733" s="560"/>
      <c r="F733" s="559"/>
      <c r="G733" s="559" t="str">
        <f t="shared" si="66"/>
        <v/>
      </c>
      <c r="H733" s="559" t="str">
        <f t="shared" si="67"/>
        <v/>
      </c>
      <c r="I733" s="559" t="str">
        <f t="shared" si="68"/>
        <v/>
      </c>
    </row>
    <row r="734" spans="2:9">
      <c r="B734" s="555" t="str">
        <f t="shared" si="63"/>
        <v/>
      </c>
      <c r="C734" s="556" t="str">
        <f t="shared" si="64"/>
        <v/>
      </c>
      <c r="D734" s="557" t="str">
        <f t="shared" si="65"/>
        <v/>
      </c>
      <c r="E734" s="560"/>
      <c r="F734" s="559"/>
      <c r="G734" s="559" t="str">
        <f t="shared" si="66"/>
        <v/>
      </c>
      <c r="H734" s="559" t="str">
        <f t="shared" si="67"/>
        <v/>
      </c>
      <c r="I734" s="559" t="str">
        <f t="shared" si="68"/>
        <v/>
      </c>
    </row>
    <row r="735" spans="2:9">
      <c r="B735" s="555" t="str">
        <f t="shared" si="63"/>
        <v/>
      </c>
      <c r="C735" s="556" t="str">
        <f t="shared" si="64"/>
        <v/>
      </c>
      <c r="D735" s="557" t="str">
        <f t="shared" si="65"/>
        <v/>
      </c>
      <c r="E735" s="560"/>
      <c r="F735" s="559"/>
      <c r="G735" s="559" t="str">
        <f t="shared" si="66"/>
        <v/>
      </c>
      <c r="H735" s="559" t="str">
        <f t="shared" si="67"/>
        <v/>
      </c>
      <c r="I735" s="559" t="str">
        <f t="shared" si="68"/>
        <v/>
      </c>
    </row>
    <row r="736" spans="2:9">
      <c r="B736" s="555" t="str">
        <f t="shared" si="63"/>
        <v/>
      </c>
      <c r="C736" s="556" t="str">
        <f t="shared" si="64"/>
        <v/>
      </c>
      <c r="D736" s="557" t="str">
        <f t="shared" si="65"/>
        <v/>
      </c>
      <c r="E736" s="560"/>
      <c r="F736" s="559"/>
      <c r="G736" s="559" t="str">
        <f t="shared" si="66"/>
        <v/>
      </c>
      <c r="H736" s="559" t="str">
        <f t="shared" si="67"/>
        <v/>
      </c>
      <c r="I736" s="559" t="str">
        <f t="shared" si="68"/>
        <v/>
      </c>
    </row>
    <row r="737" spans="2:9">
      <c r="B737" s="555" t="str">
        <f t="shared" si="63"/>
        <v/>
      </c>
      <c r="C737" s="556" t="str">
        <f t="shared" si="64"/>
        <v/>
      </c>
      <c r="D737" s="557" t="str">
        <f t="shared" si="65"/>
        <v/>
      </c>
      <c r="E737" s="560"/>
      <c r="F737" s="559"/>
      <c r="G737" s="559" t="str">
        <f t="shared" si="66"/>
        <v/>
      </c>
      <c r="H737" s="559" t="str">
        <f t="shared" si="67"/>
        <v/>
      </c>
      <c r="I737" s="559" t="str">
        <f t="shared" si="68"/>
        <v/>
      </c>
    </row>
    <row r="738" spans="2:9">
      <c r="B738" s="555" t="str">
        <f t="shared" si="63"/>
        <v/>
      </c>
      <c r="C738" s="556" t="str">
        <f t="shared" si="64"/>
        <v/>
      </c>
      <c r="D738" s="557" t="str">
        <f t="shared" si="65"/>
        <v/>
      </c>
      <c r="E738" s="560"/>
      <c r="F738" s="559"/>
      <c r="G738" s="559" t="str">
        <f t="shared" si="66"/>
        <v/>
      </c>
      <c r="H738" s="559" t="str">
        <f t="shared" si="67"/>
        <v/>
      </c>
      <c r="I738" s="559" t="str">
        <f t="shared" si="68"/>
        <v/>
      </c>
    </row>
    <row r="739" spans="2:9">
      <c r="B739" s="555" t="str">
        <f t="shared" si="63"/>
        <v/>
      </c>
      <c r="C739" s="556" t="str">
        <f t="shared" si="64"/>
        <v/>
      </c>
      <c r="D739" s="557" t="str">
        <f t="shared" si="65"/>
        <v/>
      </c>
      <c r="E739" s="560"/>
      <c r="F739" s="559"/>
      <c r="G739" s="559" t="str">
        <f t="shared" si="66"/>
        <v/>
      </c>
      <c r="H739" s="559" t="str">
        <f t="shared" si="67"/>
        <v/>
      </c>
      <c r="I739" s="559" t="str">
        <f t="shared" si="68"/>
        <v/>
      </c>
    </row>
    <row r="740" spans="2:9">
      <c r="B740" s="555" t="str">
        <f t="shared" si="63"/>
        <v/>
      </c>
      <c r="C740" s="556" t="str">
        <f t="shared" si="64"/>
        <v/>
      </c>
      <c r="D740" s="557" t="str">
        <f t="shared" si="65"/>
        <v/>
      </c>
      <c r="E740" s="560"/>
      <c r="F740" s="559"/>
      <c r="G740" s="559" t="str">
        <f t="shared" si="66"/>
        <v/>
      </c>
      <c r="H740" s="559" t="str">
        <f t="shared" si="67"/>
        <v/>
      </c>
      <c r="I740" s="559" t="str">
        <f t="shared" si="68"/>
        <v/>
      </c>
    </row>
    <row r="741" spans="2:9">
      <c r="B741" s="555" t="str">
        <f t="shared" si="63"/>
        <v/>
      </c>
      <c r="C741" s="556" t="str">
        <f t="shared" si="64"/>
        <v/>
      </c>
      <c r="D741" s="557" t="str">
        <f t="shared" si="65"/>
        <v/>
      </c>
      <c r="E741" s="560"/>
      <c r="F741" s="559"/>
      <c r="G741" s="559" t="str">
        <f t="shared" si="66"/>
        <v/>
      </c>
      <c r="H741" s="559" t="str">
        <f t="shared" si="67"/>
        <v/>
      </c>
      <c r="I741" s="559" t="str">
        <f t="shared" si="68"/>
        <v/>
      </c>
    </row>
    <row r="742" spans="2:9">
      <c r="B742" s="555" t="str">
        <f t="shared" si="63"/>
        <v/>
      </c>
      <c r="C742" s="556" t="str">
        <f t="shared" si="64"/>
        <v/>
      </c>
      <c r="D742" s="557" t="str">
        <f t="shared" si="65"/>
        <v/>
      </c>
      <c r="E742" s="560"/>
      <c r="F742" s="559"/>
      <c r="G742" s="559" t="str">
        <f t="shared" si="66"/>
        <v/>
      </c>
      <c r="H742" s="559" t="str">
        <f t="shared" si="67"/>
        <v/>
      </c>
      <c r="I742" s="559" t="str">
        <f t="shared" si="68"/>
        <v/>
      </c>
    </row>
    <row r="743" spans="2:9">
      <c r="B743" s="555" t="str">
        <f t="shared" si="63"/>
        <v/>
      </c>
      <c r="C743" s="556" t="str">
        <f t="shared" si="64"/>
        <v/>
      </c>
      <c r="D743" s="557" t="str">
        <f t="shared" si="65"/>
        <v/>
      </c>
      <c r="E743" s="560"/>
      <c r="F743" s="559"/>
      <c r="G743" s="559" t="str">
        <f t="shared" si="66"/>
        <v/>
      </c>
      <c r="H743" s="559" t="str">
        <f t="shared" si="67"/>
        <v/>
      </c>
      <c r="I743" s="559" t="str">
        <f t="shared" si="68"/>
        <v/>
      </c>
    </row>
    <row r="744" spans="2:9">
      <c r="B744" s="555" t="str">
        <f t="shared" si="63"/>
        <v/>
      </c>
      <c r="C744" s="556" t="str">
        <f t="shared" si="64"/>
        <v/>
      </c>
      <c r="D744" s="557" t="str">
        <f t="shared" si="65"/>
        <v/>
      </c>
      <c r="E744" s="560"/>
      <c r="F744" s="559"/>
      <c r="G744" s="559" t="str">
        <f t="shared" si="66"/>
        <v/>
      </c>
      <c r="H744" s="559" t="str">
        <f t="shared" si="67"/>
        <v/>
      </c>
      <c r="I744" s="559" t="str">
        <f t="shared" si="68"/>
        <v/>
      </c>
    </row>
    <row r="745" spans="2:9">
      <c r="B745" s="555" t="str">
        <f t="shared" si="63"/>
        <v/>
      </c>
      <c r="C745" s="556" t="str">
        <f t="shared" si="64"/>
        <v/>
      </c>
      <c r="D745" s="557" t="str">
        <f t="shared" si="65"/>
        <v/>
      </c>
      <c r="E745" s="560"/>
      <c r="F745" s="559"/>
      <c r="G745" s="559" t="str">
        <f t="shared" si="66"/>
        <v/>
      </c>
      <c r="H745" s="559" t="str">
        <f t="shared" si="67"/>
        <v/>
      </c>
      <c r="I745" s="559" t="str">
        <f t="shared" si="68"/>
        <v/>
      </c>
    </row>
    <row r="746" spans="2:9">
      <c r="B746" s="555" t="str">
        <f t="shared" si="63"/>
        <v/>
      </c>
      <c r="C746" s="556" t="str">
        <f t="shared" si="64"/>
        <v/>
      </c>
      <c r="D746" s="557" t="str">
        <f t="shared" si="65"/>
        <v/>
      </c>
      <c r="E746" s="560"/>
      <c r="F746" s="559"/>
      <c r="G746" s="559" t="str">
        <f t="shared" si="66"/>
        <v/>
      </c>
      <c r="H746" s="559" t="str">
        <f t="shared" si="67"/>
        <v/>
      </c>
      <c r="I746" s="559" t="str">
        <f t="shared" si="68"/>
        <v/>
      </c>
    </row>
    <row r="747" spans="2:9">
      <c r="B747" s="555" t="str">
        <f t="shared" si="63"/>
        <v/>
      </c>
      <c r="C747" s="556" t="str">
        <f t="shared" si="64"/>
        <v/>
      </c>
      <c r="D747" s="557" t="str">
        <f t="shared" si="65"/>
        <v/>
      </c>
      <c r="E747" s="560"/>
      <c r="F747" s="559"/>
      <c r="G747" s="559" t="str">
        <f t="shared" si="66"/>
        <v/>
      </c>
      <c r="H747" s="559" t="str">
        <f t="shared" si="67"/>
        <v/>
      </c>
      <c r="I747" s="559" t="str">
        <f t="shared" si="68"/>
        <v/>
      </c>
    </row>
    <row r="748" spans="2:9">
      <c r="B748" s="555" t="str">
        <f t="shared" si="63"/>
        <v/>
      </c>
      <c r="C748" s="556" t="str">
        <f t="shared" si="64"/>
        <v/>
      </c>
      <c r="D748" s="557" t="str">
        <f t="shared" si="65"/>
        <v/>
      </c>
      <c r="E748" s="560"/>
      <c r="F748" s="559"/>
      <c r="G748" s="559" t="str">
        <f t="shared" si="66"/>
        <v/>
      </c>
      <c r="H748" s="559" t="str">
        <f t="shared" si="67"/>
        <v/>
      </c>
      <c r="I748" s="559" t="str">
        <f t="shared" si="68"/>
        <v/>
      </c>
    </row>
    <row r="749" spans="2:9">
      <c r="B749" s="555" t="str">
        <f t="shared" si="63"/>
        <v/>
      </c>
      <c r="C749" s="556" t="str">
        <f t="shared" si="64"/>
        <v/>
      </c>
      <c r="D749" s="557" t="str">
        <f t="shared" si="65"/>
        <v/>
      </c>
      <c r="E749" s="560"/>
      <c r="F749" s="559"/>
      <c r="G749" s="559" t="str">
        <f t="shared" si="66"/>
        <v/>
      </c>
      <c r="H749" s="559" t="str">
        <f t="shared" si="67"/>
        <v/>
      </c>
      <c r="I749" s="559" t="str">
        <f t="shared" si="68"/>
        <v/>
      </c>
    </row>
    <row r="750" spans="2:9">
      <c r="B750" s="555" t="str">
        <f t="shared" si="63"/>
        <v/>
      </c>
      <c r="C750" s="556" t="str">
        <f t="shared" si="64"/>
        <v/>
      </c>
      <c r="D750" s="557" t="str">
        <f t="shared" si="65"/>
        <v/>
      </c>
      <c r="E750" s="560"/>
      <c r="F750" s="559"/>
      <c r="G750" s="559" t="str">
        <f t="shared" si="66"/>
        <v/>
      </c>
      <c r="H750" s="559" t="str">
        <f t="shared" si="67"/>
        <v/>
      </c>
      <c r="I750" s="559" t="str">
        <f t="shared" si="68"/>
        <v/>
      </c>
    </row>
    <row r="751" spans="2:9">
      <c r="B751" s="555" t="str">
        <f t="shared" si="63"/>
        <v/>
      </c>
      <c r="C751" s="556" t="str">
        <f t="shared" si="64"/>
        <v/>
      </c>
      <c r="D751" s="557" t="str">
        <f t="shared" si="65"/>
        <v/>
      </c>
      <c r="E751" s="560"/>
      <c r="F751" s="559"/>
      <c r="G751" s="559" t="str">
        <f t="shared" si="66"/>
        <v/>
      </c>
      <c r="H751" s="559" t="str">
        <f t="shared" si="67"/>
        <v/>
      </c>
      <c r="I751" s="559" t="str">
        <f t="shared" si="68"/>
        <v/>
      </c>
    </row>
    <row r="752" spans="2:9">
      <c r="B752" s="555" t="str">
        <f t="shared" si="63"/>
        <v/>
      </c>
      <c r="C752" s="556" t="str">
        <f t="shared" si="64"/>
        <v/>
      </c>
      <c r="D752" s="557" t="str">
        <f t="shared" si="65"/>
        <v/>
      </c>
      <c r="E752" s="560"/>
      <c r="F752" s="559"/>
      <c r="G752" s="559" t="str">
        <f t="shared" si="66"/>
        <v/>
      </c>
      <c r="H752" s="559" t="str">
        <f t="shared" si="67"/>
        <v/>
      </c>
      <c r="I752" s="559" t="str">
        <f t="shared" si="68"/>
        <v/>
      </c>
    </row>
    <row r="753" spans="2:9">
      <c r="B753" s="555" t="str">
        <f t="shared" si="63"/>
        <v/>
      </c>
      <c r="C753" s="556" t="str">
        <f t="shared" si="64"/>
        <v/>
      </c>
      <c r="D753" s="557" t="str">
        <f t="shared" si="65"/>
        <v/>
      </c>
      <c r="E753" s="560"/>
      <c r="F753" s="559"/>
      <c r="G753" s="559" t="str">
        <f t="shared" si="66"/>
        <v/>
      </c>
      <c r="H753" s="559" t="str">
        <f t="shared" si="67"/>
        <v/>
      </c>
      <c r="I753" s="559" t="str">
        <f t="shared" si="68"/>
        <v/>
      </c>
    </row>
    <row r="754" spans="2:9">
      <c r="B754" s="555" t="str">
        <f t="shared" si="63"/>
        <v/>
      </c>
      <c r="C754" s="556" t="str">
        <f t="shared" si="64"/>
        <v/>
      </c>
      <c r="D754" s="557" t="str">
        <f t="shared" si="65"/>
        <v/>
      </c>
      <c r="E754" s="560"/>
      <c r="F754" s="559"/>
      <c r="G754" s="559" t="str">
        <f t="shared" si="66"/>
        <v/>
      </c>
      <c r="H754" s="559" t="str">
        <f t="shared" si="67"/>
        <v/>
      </c>
      <c r="I754" s="559" t="str">
        <f t="shared" si="68"/>
        <v/>
      </c>
    </row>
    <row r="755" spans="2:9">
      <c r="B755" s="555" t="str">
        <f t="shared" si="63"/>
        <v/>
      </c>
      <c r="C755" s="556" t="str">
        <f t="shared" si="64"/>
        <v/>
      </c>
      <c r="D755" s="557" t="str">
        <f t="shared" si="65"/>
        <v/>
      </c>
      <c r="E755" s="560"/>
      <c r="F755" s="559"/>
      <c r="G755" s="559" t="str">
        <f t="shared" si="66"/>
        <v/>
      </c>
      <c r="H755" s="559" t="str">
        <f t="shared" si="67"/>
        <v/>
      </c>
      <c r="I755" s="559" t="str">
        <f t="shared" si="68"/>
        <v/>
      </c>
    </row>
    <row r="756" spans="2:9">
      <c r="B756" s="555" t="str">
        <f t="shared" si="63"/>
        <v/>
      </c>
      <c r="C756" s="556" t="str">
        <f t="shared" si="64"/>
        <v/>
      </c>
      <c r="D756" s="557" t="str">
        <f t="shared" si="65"/>
        <v/>
      </c>
      <c r="E756" s="560"/>
      <c r="F756" s="559"/>
      <c r="G756" s="559" t="str">
        <f t="shared" si="66"/>
        <v/>
      </c>
      <c r="H756" s="559" t="str">
        <f t="shared" si="67"/>
        <v/>
      </c>
      <c r="I756" s="559" t="str">
        <f t="shared" si="68"/>
        <v/>
      </c>
    </row>
    <row r="757" spans="2:9">
      <c r="B757" s="555" t="str">
        <f t="shared" si="63"/>
        <v/>
      </c>
      <c r="C757" s="556" t="str">
        <f t="shared" si="64"/>
        <v/>
      </c>
      <c r="D757" s="557" t="str">
        <f t="shared" si="65"/>
        <v/>
      </c>
      <c r="E757" s="560"/>
      <c r="F757" s="559"/>
      <c r="G757" s="559" t="str">
        <f t="shared" si="66"/>
        <v/>
      </c>
      <c r="H757" s="559" t="str">
        <f t="shared" si="67"/>
        <v/>
      </c>
      <c r="I757" s="559" t="str">
        <f t="shared" si="68"/>
        <v/>
      </c>
    </row>
    <row r="758" spans="2:9">
      <c r="B758" s="555" t="str">
        <f t="shared" si="63"/>
        <v/>
      </c>
      <c r="C758" s="556" t="str">
        <f t="shared" si="64"/>
        <v/>
      </c>
      <c r="D758" s="557" t="str">
        <f t="shared" si="65"/>
        <v/>
      </c>
      <c r="E758" s="560"/>
      <c r="F758" s="559"/>
      <c r="G758" s="559" t="str">
        <f t="shared" si="66"/>
        <v/>
      </c>
      <c r="H758" s="559" t="str">
        <f t="shared" si="67"/>
        <v/>
      </c>
      <c r="I758" s="559" t="str">
        <f t="shared" si="68"/>
        <v/>
      </c>
    </row>
    <row r="759" spans="2:9">
      <c r="B759" s="555" t="str">
        <f t="shared" si="63"/>
        <v/>
      </c>
      <c r="C759" s="556" t="str">
        <f t="shared" si="64"/>
        <v/>
      </c>
      <c r="D759" s="557" t="str">
        <f t="shared" si="65"/>
        <v/>
      </c>
      <c r="E759" s="560"/>
      <c r="F759" s="559"/>
      <c r="G759" s="559" t="str">
        <f t="shared" si="66"/>
        <v/>
      </c>
      <c r="H759" s="559" t="str">
        <f t="shared" si="67"/>
        <v/>
      </c>
      <c r="I759" s="559" t="str">
        <f t="shared" si="68"/>
        <v/>
      </c>
    </row>
    <row r="760" spans="2:9">
      <c r="B760" s="555" t="str">
        <f t="shared" si="63"/>
        <v/>
      </c>
      <c r="C760" s="556" t="str">
        <f t="shared" si="64"/>
        <v/>
      </c>
      <c r="D760" s="557" t="str">
        <f t="shared" si="65"/>
        <v/>
      </c>
      <c r="E760" s="560"/>
      <c r="F760" s="559"/>
      <c r="G760" s="559" t="str">
        <f t="shared" si="66"/>
        <v/>
      </c>
      <c r="H760" s="559" t="str">
        <f t="shared" si="67"/>
        <v/>
      </c>
      <c r="I760" s="559" t="str">
        <f t="shared" si="68"/>
        <v/>
      </c>
    </row>
    <row r="761" spans="2:9">
      <c r="B761" s="555" t="str">
        <f t="shared" si="63"/>
        <v/>
      </c>
      <c r="C761" s="556" t="str">
        <f t="shared" si="64"/>
        <v/>
      </c>
      <c r="D761" s="557" t="str">
        <f t="shared" si="65"/>
        <v/>
      </c>
      <c r="E761" s="560"/>
      <c r="F761" s="559"/>
      <c r="G761" s="559" t="str">
        <f t="shared" si="66"/>
        <v/>
      </c>
      <c r="H761" s="559" t="str">
        <f t="shared" si="67"/>
        <v/>
      </c>
      <c r="I761" s="559" t="str">
        <f t="shared" si="68"/>
        <v/>
      </c>
    </row>
    <row r="762" spans="2:9">
      <c r="B762" s="555" t="str">
        <f t="shared" si="63"/>
        <v/>
      </c>
      <c r="C762" s="556" t="str">
        <f t="shared" si="64"/>
        <v/>
      </c>
      <c r="D762" s="557" t="str">
        <f t="shared" si="65"/>
        <v/>
      </c>
      <c r="E762" s="560"/>
      <c r="F762" s="559"/>
      <c r="G762" s="559" t="str">
        <f t="shared" si="66"/>
        <v/>
      </c>
      <c r="H762" s="559" t="str">
        <f t="shared" si="67"/>
        <v/>
      </c>
      <c r="I762" s="559" t="str">
        <f t="shared" si="68"/>
        <v/>
      </c>
    </row>
    <row r="763" spans="2:9">
      <c r="B763" s="555" t="str">
        <f t="shared" si="63"/>
        <v/>
      </c>
      <c r="C763" s="556" t="str">
        <f t="shared" si="64"/>
        <v/>
      </c>
      <c r="D763" s="557" t="str">
        <f t="shared" si="65"/>
        <v/>
      </c>
      <c r="E763" s="560"/>
      <c r="F763" s="559"/>
      <c r="G763" s="559" t="str">
        <f t="shared" si="66"/>
        <v/>
      </c>
      <c r="H763" s="559" t="str">
        <f t="shared" si="67"/>
        <v/>
      </c>
      <c r="I763" s="559" t="str">
        <f t="shared" si="68"/>
        <v/>
      </c>
    </row>
    <row r="764" spans="2:9">
      <c r="B764" s="555" t="str">
        <f t="shared" si="63"/>
        <v/>
      </c>
      <c r="C764" s="556" t="str">
        <f t="shared" si="64"/>
        <v/>
      </c>
      <c r="D764" s="557" t="str">
        <f t="shared" si="65"/>
        <v/>
      </c>
      <c r="E764" s="560"/>
      <c r="F764" s="559"/>
      <c r="G764" s="559" t="str">
        <f t="shared" si="66"/>
        <v/>
      </c>
      <c r="H764" s="559" t="str">
        <f t="shared" si="67"/>
        <v/>
      </c>
      <c r="I764" s="559" t="str">
        <f t="shared" si="68"/>
        <v/>
      </c>
    </row>
    <row r="765" spans="2:9">
      <c r="B765" s="555" t="str">
        <f t="shared" ref="B765:B828" si="69">IF(I764="","",IF(roundOpt,IF(OR(B764&gt;=nper,ROUND(I764,2)&lt;=0),"",B764+1),IF(OR(B764&gt;=nper,I764&lt;=0),"",B764+1)))</f>
        <v/>
      </c>
      <c r="C765" s="556" t="str">
        <f t="shared" ref="C765:C828" si="70">IF(B765="","",IF(OR(periods_per_year=26,periods_per_year=52),IF(periods_per_year=26,IF(B765=1,fpdate,C764+14),IF(periods_per_year=52,IF(B765=1,fpdate,C764+7),"n/a")),IF(periods_per_year=24,DATE(YEAR(fpdate),MONTH(fpdate)+(B765-1)/2+IF(AND(DAY(fpdate)&gt;=15,MOD(B765,2)=0),1,0),IF(MOD(B765,2)=0,IF(DAY(fpdate)&gt;=15,DAY(fpdate)-14,DAY(fpdate)+14),DAY(fpdate))),IF(DAY(DATE(YEAR(fpdate),MONTH(fpdate)+(B765-1)*months_per_period,DAY(fpdate)))&lt;&gt;DAY(fpdate),DATE(YEAR(fpdate),MONTH(fpdate)+(B765-1)*months_per_period+1,0),DATE(YEAR(fpdate),MONTH(fpdate)+(B765-1)*months_per_period,DAY(fpdate))))))</f>
        <v/>
      </c>
      <c r="D765" s="557" t="str">
        <f t="shared" ref="D765:D828" si="71">IF(B765="","",IF(roundOpt,IF(OR(B765=nper,payment&gt;ROUND((1+rate)*I764,2)),ROUND((1+rate)*I764,2),payment),IF(OR(B765=nper,payment&gt;(1+rate)*I764),(1+rate)*I764,payment)))</f>
        <v/>
      </c>
      <c r="E765" s="560"/>
      <c r="F765" s="559"/>
      <c r="G765" s="559" t="str">
        <f t="shared" ref="G765:G828" si="72">IF(B765="","",IF(AND(B765=1,pmtType=1),0,IF(roundOpt,ROUND(rate*I764,2),rate*I764)))</f>
        <v/>
      </c>
      <c r="H765" s="559" t="str">
        <f t="shared" ref="H765:H828" si="73">IF(B765="","",D765-G765+E765)</f>
        <v/>
      </c>
      <c r="I765" s="559" t="str">
        <f t="shared" ref="I765:I828" si="74">IF(B765="","",I764-H765)</f>
        <v/>
      </c>
    </row>
    <row r="766" spans="2:9">
      <c r="B766" s="555" t="str">
        <f t="shared" si="69"/>
        <v/>
      </c>
      <c r="C766" s="556" t="str">
        <f t="shared" si="70"/>
        <v/>
      </c>
      <c r="D766" s="557" t="str">
        <f t="shared" si="71"/>
        <v/>
      </c>
      <c r="E766" s="560"/>
      <c r="F766" s="559"/>
      <c r="G766" s="559" t="str">
        <f t="shared" si="72"/>
        <v/>
      </c>
      <c r="H766" s="559" t="str">
        <f t="shared" si="73"/>
        <v/>
      </c>
      <c r="I766" s="559" t="str">
        <f t="shared" si="74"/>
        <v/>
      </c>
    </row>
    <row r="767" spans="2:9">
      <c r="B767" s="555" t="str">
        <f t="shared" si="69"/>
        <v/>
      </c>
      <c r="C767" s="556" t="str">
        <f t="shared" si="70"/>
        <v/>
      </c>
      <c r="D767" s="557" t="str">
        <f t="shared" si="71"/>
        <v/>
      </c>
      <c r="E767" s="560"/>
      <c r="F767" s="559"/>
      <c r="G767" s="559" t="str">
        <f t="shared" si="72"/>
        <v/>
      </c>
      <c r="H767" s="559" t="str">
        <f t="shared" si="73"/>
        <v/>
      </c>
      <c r="I767" s="559" t="str">
        <f t="shared" si="74"/>
        <v/>
      </c>
    </row>
    <row r="768" spans="2:9">
      <c r="B768" s="555" t="str">
        <f t="shared" si="69"/>
        <v/>
      </c>
      <c r="C768" s="556" t="str">
        <f t="shared" si="70"/>
        <v/>
      </c>
      <c r="D768" s="557" t="str">
        <f t="shared" si="71"/>
        <v/>
      </c>
      <c r="E768" s="560"/>
      <c r="F768" s="559"/>
      <c r="G768" s="559" t="str">
        <f t="shared" si="72"/>
        <v/>
      </c>
      <c r="H768" s="559" t="str">
        <f t="shared" si="73"/>
        <v/>
      </c>
      <c r="I768" s="559" t="str">
        <f t="shared" si="74"/>
        <v/>
      </c>
    </row>
    <row r="769" spans="2:9">
      <c r="B769" s="555" t="str">
        <f t="shared" si="69"/>
        <v/>
      </c>
      <c r="C769" s="556" t="str">
        <f t="shared" si="70"/>
        <v/>
      </c>
      <c r="D769" s="557" t="str">
        <f t="shared" si="71"/>
        <v/>
      </c>
      <c r="E769" s="560"/>
      <c r="F769" s="559"/>
      <c r="G769" s="559" t="str">
        <f t="shared" si="72"/>
        <v/>
      </c>
      <c r="H769" s="559" t="str">
        <f t="shared" si="73"/>
        <v/>
      </c>
      <c r="I769" s="559" t="str">
        <f t="shared" si="74"/>
        <v/>
      </c>
    </row>
    <row r="770" spans="2:9">
      <c r="B770" s="555" t="str">
        <f t="shared" si="69"/>
        <v/>
      </c>
      <c r="C770" s="556" t="str">
        <f t="shared" si="70"/>
        <v/>
      </c>
      <c r="D770" s="557" t="str">
        <f t="shared" si="71"/>
        <v/>
      </c>
      <c r="E770" s="560"/>
      <c r="F770" s="559"/>
      <c r="G770" s="559" t="str">
        <f t="shared" si="72"/>
        <v/>
      </c>
      <c r="H770" s="559" t="str">
        <f t="shared" si="73"/>
        <v/>
      </c>
      <c r="I770" s="559" t="str">
        <f t="shared" si="74"/>
        <v/>
      </c>
    </row>
    <row r="771" spans="2:9">
      <c r="B771" s="555" t="str">
        <f t="shared" si="69"/>
        <v/>
      </c>
      <c r="C771" s="556" t="str">
        <f t="shared" si="70"/>
        <v/>
      </c>
      <c r="D771" s="557" t="str">
        <f t="shared" si="71"/>
        <v/>
      </c>
      <c r="E771" s="560"/>
      <c r="F771" s="559"/>
      <c r="G771" s="559" t="str">
        <f t="shared" si="72"/>
        <v/>
      </c>
      <c r="H771" s="559" t="str">
        <f t="shared" si="73"/>
        <v/>
      </c>
      <c r="I771" s="559" t="str">
        <f t="shared" si="74"/>
        <v/>
      </c>
    </row>
    <row r="772" spans="2:9">
      <c r="B772" s="555" t="str">
        <f t="shared" si="69"/>
        <v/>
      </c>
      <c r="C772" s="556" t="str">
        <f t="shared" si="70"/>
        <v/>
      </c>
      <c r="D772" s="557" t="str">
        <f t="shared" si="71"/>
        <v/>
      </c>
      <c r="E772" s="560"/>
      <c r="F772" s="559"/>
      <c r="G772" s="559" t="str">
        <f t="shared" si="72"/>
        <v/>
      </c>
      <c r="H772" s="559" t="str">
        <f t="shared" si="73"/>
        <v/>
      </c>
      <c r="I772" s="559" t="str">
        <f t="shared" si="74"/>
        <v/>
      </c>
    </row>
    <row r="773" spans="2:9">
      <c r="B773" s="555" t="str">
        <f t="shared" si="69"/>
        <v/>
      </c>
      <c r="C773" s="556" t="str">
        <f t="shared" si="70"/>
        <v/>
      </c>
      <c r="D773" s="557" t="str">
        <f t="shared" si="71"/>
        <v/>
      </c>
      <c r="E773" s="560"/>
      <c r="F773" s="559"/>
      <c r="G773" s="559" t="str">
        <f t="shared" si="72"/>
        <v/>
      </c>
      <c r="H773" s="559" t="str">
        <f t="shared" si="73"/>
        <v/>
      </c>
      <c r="I773" s="559" t="str">
        <f t="shared" si="74"/>
        <v/>
      </c>
    </row>
    <row r="774" spans="2:9">
      <c r="B774" s="555" t="str">
        <f t="shared" si="69"/>
        <v/>
      </c>
      <c r="C774" s="556" t="str">
        <f t="shared" si="70"/>
        <v/>
      </c>
      <c r="D774" s="557" t="str">
        <f t="shared" si="71"/>
        <v/>
      </c>
      <c r="E774" s="560"/>
      <c r="F774" s="559"/>
      <c r="G774" s="559" t="str">
        <f t="shared" si="72"/>
        <v/>
      </c>
      <c r="H774" s="559" t="str">
        <f t="shared" si="73"/>
        <v/>
      </c>
      <c r="I774" s="559" t="str">
        <f t="shared" si="74"/>
        <v/>
      </c>
    </row>
    <row r="775" spans="2:9">
      <c r="B775" s="555" t="str">
        <f t="shared" si="69"/>
        <v/>
      </c>
      <c r="C775" s="556" t="str">
        <f t="shared" si="70"/>
        <v/>
      </c>
      <c r="D775" s="557" t="str">
        <f t="shared" si="71"/>
        <v/>
      </c>
      <c r="E775" s="560"/>
      <c r="F775" s="559"/>
      <c r="G775" s="559" t="str">
        <f t="shared" si="72"/>
        <v/>
      </c>
      <c r="H775" s="559" t="str">
        <f t="shared" si="73"/>
        <v/>
      </c>
      <c r="I775" s="559" t="str">
        <f t="shared" si="74"/>
        <v/>
      </c>
    </row>
    <row r="776" spans="2:9">
      <c r="B776" s="555" t="str">
        <f t="shared" si="69"/>
        <v/>
      </c>
      <c r="C776" s="556" t="str">
        <f t="shared" si="70"/>
        <v/>
      </c>
      <c r="D776" s="557" t="str">
        <f t="shared" si="71"/>
        <v/>
      </c>
      <c r="E776" s="560"/>
      <c r="F776" s="559"/>
      <c r="G776" s="559" t="str">
        <f t="shared" si="72"/>
        <v/>
      </c>
      <c r="H776" s="559" t="str">
        <f t="shared" si="73"/>
        <v/>
      </c>
      <c r="I776" s="559" t="str">
        <f t="shared" si="74"/>
        <v/>
      </c>
    </row>
    <row r="777" spans="2:9">
      <c r="B777" s="555" t="str">
        <f t="shared" si="69"/>
        <v/>
      </c>
      <c r="C777" s="556" t="str">
        <f t="shared" si="70"/>
        <v/>
      </c>
      <c r="D777" s="557" t="str">
        <f t="shared" si="71"/>
        <v/>
      </c>
      <c r="E777" s="560"/>
      <c r="F777" s="559"/>
      <c r="G777" s="559" t="str">
        <f t="shared" si="72"/>
        <v/>
      </c>
      <c r="H777" s="559" t="str">
        <f t="shared" si="73"/>
        <v/>
      </c>
      <c r="I777" s="559" t="str">
        <f t="shared" si="74"/>
        <v/>
      </c>
    </row>
    <row r="778" spans="2:9">
      <c r="B778" s="555" t="str">
        <f t="shared" si="69"/>
        <v/>
      </c>
      <c r="C778" s="556" t="str">
        <f t="shared" si="70"/>
        <v/>
      </c>
      <c r="D778" s="557" t="str">
        <f t="shared" si="71"/>
        <v/>
      </c>
      <c r="E778" s="560"/>
      <c r="F778" s="559"/>
      <c r="G778" s="559" t="str">
        <f t="shared" si="72"/>
        <v/>
      </c>
      <c r="H778" s="559" t="str">
        <f t="shared" si="73"/>
        <v/>
      </c>
      <c r="I778" s="559" t="str">
        <f t="shared" si="74"/>
        <v/>
      </c>
    </row>
    <row r="779" spans="2:9">
      <c r="B779" s="555" t="str">
        <f t="shared" si="69"/>
        <v/>
      </c>
      <c r="C779" s="556" t="str">
        <f t="shared" si="70"/>
        <v/>
      </c>
      <c r="D779" s="557" t="str">
        <f t="shared" si="71"/>
        <v/>
      </c>
      <c r="E779" s="560"/>
      <c r="F779" s="559"/>
      <c r="G779" s="559" t="str">
        <f t="shared" si="72"/>
        <v/>
      </c>
      <c r="H779" s="559" t="str">
        <f t="shared" si="73"/>
        <v/>
      </c>
      <c r="I779" s="559" t="str">
        <f t="shared" si="74"/>
        <v/>
      </c>
    </row>
    <row r="780" spans="2:9">
      <c r="B780" s="555" t="str">
        <f t="shared" si="69"/>
        <v/>
      </c>
      <c r="C780" s="556" t="str">
        <f t="shared" si="70"/>
        <v/>
      </c>
      <c r="D780" s="557" t="str">
        <f t="shared" si="71"/>
        <v/>
      </c>
      <c r="E780" s="560"/>
      <c r="F780" s="559"/>
      <c r="G780" s="559" t="str">
        <f t="shared" si="72"/>
        <v/>
      </c>
      <c r="H780" s="559" t="str">
        <f t="shared" si="73"/>
        <v/>
      </c>
      <c r="I780" s="559" t="str">
        <f t="shared" si="74"/>
        <v/>
      </c>
    </row>
    <row r="781" spans="2:9">
      <c r="B781" s="555" t="str">
        <f t="shared" si="69"/>
        <v/>
      </c>
      <c r="C781" s="556" t="str">
        <f t="shared" si="70"/>
        <v/>
      </c>
      <c r="D781" s="557" t="str">
        <f t="shared" si="71"/>
        <v/>
      </c>
      <c r="E781" s="560"/>
      <c r="F781" s="559"/>
      <c r="G781" s="559" t="str">
        <f t="shared" si="72"/>
        <v/>
      </c>
      <c r="H781" s="559" t="str">
        <f t="shared" si="73"/>
        <v/>
      </c>
      <c r="I781" s="559" t="str">
        <f t="shared" si="74"/>
        <v/>
      </c>
    </row>
    <row r="782" spans="2:9">
      <c r="B782" s="555" t="str">
        <f t="shared" si="69"/>
        <v/>
      </c>
      <c r="C782" s="556" t="str">
        <f t="shared" si="70"/>
        <v/>
      </c>
      <c r="D782" s="557" t="str">
        <f t="shared" si="71"/>
        <v/>
      </c>
      <c r="E782" s="560"/>
      <c r="F782" s="559"/>
      <c r="G782" s="559" t="str">
        <f t="shared" si="72"/>
        <v/>
      </c>
      <c r="H782" s="559" t="str">
        <f t="shared" si="73"/>
        <v/>
      </c>
      <c r="I782" s="559" t="str">
        <f t="shared" si="74"/>
        <v/>
      </c>
    </row>
    <row r="783" spans="2:9">
      <c r="B783" s="555" t="str">
        <f t="shared" si="69"/>
        <v/>
      </c>
      <c r="C783" s="556" t="str">
        <f t="shared" si="70"/>
        <v/>
      </c>
      <c r="D783" s="557" t="str">
        <f t="shared" si="71"/>
        <v/>
      </c>
      <c r="E783" s="560"/>
      <c r="F783" s="559"/>
      <c r="G783" s="559" t="str">
        <f t="shared" si="72"/>
        <v/>
      </c>
      <c r="H783" s="559" t="str">
        <f t="shared" si="73"/>
        <v/>
      </c>
      <c r="I783" s="559" t="str">
        <f t="shared" si="74"/>
        <v/>
      </c>
    </row>
    <row r="784" spans="2:9">
      <c r="B784" s="555" t="str">
        <f t="shared" si="69"/>
        <v/>
      </c>
      <c r="C784" s="556" t="str">
        <f t="shared" si="70"/>
        <v/>
      </c>
      <c r="D784" s="557" t="str">
        <f t="shared" si="71"/>
        <v/>
      </c>
      <c r="E784" s="560"/>
      <c r="F784" s="559"/>
      <c r="G784" s="559" t="str">
        <f t="shared" si="72"/>
        <v/>
      </c>
      <c r="H784" s="559" t="str">
        <f t="shared" si="73"/>
        <v/>
      </c>
      <c r="I784" s="559" t="str">
        <f t="shared" si="74"/>
        <v/>
      </c>
    </row>
    <row r="785" spans="2:9">
      <c r="B785" s="555" t="str">
        <f t="shared" si="69"/>
        <v/>
      </c>
      <c r="C785" s="556" t="str">
        <f t="shared" si="70"/>
        <v/>
      </c>
      <c r="D785" s="557" t="str">
        <f t="shared" si="71"/>
        <v/>
      </c>
      <c r="E785" s="560"/>
      <c r="F785" s="559"/>
      <c r="G785" s="559" t="str">
        <f t="shared" si="72"/>
        <v/>
      </c>
      <c r="H785" s="559" t="str">
        <f t="shared" si="73"/>
        <v/>
      </c>
      <c r="I785" s="559" t="str">
        <f t="shared" si="74"/>
        <v/>
      </c>
    </row>
    <row r="786" spans="2:9">
      <c r="B786" s="555" t="str">
        <f t="shared" si="69"/>
        <v/>
      </c>
      <c r="C786" s="556" t="str">
        <f t="shared" si="70"/>
        <v/>
      </c>
      <c r="D786" s="557" t="str">
        <f t="shared" si="71"/>
        <v/>
      </c>
      <c r="E786" s="560"/>
      <c r="F786" s="559"/>
      <c r="G786" s="559" t="str">
        <f t="shared" si="72"/>
        <v/>
      </c>
      <c r="H786" s="559" t="str">
        <f t="shared" si="73"/>
        <v/>
      </c>
      <c r="I786" s="559" t="str">
        <f t="shared" si="74"/>
        <v/>
      </c>
    </row>
    <row r="787" spans="2:9">
      <c r="B787" s="555" t="str">
        <f t="shared" si="69"/>
        <v/>
      </c>
      <c r="C787" s="556" t="str">
        <f t="shared" si="70"/>
        <v/>
      </c>
      <c r="D787" s="557" t="str">
        <f t="shared" si="71"/>
        <v/>
      </c>
      <c r="E787" s="560"/>
      <c r="F787" s="559"/>
      <c r="G787" s="559" t="str">
        <f t="shared" si="72"/>
        <v/>
      </c>
      <c r="H787" s="559" t="str">
        <f t="shared" si="73"/>
        <v/>
      </c>
      <c r="I787" s="559" t="str">
        <f t="shared" si="74"/>
        <v/>
      </c>
    </row>
    <row r="788" spans="2:9">
      <c r="B788" s="555" t="str">
        <f t="shared" si="69"/>
        <v/>
      </c>
      <c r="C788" s="556" t="str">
        <f t="shared" si="70"/>
        <v/>
      </c>
      <c r="D788" s="557" t="str">
        <f t="shared" si="71"/>
        <v/>
      </c>
      <c r="E788" s="560"/>
      <c r="F788" s="559"/>
      <c r="G788" s="559" t="str">
        <f t="shared" si="72"/>
        <v/>
      </c>
      <c r="H788" s="559" t="str">
        <f t="shared" si="73"/>
        <v/>
      </c>
      <c r="I788" s="559" t="str">
        <f t="shared" si="74"/>
        <v/>
      </c>
    </row>
    <row r="789" spans="2:9">
      <c r="B789" s="555" t="str">
        <f t="shared" si="69"/>
        <v/>
      </c>
      <c r="C789" s="556" t="str">
        <f t="shared" si="70"/>
        <v/>
      </c>
      <c r="D789" s="557" t="str">
        <f t="shared" si="71"/>
        <v/>
      </c>
      <c r="E789" s="560"/>
      <c r="F789" s="559"/>
      <c r="G789" s="559" t="str">
        <f t="shared" si="72"/>
        <v/>
      </c>
      <c r="H789" s="559" t="str">
        <f t="shared" si="73"/>
        <v/>
      </c>
      <c r="I789" s="559" t="str">
        <f t="shared" si="74"/>
        <v/>
      </c>
    </row>
    <row r="790" spans="2:9">
      <c r="B790" s="555" t="str">
        <f t="shared" si="69"/>
        <v/>
      </c>
      <c r="C790" s="556" t="str">
        <f t="shared" si="70"/>
        <v/>
      </c>
      <c r="D790" s="557" t="str">
        <f t="shared" si="71"/>
        <v/>
      </c>
      <c r="E790" s="560"/>
      <c r="F790" s="559"/>
      <c r="G790" s="559" t="str">
        <f t="shared" si="72"/>
        <v/>
      </c>
      <c r="H790" s="559" t="str">
        <f t="shared" si="73"/>
        <v/>
      </c>
      <c r="I790" s="559" t="str">
        <f t="shared" si="74"/>
        <v/>
      </c>
    </row>
    <row r="791" spans="2:9">
      <c r="B791" s="555" t="str">
        <f t="shared" si="69"/>
        <v/>
      </c>
      <c r="C791" s="556" t="str">
        <f t="shared" si="70"/>
        <v/>
      </c>
      <c r="D791" s="557" t="str">
        <f t="shared" si="71"/>
        <v/>
      </c>
      <c r="E791" s="560"/>
      <c r="F791" s="559"/>
      <c r="G791" s="559" t="str">
        <f t="shared" si="72"/>
        <v/>
      </c>
      <c r="H791" s="559" t="str">
        <f t="shared" si="73"/>
        <v/>
      </c>
      <c r="I791" s="559" t="str">
        <f t="shared" si="74"/>
        <v/>
      </c>
    </row>
    <row r="792" spans="2:9">
      <c r="B792" s="555" t="str">
        <f t="shared" si="69"/>
        <v/>
      </c>
      <c r="C792" s="556" t="str">
        <f t="shared" si="70"/>
        <v/>
      </c>
      <c r="D792" s="557" t="str">
        <f t="shared" si="71"/>
        <v/>
      </c>
      <c r="E792" s="560"/>
      <c r="F792" s="559"/>
      <c r="G792" s="559" t="str">
        <f t="shared" si="72"/>
        <v/>
      </c>
      <c r="H792" s="559" t="str">
        <f t="shared" si="73"/>
        <v/>
      </c>
      <c r="I792" s="559" t="str">
        <f t="shared" si="74"/>
        <v/>
      </c>
    </row>
    <row r="793" spans="2:9">
      <c r="B793" s="555" t="str">
        <f t="shared" si="69"/>
        <v/>
      </c>
      <c r="C793" s="556" t="str">
        <f t="shared" si="70"/>
        <v/>
      </c>
      <c r="D793" s="557" t="str">
        <f t="shared" si="71"/>
        <v/>
      </c>
      <c r="E793" s="560"/>
      <c r="F793" s="559"/>
      <c r="G793" s="559" t="str">
        <f t="shared" si="72"/>
        <v/>
      </c>
      <c r="H793" s="559" t="str">
        <f t="shared" si="73"/>
        <v/>
      </c>
      <c r="I793" s="559" t="str">
        <f t="shared" si="74"/>
        <v/>
      </c>
    </row>
    <row r="794" spans="2:9">
      <c r="B794" s="555" t="str">
        <f t="shared" si="69"/>
        <v/>
      </c>
      <c r="C794" s="556" t="str">
        <f t="shared" si="70"/>
        <v/>
      </c>
      <c r="D794" s="557" t="str">
        <f t="shared" si="71"/>
        <v/>
      </c>
      <c r="E794" s="560"/>
      <c r="F794" s="559"/>
      <c r="G794" s="559" t="str">
        <f t="shared" si="72"/>
        <v/>
      </c>
      <c r="H794" s="559" t="str">
        <f t="shared" si="73"/>
        <v/>
      </c>
      <c r="I794" s="559" t="str">
        <f t="shared" si="74"/>
        <v/>
      </c>
    </row>
    <row r="795" spans="2:9">
      <c r="B795" s="555" t="str">
        <f t="shared" si="69"/>
        <v/>
      </c>
      <c r="C795" s="556" t="str">
        <f t="shared" si="70"/>
        <v/>
      </c>
      <c r="D795" s="557" t="str">
        <f t="shared" si="71"/>
        <v/>
      </c>
      <c r="E795" s="560"/>
      <c r="F795" s="559"/>
      <c r="G795" s="559" t="str">
        <f t="shared" si="72"/>
        <v/>
      </c>
      <c r="H795" s="559" t="str">
        <f t="shared" si="73"/>
        <v/>
      </c>
      <c r="I795" s="559" t="str">
        <f t="shared" si="74"/>
        <v/>
      </c>
    </row>
    <row r="796" spans="2:9">
      <c r="B796" s="555" t="str">
        <f t="shared" si="69"/>
        <v/>
      </c>
      <c r="C796" s="556" t="str">
        <f t="shared" si="70"/>
        <v/>
      </c>
      <c r="D796" s="557" t="str">
        <f t="shared" si="71"/>
        <v/>
      </c>
      <c r="E796" s="560"/>
      <c r="F796" s="559"/>
      <c r="G796" s="559" t="str">
        <f t="shared" si="72"/>
        <v/>
      </c>
      <c r="H796" s="559" t="str">
        <f t="shared" si="73"/>
        <v/>
      </c>
      <c r="I796" s="559" t="str">
        <f t="shared" si="74"/>
        <v/>
      </c>
    </row>
    <row r="797" spans="2:9">
      <c r="B797" s="555" t="str">
        <f t="shared" si="69"/>
        <v/>
      </c>
      <c r="C797" s="556" t="str">
        <f t="shared" si="70"/>
        <v/>
      </c>
      <c r="D797" s="557" t="str">
        <f t="shared" si="71"/>
        <v/>
      </c>
      <c r="E797" s="560"/>
      <c r="F797" s="559"/>
      <c r="G797" s="559" t="str">
        <f t="shared" si="72"/>
        <v/>
      </c>
      <c r="H797" s="559" t="str">
        <f t="shared" si="73"/>
        <v/>
      </c>
      <c r="I797" s="559" t="str">
        <f t="shared" si="74"/>
        <v/>
      </c>
    </row>
    <row r="798" spans="2:9">
      <c r="B798" s="555" t="str">
        <f t="shared" si="69"/>
        <v/>
      </c>
      <c r="C798" s="556" t="str">
        <f t="shared" si="70"/>
        <v/>
      </c>
      <c r="D798" s="557" t="str">
        <f t="shared" si="71"/>
        <v/>
      </c>
      <c r="E798" s="560"/>
      <c r="F798" s="559"/>
      <c r="G798" s="559" t="str">
        <f t="shared" si="72"/>
        <v/>
      </c>
      <c r="H798" s="559" t="str">
        <f t="shared" si="73"/>
        <v/>
      </c>
      <c r="I798" s="559" t="str">
        <f t="shared" si="74"/>
        <v/>
      </c>
    </row>
    <row r="799" spans="2:9">
      <c r="B799" s="555" t="str">
        <f t="shared" si="69"/>
        <v/>
      </c>
      <c r="C799" s="556" t="str">
        <f t="shared" si="70"/>
        <v/>
      </c>
      <c r="D799" s="557" t="str">
        <f t="shared" si="71"/>
        <v/>
      </c>
      <c r="E799" s="560"/>
      <c r="F799" s="559"/>
      <c r="G799" s="559" t="str">
        <f t="shared" si="72"/>
        <v/>
      </c>
      <c r="H799" s="559" t="str">
        <f t="shared" si="73"/>
        <v/>
      </c>
      <c r="I799" s="559" t="str">
        <f t="shared" si="74"/>
        <v/>
      </c>
    </row>
    <row r="800" spans="2:9">
      <c r="B800" s="555" t="str">
        <f t="shared" si="69"/>
        <v/>
      </c>
      <c r="C800" s="556" t="str">
        <f t="shared" si="70"/>
        <v/>
      </c>
      <c r="D800" s="557" t="str">
        <f t="shared" si="71"/>
        <v/>
      </c>
      <c r="E800" s="560"/>
      <c r="F800" s="559"/>
      <c r="G800" s="559" t="str">
        <f t="shared" si="72"/>
        <v/>
      </c>
      <c r="H800" s="559" t="str">
        <f t="shared" si="73"/>
        <v/>
      </c>
      <c r="I800" s="559" t="str">
        <f t="shared" si="74"/>
        <v/>
      </c>
    </row>
    <row r="801" spans="2:9">
      <c r="B801" s="555" t="str">
        <f t="shared" si="69"/>
        <v/>
      </c>
      <c r="C801" s="556" t="str">
        <f t="shared" si="70"/>
        <v/>
      </c>
      <c r="D801" s="557" t="str">
        <f t="shared" si="71"/>
        <v/>
      </c>
      <c r="E801" s="560"/>
      <c r="F801" s="559"/>
      <c r="G801" s="559" t="str">
        <f t="shared" si="72"/>
        <v/>
      </c>
      <c r="H801" s="559" t="str">
        <f t="shared" si="73"/>
        <v/>
      </c>
      <c r="I801" s="559" t="str">
        <f t="shared" si="74"/>
        <v/>
      </c>
    </row>
    <row r="802" spans="2:9">
      <c r="B802" s="555" t="str">
        <f t="shared" si="69"/>
        <v/>
      </c>
      <c r="C802" s="556" t="str">
        <f t="shared" si="70"/>
        <v/>
      </c>
      <c r="D802" s="557" t="str">
        <f t="shared" si="71"/>
        <v/>
      </c>
      <c r="E802" s="560"/>
      <c r="F802" s="559"/>
      <c r="G802" s="559" t="str">
        <f t="shared" si="72"/>
        <v/>
      </c>
      <c r="H802" s="559" t="str">
        <f t="shared" si="73"/>
        <v/>
      </c>
      <c r="I802" s="559" t="str">
        <f t="shared" si="74"/>
        <v/>
      </c>
    </row>
    <row r="803" spans="2:9">
      <c r="B803" s="555" t="str">
        <f t="shared" si="69"/>
        <v/>
      </c>
      <c r="C803" s="556" t="str">
        <f t="shared" si="70"/>
        <v/>
      </c>
      <c r="D803" s="557" t="str">
        <f t="shared" si="71"/>
        <v/>
      </c>
      <c r="E803" s="560"/>
      <c r="F803" s="559"/>
      <c r="G803" s="559" t="str">
        <f t="shared" si="72"/>
        <v/>
      </c>
      <c r="H803" s="559" t="str">
        <f t="shared" si="73"/>
        <v/>
      </c>
      <c r="I803" s="559" t="str">
        <f t="shared" si="74"/>
        <v/>
      </c>
    </row>
    <row r="804" spans="2:9">
      <c r="B804" s="555" t="str">
        <f t="shared" si="69"/>
        <v/>
      </c>
      <c r="C804" s="556" t="str">
        <f t="shared" si="70"/>
        <v/>
      </c>
      <c r="D804" s="557" t="str">
        <f t="shared" si="71"/>
        <v/>
      </c>
      <c r="E804" s="560"/>
      <c r="F804" s="559"/>
      <c r="G804" s="559" t="str">
        <f t="shared" si="72"/>
        <v/>
      </c>
      <c r="H804" s="559" t="str">
        <f t="shared" si="73"/>
        <v/>
      </c>
      <c r="I804" s="559" t="str">
        <f t="shared" si="74"/>
        <v/>
      </c>
    </row>
    <row r="805" spans="2:9">
      <c r="B805" s="555" t="str">
        <f t="shared" si="69"/>
        <v/>
      </c>
      <c r="C805" s="556" t="str">
        <f t="shared" si="70"/>
        <v/>
      </c>
      <c r="D805" s="557" t="str">
        <f t="shared" si="71"/>
        <v/>
      </c>
      <c r="E805" s="560"/>
      <c r="F805" s="559"/>
      <c r="G805" s="559" t="str">
        <f t="shared" si="72"/>
        <v/>
      </c>
      <c r="H805" s="559" t="str">
        <f t="shared" si="73"/>
        <v/>
      </c>
      <c r="I805" s="559" t="str">
        <f t="shared" si="74"/>
        <v/>
      </c>
    </row>
    <row r="806" spans="2:9">
      <c r="B806" s="555" t="str">
        <f t="shared" si="69"/>
        <v/>
      </c>
      <c r="C806" s="556" t="str">
        <f t="shared" si="70"/>
        <v/>
      </c>
      <c r="D806" s="557" t="str">
        <f t="shared" si="71"/>
        <v/>
      </c>
      <c r="E806" s="560"/>
      <c r="F806" s="559"/>
      <c r="G806" s="559" t="str">
        <f t="shared" si="72"/>
        <v/>
      </c>
      <c r="H806" s="559" t="str">
        <f t="shared" si="73"/>
        <v/>
      </c>
      <c r="I806" s="559" t="str">
        <f t="shared" si="74"/>
        <v/>
      </c>
    </row>
    <row r="807" spans="2:9">
      <c r="B807" s="555" t="str">
        <f t="shared" si="69"/>
        <v/>
      </c>
      <c r="C807" s="556" t="str">
        <f t="shared" si="70"/>
        <v/>
      </c>
      <c r="D807" s="557" t="str">
        <f t="shared" si="71"/>
        <v/>
      </c>
      <c r="E807" s="560"/>
      <c r="F807" s="559"/>
      <c r="G807" s="559" t="str">
        <f t="shared" si="72"/>
        <v/>
      </c>
      <c r="H807" s="559" t="str">
        <f t="shared" si="73"/>
        <v/>
      </c>
      <c r="I807" s="559" t="str">
        <f t="shared" si="74"/>
        <v/>
      </c>
    </row>
    <row r="808" spans="2:9">
      <c r="B808" s="555" t="str">
        <f t="shared" si="69"/>
        <v/>
      </c>
      <c r="C808" s="556" t="str">
        <f t="shared" si="70"/>
        <v/>
      </c>
      <c r="D808" s="557" t="str">
        <f t="shared" si="71"/>
        <v/>
      </c>
      <c r="E808" s="560"/>
      <c r="F808" s="559"/>
      <c r="G808" s="559" t="str">
        <f t="shared" si="72"/>
        <v/>
      </c>
      <c r="H808" s="559" t="str">
        <f t="shared" si="73"/>
        <v/>
      </c>
      <c r="I808" s="559" t="str">
        <f t="shared" si="74"/>
        <v/>
      </c>
    </row>
    <row r="809" spans="2:9">
      <c r="B809" s="555" t="str">
        <f t="shared" si="69"/>
        <v/>
      </c>
      <c r="C809" s="556" t="str">
        <f t="shared" si="70"/>
        <v/>
      </c>
      <c r="D809" s="557" t="str">
        <f t="shared" si="71"/>
        <v/>
      </c>
      <c r="E809" s="560"/>
      <c r="F809" s="559"/>
      <c r="G809" s="559" t="str">
        <f t="shared" si="72"/>
        <v/>
      </c>
      <c r="H809" s="559" t="str">
        <f t="shared" si="73"/>
        <v/>
      </c>
      <c r="I809" s="559" t="str">
        <f t="shared" si="74"/>
        <v/>
      </c>
    </row>
    <row r="810" spans="2:9">
      <c r="B810" s="555" t="str">
        <f t="shared" si="69"/>
        <v/>
      </c>
      <c r="C810" s="556" t="str">
        <f t="shared" si="70"/>
        <v/>
      </c>
      <c r="D810" s="557" t="str">
        <f t="shared" si="71"/>
        <v/>
      </c>
      <c r="E810" s="560"/>
      <c r="F810" s="559"/>
      <c r="G810" s="559" t="str">
        <f t="shared" si="72"/>
        <v/>
      </c>
      <c r="H810" s="559" t="str">
        <f t="shared" si="73"/>
        <v/>
      </c>
      <c r="I810" s="559" t="str">
        <f t="shared" si="74"/>
        <v/>
      </c>
    </row>
    <row r="811" spans="2:9">
      <c r="B811" s="555" t="str">
        <f t="shared" si="69"/>
        <v/>
      </c>
      <c r="C811" s="556" t="str">
        <f t="shared" si="70"/>
        <v/>
      </c>
      <c r="D811" s="557" t="str">
        <f t="shared" si="71"/>
        <v/>
      </c>
      <c r="E811" s="560"/>
      <c r="F811" s="559"/>
      <c r="G811" s="559" t="str">
        <f t="shared" si="72"/>
        <v/>
      </c>
      <c r="H811" s="559" t="str">
        <f t="shared" si="73"/>
        <v/>
      </c>
      <c r="I811" s="559" t="str">
        <f t="shared" si="74"/>
        <v/>
      </c>
    </row>
    <row r="812" spans="2:9">
      <c r="B812" s="555" t="str">
        <f t="shared" si="69"/>
        <v/>
      </c>
      <c r="C812" s="556" t="str">
        <f t="shared" si="70"/>
        <v/>
      </c>
      <c r="D812" s="557" t="str">
        <f t="shared" si="71"/>
        <v/>
      </c>
      <c r="E812" s="560"/>
      <c r="F812" s="559"/>
      <c r="G812" s="559" t="str">
        <f t="shared" si="72"/>
        <v/>
      </c>
      <c r="H812" s="559" t="str">
        <f t="shared" si="73"/>
        <v/>
      </c>
      <c r="I812" s="559" t="str">
        <f t="shared" si="74"/>
        <v/>
      </c>
    </row>
    <row r="813" spans="2:9">
      <c r="B813" s="555" t="str">
        <f t="shared" si="69"/>
        <v/>
      </c>
      <c r="C813" s="556" t="str">
        <f t="shared" si="70"/>
        <v/>
      </c>
      <c r="D813" s="557" t="str">
        <f t="shared" si="71"/>
        <v/>
      </c>
      <c r="E813" s="560"/>
      <c r="F813" s="559"/>
      <c r="G813" s="559" t="str">
        <f t="shared" si="72"/>
        <v/>
      </c>
      <c r="H813" s="559" t="str">
        <f t="shared" si="73"/>
        <v/>
      </c>
      <c r="I813" s="559" t="str">
        <f t="shared" si="74"/>
        <v/>
      </c>
    </row>
    <row r="814" spans="2:9">
      <c r="B814" s="555" t="str">
        <f t="shared" si="69"/>
        <v/>
      </c>
      <c r="C814" s="556" t="str">
        <f t="shared" si="70"/>
        <v/>
      </c>
      <c r="D814" s="557" t="str">
        <f t="shared" si="71"/>
        <v/>
      </c>
      <c r="E814" s="560"/>
      <c r="F814" s="559"/>
      <c r="G814" s="559" t="str">
        <f t="shared" si="72"/>
        <v/>
      </c>
      <c r="H814" s="559" t="str">
        <f t="shared" si="73"/>
        <v/>
      </c>
      <c r="I814" s="559" t="str">
        <f t="shared" si="74"/>
        <v/>
      </c>
    </row>
    <row r="815" spans="2:9">
      <c r="B815" s="555" t="str">
        <f t="shared" si="69"/>
        <v/>
      </c>
      <c r="C815" s="556" t="str">
        <f t="shared" si="70"/>
        <v/>
      </c>
      <c r="D815" s="557" t="str">
        <f t="shared" si="71"/>
        <v/>
      </c>
      <c r="E815" s="560"/>
      <c r="F815" s="559"/>
      <c r="G815" s="559" t="str">
        <f t="shared" si="72"/>
        <v/>
      </c>
      <c r="H815" s="559" t="str">
        <f t="shared" si="73"/>
        <v/>
      </c>
      <c r="I815" s="559" t="str">
        <f t="shared" si="74"/>
        <v/>
      </c>
    </row>
    <row r="816" spans="2:9">
      <c r="B816" s="555" t="str">
        <f t="shared" si="69"/>
        <v/>
      </c>
      <c r="C816" s="556" t="str">
        <f t="shared" si="70"/>
        <v/>
      </c>
      <c r="D816" s="557" t="str">
        <f t="shared" si="71"/>
        <v/>
      </c>
      <c r="E816" s="560"/>
      <c r="F816" s="559"/>
      <c r="G816" s="559" t="str">
        <f t="shared" si="72"/>
        <v/>
      </c>
      <c r="H816" s="559" t="str">
        <f t="shared" si="73"/>
        <v/>
      </c>
      <c r="I816" s="559" t="str">
        <f t="shared" si="74"/>
        <v/>
      </c>
    </row>
    <row r="817" spans="2:9">
      <c r="B817" s="555" t="str">
        <f t="shared" si="69"/>
        <v/>
      </c>
      <c r="C817" s="556" t="str">
        <f t="shared" si="70"/>
        <v/>
      </c>
      <c r="D817" s="557" t="str">
        <f t="shared" si="71"/>
        <v/>
      </c>
      <c r="E817" s="560"/>
      <c r="F817" s="559"/>
      <c r="G817" s="559" t="str">
        <f t="shared" si="72"/>
        <v/>
      </c>
      <c r="H817" s="559" t="str">
        <f t="shared" si="73"/>
        <v/>
      </c>
      <c r="I817" s="559" t="str">
        <f t="shared" si="74"/>
        <v/>
      </c>
    </row>
    <row r="818" spans="2:9">
      <c r="B818" s="555" t="str">
        <f t="shared" si="69"/>
        <v/>
      </c>
      <c r="C818" s="556" t="str">
        <f t="shared" si="70"/>
        <v/>
      </c>
      <c r="D818" s="557" t="str">
        <f t="shared" si="71"/>
        <v/>
      </c>
      <c r="E818" s="560"/>
      <c r="F818" s="559"/>
      <c r="G818" s="559" t="str">
        <f t="shared" si="72"/>
        <v/>
      </c>
      <c r="H818" s="559" t="str">
        <f t="shared" si="73"/>
        <v/>
      </c>
      <c r="I818" s="559" t="str">
        <f t="shared" si="74"/>
        <v/>
      </c>
    </row>
    <row r="819" spans="2:9">
      <c r="B819" s="555" t="str">
        <f t="shared" si="69"/>
        <v/>
      </c>
      <c r="C819" s="556" t="str">
        <f t="shared" si="70"/>
        <v/>
      </c>
      <c r="D819" s="557" t="str">
        <f t="shared" si="71"/>
        <v/>
      </c>
      <c r="E819" s="560"/>
      <c r="F819" s="559"/>
      <c r="G819" s="559" t="str">
        <f t="shared" si="72"/>
        <v/>
      </c>
      <c r="H819" s="559" t="str">
        <f t="shared" si="73"/>
        <v/>
      </c>
      <c r="I819" s="559" t="str">
        <f t="shared" si="74"/>
        <v/>
      </c>
    </row>
    <row r="820" spans="2:9">
      <c r="B820" s="555" t="str">
        <f t="shared" si="69"/>
        <v/>
      </c>
      <c r="C820" s="556" t="str">
        <f t="shared" si="70"/>
        <v/>
      </c>
      <c r="D820" s="557" t="str">
        <f t="shared" si="71"/>
        <v/>
      </c>
      <c r="E820" s="560"/>
      <c r="F820" s="559"/>
      <c r="G820" s="559" t="str">
        <f t="shared" si="72"/>
        <v/>
      </c>
      <c r="H820" s="559" t="str">
        <f t="shared" si="73"/>
        <v/>
      </c>
      <c r="I820" s="559" t="str">
        <f t="shared" si="74"/>
        <v/>
      </c>
    </row>
    <row r="821" spans="2:9">
      <c r="B821" s="555" t="str">
        <f t="shared" si="69"/>
        <v/>
      </c>
      <c r="C821" s="556" t="str">
        <f t="shared" si="70"/>
        <v/>
      </c>
      <c r="D821" s="557" t="str">
        <f t="shared" si="71"/>
        <v/>
      </c>
      <c r="E821" s="560"/>
      <c r="F821" s="559"/>
      <c r="G821" s="559" t="str">
        <f t="shared" si="72"/>
        <v/>
      </c>
      <c r="H821" s="559" t="str">
        <f t="shared" si="73"/>
        <v/>
      </c>
      <c r="I821" s="559" t="str">
        <f t="shared" si="74"/>
        <v/>
      </c>
    </row>
    <row r="822" spans="2:9">
      <c r="B822" s="555" t="str">
        <f t="shared" si="69"/>
        <v/>
      </c>
      <c r="C822" s="556" t="str">
        <f t="shared" si="70"/>
        <v/>
      </c>
      <c r="D822" s="557" t="str">
        <f t="shared" si="71"/>
        <v/>
      </c>
      <c r="E822" s="560"/>
      <c r="F822" s="559"/>
      <c r="G822" s="559" t="str">
        <f t="shared" si="72"/>
        <v/>
      </c>
      <c r="H822" s="559" t="str">
        <f t="shared" si="73"/>
        <v/>
      </c>
      <c r="I822" s="559" t="str">
        <f t="shared" si="74"/>
        <v/>
      </c>
    </row>
    <row r="823" spans="2:9">
      <c r="B823" s="555" t="str">
        <f t="shared" si="69"/>
        <v/>
      </c>
      <c r="C823" s="556" t="str">
        <f t="shared" si="70"/>
        <v/>
      </c>
      <c r="D823" s="557" t="str">
        <f t="shared" si="71"/>
        <v/>
      </c>
      <c r="E823" s="560"/>
      <c r="F823" s="559"/>
      <c r="G823" s="559" t="str">
        <f t="shared" si="72"/>
        <v/>
      </c>
      <c r="H823" s="559" t="str">
        <f t="shared" si="73"/>
        <v/>
      </c>
      <c r="I823" s="559" t="str">
        <f t="shared" si="74"/>
        <v/>
      </c>
    </row>
    <row r="824" spans="2:9">
      <c r="B824" s="555" t="str">
        <f t="shared" si="69"/>
        <v/>
      </c>
      <c r="C824" s="556" t="str">
        <f t="shared" si="70"/>
        <v/>
      </c>
      <c r="D824" s="557" t="str">
        <f t="shared" si="71"/>
        <v/>
      </c>
      <c r="E824" s="560"/>
      <c r="F824" s="559"/>
      <c r="G824" s="559" t="str">
        <f t="shared" si="72"/>
        <v/>
      </c>
      <c r="H824" s="559" t="str">
        <f t="shared" si="73"/>
        <v/>
      </c>
      <c r="I824" s="559" t="str">
        <f t="shared" si="74"/>
        <v/>
      </c>
    </row>
    <row r="825" spans="2:9">
      <c r="B825" s="555" t="str">
        <f t="shared" si="69"/>
        <v/>
      </c>
      <c r="C825" s="556" t="str">
        <f t="shared" si="70"/>
        <v/>
      </c>
      <c r="D825" s="557" t="str">
        <f t="shared" si="71"/>
        <v/>
      </c>
      <c r="E825" s="560"/>
      <c r="F825" s="559"/>
      <c r="G825" s="559" t="str">
        <f t="shared" si="72"/>
        <v/>
      </c>
      <c r="H825" s="559" t="str">
        <f t="shared" si="73"/>
        <v/>
      </c>
      <c r="I825" s="559" t="str">
        <f t="shared" si="74"/>
        <v/>
      </c>
    </row>
    <row r="826" spans="2:9">
      <c r="B826" s="555" t="str">
        <f t="shared" si="69"/>
        <v/>
      </c>
      <c r="C826" s="556" t="str">
        <f t="shared" si="70"/>
        <v/>
      </c>
      <c r="D826" s="557" t="str">
        <f t="shared" si="71"/>
        <v/>
      </c>
      <c r="E826" s="560"/>
      <c r="F826" s="559"/>
      <c r="G826" s="559" t="str">
        <f t="shared" si="72"/>
        <v/>
      </c>
      <c r="H826" s="559" t="str">
        <f t="shared" si="73"/>
        <v/>
      </c>
      <c r="I826" s="559" t="str">
        <f t="shared" si="74"/>
        <v/>
      </c>
    </row>
    <row r="827" spans="2:9">
      <c r="B827" s="555" t="str">
        <f t="shared" si="69"/>
        <v/>
      </c>
      <c r="C827" s="556" t="str">
        <f t="shared" si="70"/>
        <v/>
      </c>
      <c r="D827" s="557" t="str">
        <f t="shared" si="71"/>
        <v/>
      </c>
      <c r="E827" s="560"/>
      <c r="F827" s="559"/>
      <c r="G827" s="559" t="str">
        <f t="shared" si="72"/>
        <v/>
      </c>
      <c r="H827" s="559" t="str">
        <f t="shared" si="73"/>
        <v/>
      </c>
      <c r="I827" s="559" t="str">
        <f t="shared" si="74"/>
        <v/>
      </c>
    </row>
    <row r="828" spans="2:9">
      <c r="B828" s="555" t="str">
        <f t="shared" si="69"/>
        <v/>
      </c>
      <c r="C828" s="556" t="str">
        <f t="shared" si="70"/>
        <v/>
      </c>
      <c r="D828" s="557" t="str">
        <f t="shared" si="71"/>
        <v/>
      </c>
      <c r="E828" s="560"/>
      <c r="F828" s="559"/>
      <c r="G828" s="559" t="str">
        <f t="shared" si="72"/>
        <v/>
      </c>
      <c r="H828" s="559" t="str">
        <f t="shared" si="73"/>
        <v/>
      </c>
      <c r="I828" s="559" t="str">
        <f t="shared" si="74"/>
        <v/>
      </c>
    </row>
    <row r="829" spans="2:9">
      <c r="B829" s="555" t="str">
        <f t="shared" ref="B829:B840" si="75">IF(I828="","",IF(roundOpt,IF(OR(B828&gt;=nper,ROUND(I828,2)&lt;=0),"",B828+1),IF(OR(B828&gt;=nper,I828&lt;=0),"",B828+1)))</f>
        <v/>
      </c>
      <c r="C829" s="556" t="str">
        <f t="shared" ref="C829:C840" si="76">IF(B829="","",IF(OR(periods_per_year=26,periods_per_year=52),IF(periods_per_year=26,IF(B829=1,fpdate,C828+14),IF(periods_per_year=52,IF(B829=1,fpdate,C828+7),"n/a")),IF(periods_per_year=24,DATE(YEAR(fpdate),MONTH(fpdate)+(B829-1)/2+IF(AND(DAY(fpdate)&gt;=15,MOD(B829,2)=0),1,0),IF(MOD(B829,2)=0,IF(DAY(fpdate)&gt;=15,DAY(fpdate)-14,DAY(fpdate)+14),DAY(fpdate))),IF(DAY(DATE(YEAR(fpdate),MONTH(fpdate)+(B829-1)*months_per_period,DAY(fpdate)))&lt;&gt;DAY(fpdate),DATE(YEAR(fpdate),MONTH(fpdate)+(B829-1)*months_per_period+1,0),DATE(YEAR(fpdate),MONTH(fpdate)+(B829-1)*months_per_period,DAY(fpdate))))))</f>
        <v/>
      </c>
      <c r="D829" s="557" t="str">
        <f t="shared" ref="D829:D840" si="77">IF(B829="","",IF(roundOpt,IF(OR(B829=nper,payment&gt;ROUND((1+rate)*I828,2)),ROUND((1+rate)*I828,2),payment),IF(OR(B829=nper,payment&gt;(1+rate)*I828),(1+rate)*I828,payment)))</f>
        <v/>
      </c>
      <c r="E829" s="560"/>
      <c r="F829" s="559"/>
      <c r="G829" s="559" t="str">
        <f t="shared" ref="G829:G840" si="78">IF(B829="","",IF(AND(B829=1,pmtType=1),0,IF(roundOpt,ROUND(rate*I828,2),rate*I828)))</f>
        <v/>
      </c>
      <c r="H829" s="559" t="str">
        <f t="shared" ref="H829:H840" si="79">IF(B829="","",D829-G829+E829)</f>
        <v/>
      </c>
      <c r="I829" s="559" t="str">
        <f t="shared" ref="I829:I840" si="80">IF(B829="","",I828-H829)</f>
        <v/>
      </c>
    </row>
    <row r="830" spans="2:9">
      <c r="B830" s="555" t="str">
        <f t="shared" si="75"/>
        <v/>
      </c>
      <c r="C830" s="556" t="str">
        <f t="shared" si="76"/>
        <v/>
      </c>
      <c r="D830" s="557" t="str">
        <f t="shared" si="77"/>
        <v/>
      </c>
      <c r="E830" s="560"/>
      <c r="F830" s="559"/>
      <c r="G830" s="559" t="str">
        <f t="shared" si="78"/>
        <v/>
      </c>
      <c r="H830" s="559" t="str">
        <f t="shared" si="79"/>
        <v/>
      </c>
      <c r="I830" s="559" t="str">
        <f t="shared" si="80"/>
        <v/>
      </c>
    </row>
    <row r="831" spans="2:9">
      <c r="B831" s="555" t="str">
        <f t="shared" si="75"/>
        <v/>
      </c>
      <c r="C831" s="556" t="str">
        <f t="shared" si="76"/>
        <v/>
      </c>
      <c r="D831" s="557" t="str">
        <f t="shared" si="77"/>
        <v/>
      </c>
      <c r="E831" s="560"/>
      <c r="F831" s="559"/>
      <c r="G831" s="559" t="str">
        <f t="shared" si="78"/>
        <v/>
      </c>
      <c r="H831" s="559" t="str">
        <f t="shared" si="79"/>
        <v/>
      </c>
      <c r="I831" s="559" t="str">
        <f t="shared" si="80"/>
        <v/>
      </c>
    </row>
    <row r="832" spans="2:9">
      <c r="B832" s="555" t="str">
        <f t="shared" si="75"/>
        <v/>
      </c>
      <c r="C832" s="556" t="str">
        <f t="shared" si="76"/>
        <v/>
      </c>
      <c r="D832" s="557" t="str">
        <f t="shared" si="77"/>
        <v/>
      </c>
      <c r="E832" s="560"/>
      <c r="F832" s="559"/>
      <c r="G832" s="559" t="str">
        <f t="shared" si="78"/>
        <v/>
      </c>
      <c r="H832" s="559" t="str">
        <f t="shared" si="79"/>
        <v/>
      </c>
      <c r="I832" s="559" t="str">
        <f t="shared" si="80"/>
        <v/>
      </c>
    </row>
    <row r="833" spans="2:9">
      <c r="B833" s="555" t="str">
        <f t="shared" si="75"/>
        <v/>
      </c>
      <c r="C833" s="556" t="str">
        <f t="shared" si="76"/>
        <v/>
      </c>
      <c r="D833" s="557" t="str">
        <f t="shared" si="77"/>
        <v/>
      </c>
      <c r="E833" s="560"/>
      <c r="F833" s="559"/>
      <c r="G833" s="559" t="str">
        <f t="shared" si="78"/>
        <v/>
      </c>
      <c r="H833" s="559" t="str">
        <f t="shared" si="79"/>
        <v/>
      </c>
      <c r="I833" s="559" t="str">
        <f t="shared" si="80"/>
        <v/>
      </c>
    </row>
    <row r="834" spans="2:9">
      <c r="B834" s="555" t="str">
        <f t="shared" si="75"/>
        <v/>
      </c>
      <c r="C834" s="556" t="str">
        <f t="shared" si="76"/>
        <v/>
      </c>
      <c r="D834" s="557" t="str">
        <f t="shared" si="77"/>
        <v/>
      </c>
      <c r="E834" s="560"/>
      <c r="F834" s="559"/>
      <c r="G834" s="559" t="str">
        <f t="shared" si="78"/>
        <v/>
      </c>
      <c r="H834" s="559" t="str">
        <f t="shared" si="79"/>
        <v/>
      </c>
      <c r="I834" s="559" t="str">
        <f t="shared" si="80"/>
        <v/>
      </c>
    </row>
    <row r="835" spans="2:9">
      <c r="B835" s="555" t="str">
        <f t="shared" si="75"/>
        <v/>
      </c>
      <c r="C835" s="556" t="str">
        <f t="shared" si="76"/>
        <v/>
      </c>
      <c r="D835" s="557" t="str">
        <f t="shared" si="77"/>
        <v/>
      </c>
      <c r="E835" s="560"/>
      <c r="F835" s="559"/>
      <c r="G835" s="559" t="str">
        <f t="shared" si="78"/>
        <v/>
      </c>
      <c r="H835" s="559" t="str">
        <f t="shared" si="79"/>
        <v/>
      </c>
      <c r="I835" s="559" t="str">
        <f t="shared" si="80"/>
        <v/>
      </c>
    </row>
    <row r="836" spans="2:9">
      <c r="B836" s="555" t="str">
        <f t="shared" si="75"/>
        <v/>
      </c>
      <c r="C836" s="556" t="str">
        <f t="shared" si="76"/>
        <v/>
      </c>
      <c r="D836" s="557" t="str">
        <f t="shared" si="77"/>
        <v/>
      </c>
      <c r="E836" s="560"/>
      <c r="F836" s="559"/>
      <c r="G836" s="559" t="str">
        <f t="shared" si="78"/>
        <v/>
      </c>
      <c r="H836" s="559" t="str">
        <f t="shared" si="79"/>
        <v/>
      </c>
      <c r="I836" s="559" t="str">
        <f t="shared" si="80"/>
        <v/>
      </c>
    </row>
    <row r="837" spans="2:9">
      <c r="B837" s="555" t="str">
        <f t="shared" si="75"/>
        <v/>
      </c>
      <c r="C837" s="556" t="str">
        <f t="shared" si="76"/>
        <v/>
      </c>
      <c r="D837" s="557" t="str">
        <f t="shared" si="77"/>
        <v/>
      </c>
      <c r="E837" s="560"/>
      <c r="F837" s="559"/>
      <c r="G837" s="559" t="str">
        <f t="shared" si="78"/>
        <v/>
      </c>
      <c r="H837" s="559" t="str">
        <f t="shared" si="79"/>
        <v/>
      </c>
      <c r="I837" s="559" t="str">
        <f t="shared" si="80"/>
        <v/>
      </c>
    </row>
    <row r="838" spans="2:9">
      <c r="B838" s="555" t="str">
        <f t="shared" si="75"/>
        <v/>
      </c>
      <c r="C838" s="556" t="str">
        <f t="shared" si="76"/>
        <v/>
      </c>
      <c r="D838" s="557" t="str">
        <f t="shared" si="77"/>
        <v/>
      </c>
      <c r="E838" s="560"/>
      <c r="F838" s="559"/>
      <c r="G838" s="559" t="str">
        <f t="shared" si="78"/>
        <v/>
      </c>
      <c r="H838" s="559" t="str">
        <f t="shared" si="79"/>
        <v/>
      </c>
      <c r="I838" s="559" t="str">
        <f t="shared" si="80"/>
        <v/>
      </c>
    </row>
    <row r="839" spans="2:9">
      <c r="B839" s="555" t="str">
        <f t="shared" si="75"/>
        <v/>
      </c>
      <c r="C839" s="556" t="str">
        <f t="shared" si="76"/>
        <v/>
      </c>
      <c r="D839" s="557" t="str">
        <f t="shared" si="77"/>
        <v/>
      </c>
      <c r="E839" s="560"/>
      <c r="F839" s="559"/>
      <c r="G839" s="559" t="str">
        <f t="shared" si="78"/>
        <v/>
      </c>
      <c r="H839" s="559" t="str">
        <f t="shared" si="79"/>
        <v/>
      </c>
      <c r="I839" s="559" t="str">
        <f t="shared" si="80"/>
        <v/>
      </c>
    </row>
    <row r="840" spans="2:9">
      <c r="B840" s="555" t="str">
        <f t="shared" si="75"/>
        <v/>
      </c>
      <c r="C840" s="556" t="str">
        <f t="shared" si="76"/>
        <v/>
      </c>
      <c r="D840" s="557" t="str">
        <f t="shared" si="77"/>
        <v/>
      </c>
      <c r="E840" s="563"/>
      <c r="F840" s="559"/>
      <c r="G840" s="559" t="str">
        <f t="shared" si="78"/>
        <v/>
      </c>
      <c r="H840" s="559" t="str">
        <f t="shared" si="79"/>
        <v/>
      </c>
      <c r="I840" s="559" t="str">
        <f t="shared" si="80"/>
        <v/>
      </c>
    </row>
    <row r="841" spans="2:9">
      <c r="B841" s="564"/>
      <c r="C841" s="565"/>
      <c r="D841" s="565"/>
      <c r="E841" s="565" t="s">
        <v>712</v>
      </c>
      <c r="F841" s="565"/>
      <c r="G841" s="564"/>
      <c r="H841" s="564"/>
      <c r="I841" s="564"/>
    </row>
  </sheetData>
  <sheetProtection algorithmName="SHA-512" hashValue="VT3ljmuY2v6jFP3E1dRk/exGQXNmy/RMTukW2Yjucy5N0werVzpcmgXWVypsapkD6u5pP/WGN/yOnChgzNEC3g==" saltValue="C5JQMqFCGX7z+w18UmLfMA==" spinCount="100000" sheet="1" formatCells="0" formatColumns="0" formatRows="0"/>
  <conditionalFormatting sqref="B61:I840">
    <cfRule type="expression" dxfId="1" priority="1" stopIfTrue="1">
      <formula>MOD($B61,periods_per_year)=0</formula>
    </cfRule>
  </conditionalFormatting>
  <conditionalFormatting sqref="E11">
    <cfRule type="expression" dxfId="0" priority="2" stopIfTrue="1">
      <formula>compound_period&gt;periods_per_year</formula>
    </cfRule>
  </conditionalFormatting>
  <dataValidations count="3">
    <dataValidation type="list" showInputMessage="1" showErrorMessage="1" sqref="E12">
      <formula1>"End of Period, Beginning of Period"</formula1>
    </dataValidation>
    <dataValidation type="list" showInputMessage="1" showErrorMessage="1" sqref="E13">
      <formula1>"On,Off"</formula1>
    </dataValidation>
    <dataValidation type="list" showInputMessage="1" showErrorMessage="1" sqref="E10:E11">
      <formula1>$J$6:$J$13</formula1>
    </dataValidation>
  </dataValidations>
  <printOptions horizontalCentered="1" headings="1" gridLines="1"/>
  <pageMargins left="0.5" right="0.5" top="0.85" bottom="0.5" header="0.5" footer="0.5"/>
  <pageSetup scale="52" fitToHeight="0" orientation="portrait" cellComments="asDisplayed" r:id="rId1"/>
  <headerFooter>
    <oddHeader>&amp;L&amp;F&amp;RPage &amp;P of &amp;N</oddHeader>
    <oddFooter>&amp;L&amp;A&amp;R&amp;D &amp;T</oddFooter>
    <firstFooter>&amp;R&amp;8Page &amp;P of &amp;N</firstFooter>
  </headerFooter>
  <drawing r:id="rId2"/>
  <legacy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1"/>
  <sheetViews>
    <sheetView view="pageBreakPreview" zoomScaleSheetLayoutView="100" workbookViewId="0"/>
  </sheetViews>
  <sheetFormatPr defaultColWidth="8.85546875" defaultRowHeight="15"/>
  <cols>
    <col min="1" max="1" width="17.140625" style="573" customWidth="1"/>
    <col min="2" max="3" width="16.5703125" style="573" customWidth="1"/>
    <col min="4" max="4" width="14.5703125" style="573" customWidth="1"/>
    <col min="5" max="5" width="16.5703125" style="573" customWidth="1"/>
    <col min="6" max="6" width="12.7109375" style="573" customWidth="1"/>
    <col min="7" max="7" width="16.5703125" style="573" customWidth="1"/>
    <col min="8" max="16384" width="8.85546875" style="573"/>
  </cols>
  <sheetData>
    <row r="1" spans="1:7" ht="15.75">
      <c r="A1" s="570" t="s">
        <v>735</v>
      </c>
      <c r="B1" s="570"/>
      <c r="C1" s="570"/>
      <c r="D1" s="570"/>
      <c r="E1" s="571"/>
      <c r="F1" s="572"/>
    </row>
    <row r="2" spans="1:7" ht="15.75">
      <c r="A2" s="574" t="s">
        <v>39</v>
      </c>
      <c r="B2" s="575">
        <f>Dashboard!M28</f>
        <v>0</v>
      </c>
      <c r="C2" s="576"/>
      <c r="D2" s="576"/>
      <c r="E2" s="576"/>
      <c r="F2" s="572"/>
    </row>
    <row r="3" spans="1:7" ht="15.75">
      <c r="A3" s="574" t="s">
        <v>40</v>
      </c>
      <c r="B3" s="577">
        <f>Dashboard!F15</f>
        <v>3.7499999999999999E-2</v>
      </c>
      <c r="C3" s="571"/>
      <c r="D3" s="571"/>
      <c r="E3" s="571"/>
      <c r="F3" s="572"/>
    </row>
    <row r="4" spans="1:7" ht="15.75">
      <c r="A4" s="574" t="s">
        <v>41</v>
      </c>
      <c r="B4" s="575">
        <f>Dashboard!M31</f>
        <v>0</v>
      </c>
      <c r="C4" s="578"/>
      <c r="D4" s="571"/>
      <c r="E4" s="571"/>
      <c r="F4" s="572"/>
    </row>
    <row r="5" spans="1:7" ht="15.75">
      <c r="A5" s="579" t="s">
        <v>42</v>
      </c>
      <c r="B5" s="579" t="s">
        <v>43</v>
      </c>
      <c r="C5" s="579" t="s">
        <v>44</v>
      </c>
      <c r="D5" s="580" t="s">
        <v>45</v>
      </c>
      <c r="E5" s="580" t="s">
        <v>46</v>
      </c>
      <c r="F5" s="581" t="s">
        <v>47</v>
      </c>
    </row>
    <row r="6" spans="1:7" ht="15.75">
      <c r="A6" s="581">
        <v>1</v>
      </c>
      <c r="B6" s="582">
        <f>B2</f>
        <v>0</v>
      </c>
      <c r="C6" s="582"/>
      <c r="D6" s="582">
        <f>+B6*$B$3*0.5</f>
        <v>0</v>
      </c>
      <c r="E6" s="583"/>
      <c r="F6" s="584">
        <f>Dashboard!E15</f>
        <v>2032</v>
      </c>
      <c r="G6" s="603" t="s">
        <v>719</v>
      </c>
    </row>
    <row r="7" spans="1:7" ht="15.75">
      <c r="A7" s="581"/>
      <c r="B7" s="571">
        <f t="shared" ref="B7:B67" si="0">B6-C6</f>
        <v>0</v>
      </c>
      <c r="C7" s="571" t="e">
        <f>+B6/$B$4</f>
        <v>#DIV/0!</v>
      </c>
      <c r="D7" s="571">
        <f>+D6</f>
        <v>0</v>
      </c>
      <c r="E7" s="571" t="e">
        <f>SUM(C6:D7)</f>
        <v>#DIV/0!</v>
      </c>
      <c r="F7" s="585">
        <f>+F6</f>
        <v>2032</v>
      </c>
      <c r="G7" s="602" t="e">
        <f>SUM(E7)</f>
        <v>#DIV/0!</v>
      </c>
    </row>
    <row r="8" spans="1:7" ht="15.75">
      <c r="A8" s="581">
        <v>2</v>
      </c>
      <c r="B8" s="582" t="e">
        <f>B7-C7</f>
        <v>#DIV/0!</v>
      </c>
      <c r="C8" s="582"/>
      <c r="D8" s="582" t="e">
        <f>+B8*$B$3*0.5</f>
        <v>#DIV/0!</v>
      </c>
      <c r="E8" s="583"/>
      <c r="F8" s="586">
        <f>+F6+1</f>
        <v>2033</v>
      </c>
    </row>
    <row r="9" spans="1:7" ht="15.75">
      <c r="A9" s="581"/>
      <c r="B9" s="571" t="e">
        <f>B8-C8</f>
        <v>#DIV/0!</v>
      </c>
      <c r="C9" s="571" t="e">
        <f>+C7</f>
        <v>#DIV/0!</v>
      </c>
      <c r="D9" s="571" t="e">
        <f>+D8</f>
        <v>#DIV/0!</v>
      </c>
      <c r="E9" s="571">
        <f>IF($B$4&gt;1,SUM(C8:D9),0)</f>
        <v>0</v>
      </c>
      <c r="F9" s="585">
        <f>+F8</f>
        <v>2033</v>
      </c>
    </row>
    <row r="10" spans="1:7" ht="15.75">
      <c r="A10" s="581">
        <v>3</v>
      </c>
      <c r="B10" s="582" t="e">
        <f t="shared" si="0"/>
        <v>#DIV/0!</v>
      </c>
      <c r="C10" s="582"/>
      <c r="D10" s="582" t="e">
        <f>+B10*$B$3*0.5</f>
        <v>#DIV/0!</v>
      </c>
      <c r="E10" s="583"/>
      <c r="F10" s="586">
        <f>+F8+1</f>
        <v>2034</v>
      </c>
    </row>
    <row r="11" spans="1:7" ht="15.75">
      <c r="A11" s="581"/>
      <c r="B11" s="571" t="e">
        <f t="shared" si="0"/>
        <v>#DIV/0!</v>
      </c>
      <c r="C11" s="571" t="e">
        <f>+C9</f>
        <v>#DIV/0!</v>
      </c>
      <c r="D11" s="571" t="e">
        <f>+D10</f>
        <v>#DIV/0!</v>
      </c>
      <c r="E11" s="571">
        <f>IF($B$4&gt;2,SUM(C10:D11),0)</f>
        <v>0</v>
      </c>
      <c r="F11" s="585">
        <f>+F10</f>
        <v>2034</v>
      </c>
    </row>
    <row r="12" spans="1:7" ht="15.75">
      <c r="A12" s="581">
        <v>4</v>
      </c>
      <c r="B12" s="582" t="e">
        <f t="shared" si="0"/>
        <v>#DIV/0!</v>
      </c>
      <c r="C12" s="582"/>
      <c r="D12" s="582" t="e">
        <f>+B12*$B$3*0.5</f>
        <v>#DIV/0!</v>
      </c>
      <c r="E12" s="583"/>
      <c r="F12" s="586">
        <f>+F10+1</f>
        <v>2035</v>
      </c>
    </row>
    <row r="13" spans="1:7" ht="15.75">
      <c r="A13" s="581"/>
      <c r="B13" s="571" t="e">
        <f t="shared" si="0"/>
        <v>#DIV/0!</v>
      </c>
      <c r="C13" s="571" t="e">
        <f t="shared" ref="C13:C43" si="1">C11</f>
        <v>#DIV/0!</v>
      </c>
      <c r="D13" s="571" t="e">
        <f>+D12</f>
        <v>#DIV/0!</v>
      </c>
      <c r="E13" s="571">
        <f>IF($B$4&gt;3,SUM(C12:D13),0)</f>
        <v>0</v>
      </c>
      <c r="F13" s="585">
        <f>+F12</f>
        <v>2035</v>
      </c>
    </row>
    <row r="14" spans="1:7" ht="15.75">
      <c r="A14" s="581">
        <v>5</v>
      </c>
      <c r="B14" s="582" t="e">
        <f t="shared" si="0"/>
        <v>#DIV/0!</v>
      </c>
      <c r="C14" s="582"/>
      <c r="D14" s="582" t="e">
        <f>+B14*$B$3*0.5</f>
        <v>#DIV/0!</v>
      </c>
      <c r="E14" s="583"/>
      <c r="F14" s="586">
        <f>+F12+1</f>
        <v>2036</v>
      </c>
    </row>
    <row r="15" spans="1:7" ht="15.75">
      <c r="A15" s="581"/>
      <c r="B15" s="571" t="e">
        <f t="shared" si="0"/>
        <v>#DIV/0!</v>
      </c>
      <c r="C15" s="571" t="e">
        <f t="shared" si="1"/>
        <v>#DIV/0!</v>
      </c>
      <c r="D15" s="571" t="e">
        <f>+D14</f>
        <v>#DIV/0!</v>
      </c>
      <c r="E15" s="571">
        <f>IF($B$4&gt;4,SUM(C14:D15),0)</f>
        <v>0</v>
      </c>
      <c r="F15" s="585">
        <f>+F14</f>
        <v>2036</v>
      </c>
    </row>
    <row r="16" spans="1:7" ht="15.75">
      <c r="A16" s="581">
        <v>6</v>
      </c>
      <c r="B16" s="582" t="e">
        <f t="shared" si="0"/>
        <v>#DIV/0!</v>
      </c>
      <c r="C16" s="582"/>
      <c r="D16" s="582" t="e">
        <f>+B16*$B$3*0.5</f>
        <v>#DIV/0!</v>
      </c>
      <c r="E16" s="583"/>
      <c r="F16" s="586">
        <f>+F14+1</f>
        <v>2037</v>
      </c>
    </row>
    <row r="17" spans="1:6" ht="15.75">
      <c r="A17" s="581"/>
      <c r="B17" s="571" t="e">
        <f t="shared" si="0"/>
        <v>#DIV/0!</v>
      </c>
      <c r="C17" s="571" t="e">
        <f t="shared" si="1"/>
        <v>#DIV/0!</v>
      </c>
      <c r="D17" s="571" t="e">
        <f>+D16</f>
        <v>#DIV/0!</v>
      </c>
      <c r="E17" s="571">
        <f>IF($B$4&gt;5,SUM(C16:D17),0)</f>
        <v>0</v>
      </c>
      <c r="F17" s="585">
        <f>+F16</f>
        <v>2037</v>
      </c>
    </row>
    <row r="18" spans="1:6" ht="15.75">
      <c r="A18" s="581">
        <v>7</v>
      </c>
      <c r="B18" s="582" t="e">
        <f t="shared" si="0"/>
        <v>#DIV/0!</v>
      </c>
      <c r="C18" s="582"/>
      <c r="D18" s="582" t="e">
        <f>+B18*$B$3*0.5</f>
        <v>#DIV/0!</v>
      </c>
      <c r="E18" s="583"/>
      <c r="F18" s="586">
        <f>+F16+1</f>
        <v>2038</v>
      </c>
    </row>
    <row r="19" spans="1:6" ht="15.75">
      <c r="A19" s="581"/>
      <c r="B19" s="571" t="e">
        <f t="shared" si="0"/>
        <v>#DIV/0!</v>
      </c>
      <c r="C19" s="571" t="e">
        <f t="shared" si="1"/>
        <v>#DIV/0!</v>
      </c>
      <c r="D19" s="571" t="e">
        <f>+D18</f>
        <v>#DIV/0!</v>
      </c>
      <c r="E19" s="571">
        <f>IF($B$4&gt;6,SUM(C18:D19),0)</f>
        <v>0</v>
      </c>
      <c r="F19" s="585">
        <f>+F18</f>
        <v>2038</v>
      </c>
    </row>
    <row r="20" spans="1:6" ht="15.75">
      <c r="A20" s="581">
        <v>8</v>
      </c>
      <c r="B20" s="582" t="e">
        <f t="shared" si="0"/>
        <v>#DIV/0!</v>
      </c>
      <c r="C20" s="582"/>
      <c r="D20" s="582" t="e">
        <f>+B20*$B$3*0.5</f>
        <v>#DIV/0!</v>
      </c>
      <c r="E20" s="583"/>
      <c r="F20" s="586">
        <f>+F18+1</f>
        <v>2039</v>
      </c>
    </row>
    <row r="21" spans="1:6" ht="15.75">
      <c r="A21" s="581"/>
      <c r="B21" s="571" t="e">
        <f t="shared" si="0"/>
        <v>#DIV/0!</v>
      </c>
      <c r="C21" s="571" t="e">
        <f t="shared" si="1"/>
        <v>#DIV/0!</v>
      </c>
      <c r="D21" s="571" t="e">
        <f>+D20</f>
        <v>#DIV/0!</v>
      </c>
      <c r="E21" s="571">
        <f>IF($B$4&gt;7,SUM(C20:D21),0)</f>
        <v>0</v>
      </c>
      <c r="F21" s="585">
        <f>+F20</f>
        <v>2039</v>
      </c>
    </row>
    <row r="22" spans="1:6" ht="15.75">
      <c r="A22" s="581">
        <v>9</v>
      </c>
      <c r="B22" s="582" t="e">
        <f t="shared" si="0"/>
        <v>#DIV/0!</v>
      </c>
      <c r="C22" s="582"/>
      <c r="D22" s="582" t="e">
        <f>+B22*$B$3*0.5</f>
        <v>#DIV/0!</v>
      </c>
      <c r="E22" s="583"/>
      <c r="F22" s="586">
        <f>+F20+1</f>
        <v>2040</v>
      </c>
    </row>
    <row r="23" spans="1:6" ht="15.75">
      <c r="A23" s="581"/>
      <c r="B23" s="571" t="e">
        <f t="shared" si="0"/>
        <v>#DIV/0!</v>
      </c>
      <c r="C23" s="571" t="e">
        <f t="shared" si="1"/>
        <v>#DIV/0!</v>
      </c>
      <c r="D23" s="571" t="e">
        <f>+D22</f>
        <v>#DIV/0!</v>
      </c>
      <c r="E23" s="571">
        <f>IF($B$4&gt;8,SUM(C22:D23),0)</f>
        <v>0</v>
      </c>
      <c r="F23" s="585">
        <f>+F22</f>
        <v>2040</v>
      </c>
    </row>
    <row r="24" spans="1:6" ht="15.75">
      <c r="A24" s="581">
        <v>10</v>
      </c>
      <c r="B24" s="582" t="e">
        <f t="shared" si="0"/>
        <v>#DIV/0!</v>
      </c>
      <c r="C24" s="582"/>
      <c r="D24" s="582" t="e">
        <f>+B24*$B$3*0.5</f>
        <v>#DIV/0!</v>
      </c>
      <c r="E24" s="583"/>
      <c r="F24" s="586">
        <f>+F22+1</f>
        <v>2041</v>
      </c>
    </row>
    <row r="25" spans="1:6" ht="15.75">
      <c r="A25" s="581"/>
      <c r="B25" s="571" t="e">
        <f t="shared" si="0"/>
        <v>#DIV/0!</v>
      </c>
      <c r="C25" s="571" t="e">
        <f t="shared" si="1"/>
        <v>#DIV/0!</v>
      </c>
      <c r="D25" s="571" t="e">
        <f>+D24</f>
        <v>#DIV/0!</v>
      </c>
      <c r="E25" s="571">
        <f>IF($B$4&gt;9,SUM(C24:D25),0)</f>
        <v>0</v>
      </c>
      <c r="F25" s="585">
        <f>+F24</f>
        <v>2041</v>
      </c>
    </row>
    <row r="26" spans="1:6" ht="15.75">
      <c r="A26" s="581">
        <v>11</v>
      </c>
      <c r="B26" s="582" t="e">
        <f t="shared" si="0"/>
        <v>#DIV/0!</v>
      </c>
      <c r="C26" s="582"/>
      <c r="D26" s="582" t="e">
        <f>+B26*$B$3*0.5</f>
        <v>#DIV/0!</v>
      </c>
      <c r="E26" s="583"/>
      <c r="F26" s="586">
        <f>+F24+1</f>
        <v>2042</v>
      </c>
    </row>
    <row r="27" spans="1:6" ht="15.75">
      <c r="A27" s="581"/>
      <c r="B27" s="571" t="e">
        <f t="shared" si="0"/>
        <v>#DIV/0!</v>
      </c>
      <c r="C27" s="571" t="e">
        <f t="shared" si="1"/>
        <v>#DIV/0!</v>
      </c>
      <c r="D27" s="571" t="e">
        <f>+D26</f>
        <v>#DIV/0!</v>
      </c>
      <c r="E27" s="571">
        <f>IF($B$4&gt;10,SUM(C26:D27),0)</f>
        <v>0</v>
      </c>
      <c r="F27" s="585">
        <f>+F26</f>
        <v>2042</v>
      </c>
    </row>
    <row r="28" spans="1:6" ht="15.75">
      <c r="A28" s="581">
        <v>12</v>
      </c>
      <c r="B28" s="582" t="e">
        <f t="shared" si="0"/>
        <v>#DIV/0!</v>
      </c>
      <c r="C28" s="582"/>
      <c r="D28" s="582" t="e">
        <f>+B28*$B$3*0.5</f>
        <v>#DIV/0!</v>
      </c>
      <c r="E28" s="583"/>
      <c r="F28" s="586">
        <f>+F26+1</f>
        <v>2043</v>
      </c>
    </row>
    <row r="29" spans="1:6" ht="15.75">
      <c r="A29" s="581"/>
      <c r="B29" s="571" t="e">
        <f t="shared" si="0"/>
        <v>#DIV/0!</v>
      </c>
      <c r="C29" s="571" t="e">
        <f>+C27</f>
        <v>#DIV/0!</v>
      </c>
      <c r="D29" s="571" t="e">
        <f>+D28</f>
        <v>#DIV/0!</v>
      </c>
      <c r="E29" s="571">
        <f>IF($B$4&gt;11,SUM(C28:D29),0)</f>
        <v>0</v>
      </c>
      <c r="F29" s="585">
        <f>+F28</f>
        <v>2043</v>
      </c>
    </row>
    <row r="30" spans="1:6" ht="15.75">
      <c r="A30" s="581">
        <v>13</v>
      </c>
      <c r="B30" s="582" t="e">
        <f t="shared" si="0"/>
        <v>#DIV/0!</v>
      </c>
      <c r="C30" s="582"/>
      <c r="D30" s="582" t="e">
        <f>+B30*$B$3*0.5</f>
        <v>#DIV/0!</v>
      </c>
      <c r="E30" s="583"/>
      <c r="F30" s="586">
        <f>+F28+1</f>
        <v>2044</v>
      </c>
    </row>
    <row r="31" spans="1:6" ht="15.75">
      <c r="A31" s="581"/>
      <c r="B31" s="571" t="e">
        <f t="shared" si="0"/>
        <v>#DIV/0!</v>
      </c>
      <c r="C31" s="571" t="e">
        <f t="shared" si="1"/>
        <v>#DIV/0!</v>
      </c>
      <c r="D31" s="571" t="e">
        <f>+D30</f>
        <v>#DIV/0!</v>
      </c>
      <c r="E31" s="571">
        <f>IF($B$4&gt;12,SUM(C30:D31),0)</f>
        <v>0</v>
      </c>
      <c r="F31" s="585">
        <f>+F30</f>
        <v>2044</v>
      </c>
    </row>
    <row r="32" spans="1:6" ht="15.75">
      <c r="A32" s="581">
        <v>14</v>
      </c>
      <c r="B32" s="582" t="e">
        <f t="shared" si="0"/>
        <v>#DIV/0!</v>
      </c>
      <c r="C32" s="582"/>
      <c r="D32" s="582" t="e">
        <f>+B32*$B$3*0.5</f>
        <v>#DIV/0!</v>
      </c>
      <c r="E32" s="583"/>
      <c r="F32" s="586">
        <f>+F30+1</f>
        <v>2045</v>
      </c>
    </row>
    <row r="33" spans="1:7" ht="15.75">
      <c r="A33" s="581"/>
      <c r="B33" s="571" t="e">
        <f t="shared" si="0"/>
        <v>#DIV/0!</v>
      </c>
      <c r="C33" s="571" t="e">
        <f>+C31</f>
        <v>#DIV/0!</v>
      </c>
      <c r="D33" s="571" t="e">
        <f>+D32</f>
        <v>#DIV/0!</v>
      </c>
      <c r="E33" s="571">
        <f>IF($B$4&gt;13,SUM(C32:D33),0)</f>
        <v>0</v>
      </c>
      <c r="F33" s="585">
        <f>+F32</f>
        <v>2045</v>
      </c>
    </row>
    <row r="34" spans="1:7" ht="15.75">
      <c r="A34" s="581">
        <v>15</v>
      </c>
      <c r="B34" s="582" t="e">
        <f t="shared" si="0"/>
        <v>#DIV/0!</v>
      </c>
      <c r="C34" s="582"/>
      <c r="D34" s="582" t="e">
        <f>+B34*$B$3*0.5</f>
        <v>#DIV/0!</v>
      </c>
      <c r="E34" s="583"/>
      <c r="F34" s="586">
        <f>+F32+1</f>
        <v>2046</v>
      </c>
    </row>
    <row r="35" spans="1:7" ht="15.75">
      <c r="A35" s="581"/>
      <c r="B35" s="571" t="e">
        <f t="shared" si="0"/>
        <v>#DIV/0!</v>
      </c>
      <c r="C35" s="571" t="e">
        <f t="shared" si="1"/>
        <v>#DIV/0!</v>
      </c>
      <c r="D35" s="571" t="e">
        <f>+D34</f>
        <v>#DIV/0!</v>
      </c>
      <c r="E35" s="571">
        <f>IF($B$4&gt;14,SUM(C34:D35),0)</f>
        <v>0</v>
      </c>
      <c r="F35" s="585">
        <f>+F34</f>
        <v>2046</v>
      </c>
    </row>
    <row r="36" spans="1:7" ht="15.75">
      <c r="A36" s="581">
        <v>16</v>
      </c>
      <c r="B36" s="582" t="e">
        <f t="shared" si="0"/>
        <v>#DIV/0!</v>
      </c>
      <c r="C36" s="582"/>
      <c r="D36" s="582" t="e">
        <f>+B36*$B$3*0.5</f>
        <v>#DIV/0!</v>
      </c>
      <c r="E36" s="583"/>
      <c r="F36" s="586">
        <f>+F34+1</f>
        <v>2047</v>
      </c>
    </row>
    <row r="37" spans="1:7" ht="15.75">
      <c r="A37" s="581"/>
      <c r="B37" s="571" t="e">
        <f t="shared" si="0"/>
        <v>#DIV/0!</v>
      </c>
      <c r="C37" s="571" t="e">
        <f>+C35</f>
        <v>#DIV/0!</v>
      </c>
      <c r="D37" s="571" t="e">
        <f>+D36</f>
        <v>#DIV/0!</v>
      </c>
      <c r="E37" s="571">
        <f>IF($B$4&gt;15,SUM(C36:D37),0)</f>
        <v>0</v>
      </c>
      <c r="F37" s="585">
        <f>+F36</f>
        <v>2047</v>
      </c>
    </row>
    <row r="38" spans="1:7" ht="15.75">
      <c r="A38" s="581">
        <v>17</v>
      </c>
      <c r="B38" s="582" t="e">
        <f t="shared" si="0"/>
        <v>#DIV/0!</v>
      </c>
      <c r="C38" s="582"/>
      <c r="D38" s="582" t="e">
        <f>+B38*$B$3*0.5</f>
        <v>#DIV/0!</v>
      </c>
      <c r="E38" s="583"/>
      <c r="F38" s="586">
        <f>+F36+1</f>
        <v>2048</v>
      </c>
    </row>
    <row r="39" spans="1:7" ht="15.75">
      <c r="A39" s="581"/>
      <c r="B39" s="571" t="e">
        <f t="shared" si="0"/>
        <v>#DIV/0!</v>
      </c>
      <c r="C39" s="571" t="e">
        <f t="shared" si="1"/>
        <v>#DIV/0!</v>
      </c>
      <c r="D39" s="571" t="e">
        <f>+D38</f>
        <v>#DIV/0!</v>
      </c>
      <c r="E39" s="571">
        <f>IF($B$4&gt;16,SUM(C38:D39),0)</f>
        <v>0</v>
      </c>
      <c r="F39" s="585">
        <f>+F38</f>
        <v>2048</v>
      </c>
    </row>
    <row r="40" spans="1:7" ht="15.75">
      <c r="A40" s="581">
        <v>18</v>
      </c>
      <c r="B40" s="582" t="e">
        <f t="shared" si="0"/>
        <v>#DIV/0!</v>
      </c>
      <c r="C40" s="582"/>
      <c r="D40" s="582" t="e">
        <f>+B40*$B$3*0.5</f>
        <v>#DIV/0!</v>
      </c>
      <c r="E40" s="583"/>
      <c r="F40" s="586">
        <f>+F38+1</f>
        <v>2049</v>
      </c>
    </row>
    <row r="41" spans="1:7" ht="15.75">
      <c r="A41" s="581"/>
      <c r="B41" s="571" t="e">
        <f t="shared" si="0"/>
        <v>#DIV/0!</v>
      </c>
      <c r="C41" s="571" t="e">
        <f t="shared" si="1"/>
        <v>#DIV/0!</v>
      </c>
      <c r="D41" s="571" t="e">
        <f>+D40</f>
        <v>#DIV/0!</v>
      </c>
      <c r="E41" s="571">
        <f>IF($B$4&gt;17,SUM(C40:D41),0)</f>
        <v>0</v>
      </c>
      <c r="F41" s="585">
        <f>+F40</f>
        <v>2049</v>
      </c>
    </row>
    <row r="42" spans="1:7" ht="15.75">
      <c r="A42" s="581">
        <v>19</v>
      </c>
      <c r="B42" s="582" t="e">
        <f t="shared" si="0"/>
        <v>#DIV/0!</v>
      </c>
      <c r="C42" s="582"/>
      <c r="D42" s="582" t="e">
        <f>+B42*$B$3*0.5</f>
        <v>#DIV/0!</v>
      </c>
      <c r="E42" s="583"/>
      <c r="F42" s="586">
        <f>+F40+1</f>
        <v>2050</v>
      </c>
    </row>
    <row r="43" spans="1:7" ht="15.75">
      <c r="A43" s="581"/>
      <c r="B43" s="571" t="e">
        <f t="shared" si="0"/>
        <v>#DIV/0!</v>
      </c>
      <c r="C43" s="571" t="e">
        <f t="shared" si="1"/>
        <v>#DIV/0!</v>
      </c>
      <c r="D43" s="571" t="e">
        <f>+D42</f>
        <v>#DIV/0!</v>
      </c>
      <c r="E43" s="571">
        <f>IF($B$4&gt;18,SUM(C42:D43),0)</f>
        <v>0</v>
      </c>
      <c r="F43" s="585">
        <f>+F42</f>
        <v>2050</v>
      </c>
    </row>
    <row r="44" spans="1:7" ht="15.75">
      <c r="A44" s="581">
        <v>20</v>
      </c>
      <c r="B44" s="582" t="e">
        <f t="shared" si="0"/>
        <v>#DIV/0!</v>
      </c>
      <c r="C44" s="582"/>
      <c r="D44" s="582" t="e">
        <f>+B44*$B$3*0.5</f>
        <v>#DIV/0!</v>
      </c>
      <c r="E44" s="583"/>
      <c r="F44" s="586">
        <f>+F42+1</f>
        <v>2051</v>
      </c>
    </row>
    <row r="45" spans="1:7" ht="15.75">
      <c r="A45" s="581"/>
      <c r="B45" s="571" t="e">
        <f>ROUND(B44-C44,0)</f>
        <v>#DIV/0!</v>
      </c>
      <c r="C45" s="571" t="e">
        <f>ROUND(C43,0)</f>
        <v>#DIV/0!</v>
      </c>
      <c r="D45" s="571" t="e">
        <f>+D44</f>
        <v>#DIV/0!</v>
      </c>
      <c r="E45" s="571">
        <f>IF($B$4&gt;19,SUM(C44:D45),0)</f>
        <v>0</v>
      </c>
      <c r="F45" s="585">
        <f>+F44</f>
        <v>2051</v>
      </c>
      <c r="G45" s="587"/>
    </row>
    <row r="46" spans="1:7" ht="15.75">
      <c r="A46" s="581">
        <v>21</v>
      </c>
      <c r="B46" s="582" t="e">
        <f t="shared" si="0"/>
        <v>#DIV/0!</v>
      </c>
      <c r="C46" s="582"/>
      <c r="D46" s="582" t="e">
        <f>+B46*$B$3*0.5</f>
        <v>#DIV/0!</v>
      </c>
      <c r="E46" s="583"/>
      <c r="F46" s="586">
        <f>+F44+1</f>
        <v>2052</v>
      </c>
    </row>
    <row r="47" spans="1:7" ht="15.75">
      <c r="A47" s="571"/>
      <c r="B47" s="571" t="e">
        <f t="shared" si="0"/>
        <v>#DIV/0!</v>
      </c>
      <c r="C47" s="571" t="e">
        <f>IF($B$4=20,0,+C45)</f>
        <v>#DIV/0!</v>
      </c>
      <c r="D47" s="571" t="e">
        <f>+D46</f>
        <v>#DIV/0!</v>
      </c>
      <c r="E47" s="571">
        <f>IF($B$4&gt;20,SUM(C46:D47),0)</f>
        <v>0</v>
      </c>
      <c r="F47" s="585">
        <f>+F46</f>
        <v>2052</v>
      </c>
    </row>
    <row r="48" spans="1:7" ht="15.75">
      <c r="A48" s="581">
        <v>22</v>
      </c>
      <c r="B48" s="582" t="e">
        <f t="shared" si="0"/>
        <v>#DIV/0!</v>
      </c>
      <c r="C48" s="582"/>
      <c r="D48" s="582" t="e">
        <f>+B48*$B$3*0.5</f>
        <v>#DIV/0!</v>
      </c>
      <c r="E48" s="583"/>
      <c r="F48" s="586">
        <f>+F46+1</f>
        <v>2053</v>
      </c>
    </row>
    <row r="49" spans="1:6" ht="15.75">
      <c r="A49" s="571"/>
      <c r="B49" s="571" t="e">
        <f t="shared" si="0"/>
        <v>#DIV/0!</v>
      </c>
      <c r="C49" s="571" t="e">
        <f>+C47</f>
        <v>#DIV/0!</v>
      </c>
      <c r="D49" s="571" t="e">
        <f>+D48</f>
        <v>#DIV/0!</v>
      </c>
      <c r="E49" s="571">
        <f>IF($B$4&gt;21,SUM(C48:D49),0)</f>
        <v>0</v>
      </c>
      <c r="F49" s="585">
        <f>+F48</f>
        <v>2053</v>
      </c>
    </row>
    <row r="50" spans="1:6" ht="15.75">
      <c r="A50" s="581">
        <v>23</v>
      </c>
      <c r="B50" s="582" t="e">
        <f t="shared" si="0"/>
        <v>#DIV/0!</v>
      </c>
      <c r="C50" s="582"/>
      <c r="D50" s="582" t="e">
        <f>+B50*$B$3*0.5</f>
        <v>#DIV/0!</v>
      </c>
      <c r="E50" s="583"/>
      <c r="F50" s="586">
        <f>+F48+1</f>
        <v>2054</v>
      </c>
    </row>
    <row r="51" spans="1:6" ht="15.75">
      <c r="A51" s="571"/>
      <c r="B51" s="571" t="e">
        <f t="shared" si="0"/>
        <v>#DIV/0!</v>
      </c>
      <c r="C51" s="571" t="e">
        <f>+C49</f>
        <v>#DIV/0!</v>
      </c>
      <c r="D51" s="571" t="e">
        <f>+D50</f>
        <v>#DIV/0!</v>
      </c>
      <c r="E51" s="571">
        <f>IF($B$4&gt;22,SUM(C50:D51),0)</f>
        <v>0</v>
      </c>
      <c r="F51" s="585">
        <f>+F50</f>
        <v>2054</v>
      </c>
    </row>
    <row r="52" spans="1:6" ht="15.75">
      <c r="A52" s="581">
        <v>24</v>
      </c>
      <c r="B52" s="582" t="e">
        <f t="shared" si="0"/>
        <v>#DIV/0!</v>
      </c>
      <c r="C52" s="582"/>
      <c r="D52" s="582" t="e">
        <f>+B52*$B$3*0.5</f>
        <v>#DIV/0!</v>
      </c>
      <c r="E52" s="583"/>
      <c r="F52" s="586">
        <f>+F50+1</f>
        <v>2055</v>
      </c>
    </row>
    <row r="53" spans="1:6" ht="15.75">
      <c r="A53" s="571"/>
      <c r="B53" s="571" t="e">
        <f t="shared" si="0"/>
        <v>#DIV/0!</v>
      </c>
      <c r="C53" s="571" t="e">
        <f>+C51</f>
        <v>#DIV/0!</v>
      </c>
      <c r="D53" s="571" t="e">
        <f>+D52</f>
        <v>#DIV/0!</v>
      </c>
      <c r="E53" s="571">
        <f>IF($B$4&gt;23,SUM(C52:D53),0)</f>
        <v>0</v>
      </c>
      <c r="F53" s="585">
        <f>+F52</f>
        <v>2055</v>
      </c>
    </row>
    <row r="54" spans="1:6" ht="15.75">
      <c r="A54" s="581">
        <v>25</v>
      </c>
      <c r="B54" s="582" t="e">
        <f t="shared" si="0"/>
        <v>#DIV/0!</v>
      </c>
      <c r="C54" s="582"/>
      <c r="D54" s="582" t="e">
        <f>+B54*$B$3*0.5</f>
        <v>#DIV/0!</v>
      </c>
      <c r="E54" s="583"/>
      <c r="F54" s="586">
        <f>+F52+1</f>
        <v>2056</v>
      </c>
    </row>
    <row r="55" spans="1:6" ht="15.75">
      <c r="A55" s="571"/>
      <c r="B55" s="571" t="e">
        <f t="shared" si="0"/>
        <v>#DIV/0!</v>
      </c>
      <c r="C55" s="571" t="e">
        <f>+C53</f>
        <v>#DIV/0!</v>
      </c>
      <c r="D55" s="571" t="e">
        <f>+D54</f>
        <v>#DIV/0!</v>
      </c>
      <c r="E55" s="571">
        <f>IF($B$4&gt;24,SUM(C54:D55),0)</f>
        <v>0</v>
      </c>
      <c r="F55" s="585">
        <f>+F54</f>
        <v>2056</v>
      </c>
    </row>
    <row r="56" spans="1:6" ht="15.75">
      <c r="A56" s="581">
        <v>26</v>
      </c>
      <c r="B56" s="582" t="e">
        <f t="shared" si="0"/>
        <v>#DIV/0!</v>
      </c>
      <c r="C56" s="582"/>
      <c r="D56" s="582" t="e">
        <f>+B56*$B$3*0.5</f>
        <v>#DIV/0!</v>
      </c>
      <c r="E56" s="583"/>
      <c r="F56" s="586">
        <f>+F54+1</f>
        <v>2057</v>
      </c>
    </row>
    <row r="57" spans="1:6" ht="15.75">
      <c r="A57" s="571"/>
      <c r="B57" s="571" t="e">
        <f t="shared" si="0"/>
        <v>#DIV/0!</v>
      </c>
      <c r="C57" s="571" t="e">
        <f>+C55</f>
        <v>#DIV/0!</v>
      </c>
      <c r="D57" s="571" t="e">
        <f>+D56</f>
        <v>#DIV/0!</v>
      </c>
      <c r="E57" s="571">
        <f>IF($B$4&gt;25,SUM(C56:D57),0)</f>
        <v>0</v>
      </c>
      <c r="F57" s="585">
        <f>+F56</f>
        <v>2057</v>
      </c>
    </row>
    <row r="58" spans="1:6" ht="15.75">
      <c r="A58" s="581">
        <v>27</v>
      </c>
      <c r="B58" s="582" t="e">
        <f>B57-C57</f>
        <v>#DIV/0!</v>
      </c>
      <c r="C58" s="582"/>
      <c r="D58" s="582" t="e">
        <f>+B58*$B$3*0.5</f>
        <v>#DIV/0!</v>
      </c>
      <c r="E58" s="583"/>
      <c r="F58" s="586">
        <f>+F56+1</f>
        <v>2058</v>
      </c>
    </row>
    <row r="59" spans="1:6" ht="15.75">
      <c r="A59" s="571"/>
      <c r="B59" s="571" t="e">
        <f t="shared" si="0"/>
        <v>#DIV/0!</v>
      </c>
      <c r="C59" s="571" t="e">
        <f>+C57</f>
        <v>#DIV/0!</v>
      </c>
      <c r="D59" s="571" t="e">
        <f>+D58</f>
        <v>#DIV/0!</v>
      </c>
      <c r="E59" s="571">
        <f>IF($B$4&gt;26,SUM(C58:D59),0)</f>
        <v>0</v>
      </c>
      <c r="F59" s="585">
        <f>+F58</f>
        <v>2058</v>
      </c>
    </row>
    <row r="60" spans="1:6" ht="15.75">
      <c r="A60" s="581">
        <v>28</v>
      </c>
      <c r="B60" s="582" t="e">
        <f t="shared" si="0"/>
        <v>#DIV/0!</v>
      </c>
      <c r="C60" s="582"/>
      <c r="D60" s="582" t="e">
        <f>+B60*$B$3*0.5</f>
        <v>#DIV/0!</v>
      </c>
      <c r="E60" s="583"/>
      <c r="F60" s="586">
        <f>+F58+1</f>
        <v>2059</v>
      </c>
    </row>
    <row r="61" spans="1:6" ht="15.75">
      <c r="A61" s="571"/>
      <c r="B61" s="571" t="e">
        <f t="shared" si="0"/>
        <v>#DIV/0!</v>
      </c>
      <c r="C61" s="571" t="e">
        <f>+C59</f>
        <v>#DIV/0!</v>
      </c>
      <c r="D61" s="571" t="e">
        <f>+D60</f>
        <v>#DIV/0!</v>
      </c>
      <c r="E61" s="571">
        <f>IF($B$4&gt;27,SUM(C60:D61),0)</f>
        <v>0</v>
      </c>
      <c r="F61" s="585">
        <f>+F60</f>
        <v>2059</v>
      </c>
    </row>
    <row r="62" spans="1:6" ht="15.75">
      <c r="A62" s="581">
        <v>29</v>
      </c>
      <c r="B62" s="582" t="e">
        <f t="shared" si="0"/>
        <v>#DIV/0!</v>
      </c>
      <c r="C62" s="582"/>
      <c r="D62" s="582" t="e">
        <f>+B62*$B$3*0.5</f>
        <v>#DIV/0!</v>
      </c>
      <c r="E62" s="583"/>
      <c r="F62" s="586">
        <f>+F60+1</f>
        <v>2060</v>
      </c>
    </row>
    <row r="63" spans="1:6" ht="15.75">
      <c r="A63" s="571"/>
      <c r="B63" s="571" t="e">
        <f t="shared" si="0"/>
        <v>#DIV/0!</v>
      </c>
      <c r="C63" s="571" t="e">
        <f>+C61</f>
        <v>#DIV/0!</v>
      </c>
      <c r="D63" s="571" t="e">
        <f>+D62</f>
        <v>#DIV/0!</v>
      </c>
      <c r="E63" s="571">
        <f>IF($B$4&gt;28,SUM(C62:D63),0)</f>
        <v>0</v>
      </c>
      <c r="F63" s="585">
        <f>+F62</f>
        <v>2060</v>
      </c>
    </row>
    <row r="64" spans="1:6" ht="15.75">
      <c r="A64" s="581">
        <v>30</v>
      </c>
      <c r="B64" s="582" t="e">
        <f>IF($B$4=29,0,B63-C63)</f>
        <v>#DIV/0!</v>
      </c>
      <c r="C64" s="582"/>
      <c r="D64" s="582" t="e">
        <f>+B64*$B$3*0.5</f>
        <v>#DIV/0!</v>
      </c>
      <c r="E64" s="583"/>
      <c r="F64" s="586">
        <f>+F62+1</f>
        <v>2061</v>
      </c>
    </row>
    <row r="65" spans="1:7" ht="15.75">
      <c r="A65" s="571"/>
      <c r="B65" s="571" t="e">
        <f>B64-C64</f>
        <v>#DIV/0!</v>
      </c>
      <c r="C65" s="571" t="e">
        <f>IF($B$4=29,0,C63)</f>
        <v>#DIV/0!</v>
      </c>
      <c r="D65" s="571" t="e">
        <f>+D64</f>
        <v>#DIV/0!</v>
      </c>
      <c r="E65" s="571">
        <f>IF($B$4&gt;29,SUM(C64:D65),0)</f>
        <v>0</v>
      </c>
      <c r="F65" s="585">
        <f>+F64</f>
        <v>2061</v>
      </c>
    </row>
    <row r="66" spans="1:7" ht="15.75">
      <c r="A66" s="581">
        <v>31</v>
      </c>
      <c r="B66" s="582" t="e">
        <f>B65-C65</f>
        <v>#DIV/0!</v>
      </c>
      <c r="C66" s="582"/>
      <c r="D66" s="582" t="e">
        <f>+B66*$B$3*0.5</f>
        <v>#DIV/0!</v>
      </c>
      <c r="E66" s="583"/>
      <c r="F66" s="586">
        <f>+F64+1</f>
        <v>2062</v>
      </c>
    </row>
    <row r="67" spans="1:7" ht="15.75">
      <c r="A67" s="571"/>
      <c r="B67" s="588" t="e">
        <f t="shared" si="0"/>
        <v>#DIV/0!</v>
      </c>
      <c r="C67" s="588"/>
      <c r="D67" s="588" t="e">
        <f>+D66</f>
        <v>#DIV/0!</v>
      </c>
      <c r="E67" s="588">
        <f>IF($B$4&gt;30,SUM(C66:D67),0)</f>
        <v>0</v>
      </c>
      <c r="F67" s="589">
        <f>+F66</f>
        <v>2062</v>
      </c>
      <c r="G67" s="590"/>
    </row>
    <row r="68" spans="1:7" ht="15.75">
      <c r="A68" s="571"/>
      <c r="B68" s="571"/>
      <c r="C68" s="570" t="e">
        <f>SUM(C6:C67)</f>
        <v>#DIV/0!</v>
      </c>
      <c r="D68" s="570" t="e">
        <f>SUM(D6:D67)</f>
        <v>#DIV/0!</v>
      </c>
      <c r="E68" s="598">
        <f>SUM(E26:E65)</f>
        <v>0</v>
      </c>
      <c r="F68" s="571"/>
    </row>
    <row r="69" spans="1:7" ht="15.75">
      <c r="A69" s="571"/>
      <c r="B69" s="571"/>
      <c r="C69" s="570"/>
      <c r="D69" s="570"/>
      <c r="E69" s="598"/>
      <c r="F69" s="571"/>
    </row>
    <row r="70" spans="1:7" ht="18.75">
      <c r="C70" s="599"/>
      <c r="D70" s="600" t="s">
        <v>718</v>
      </c>
      <c r="E70" s="601">
        <f>SUM(E8:E67)</f>
        <v>0</v>
      </c>
    </row>
    <row r="71" spans="1:7">
      <c r="D71" s="591"/>
      <c r="E71" s="592"/>
    </row>
  </sheetData>
  <sheetProtection algorithmName="SHA-512" hashValue="9Y7NLj/P8fBftdysXKst/aTKGqnzlrfmOUmBtITO2diKm9IqyVBmhydI44H3h4qOtC0jhlN6mnwkC9bwrhQumg==" saltValue="ZmpD7G8hHnsA4fYgB3hfdQ==" spinCount="100000" sheet="1" objects="1" scenarios="1"/>
  <printOptions headings="1" gridLines="1"/>
  <pageMargins left="0.7" right="0.7" top="0.75" bottom="0.75" header="0.3" footer="0.3"/>
  <pageSetup scale="79" orientation="portrait" r:id="rId1"/>
  <headerFooter>
    <oddHeader>&amp;L&amp;F&amp;RPage &amp;P of &amp;N</oddHeader>
    <oddFooter>&amp;L&amp;A&amp;R&amp;D &amp;T</oddFooter>
  </headerFooter>
  <rowBreaks count="1" manualBreakCount="1">
    <brk id="45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V1478"/>
  <sheetViews>
    <sheetView view="pageBreakPreview" zoomScale="75" zoomScaleNormal="75" zoomScaleSheetLayoutView="75" workbookViewId="0">
      <pane ySplit="1" topLeftCell="A20" activePane="bottomLeft" state="frozen"/>
      <selection pane="bottomLeft" activeCell="A4" sqref="A4"/>
    </sheetView>
  </sheetViews>
  <sheetFormatPr defaultColWidth="13" defaultRowHeight="15"/>
  <cols>
    <col min="1" max="1" width="50.28515625" style="9" customWidth="1"/>
    <col min="2" max="20" width="15.140625" style="9" hidden="1" customWidth="1"/>
    <col min="21" max="21" width="1.28515625" style="9" hidden="1" customWidth="1"/>
    <col min="22" max="22" width="13.28515625" style="9" hidden="1" customWidth="1"/>
    <col min="23" max="23" width="18.7109375" style="9" hidden="1" customWidth="1"/>
    <col min="24" max="24" width="20.5703125" style="9" hidden="1" customWidth="1"/>
    <col min="25" max="25" width="14.85546875" style="9" hidden="1" customWidth="1"/>
    <col min="26" max="26" width="14.42578125" style="9" hidden="1" customWidth="1"/>
    <col min="27" max="27" width="14.85546875" style="9" customWidth="1"/>
    <col min="28" max="28" width="15.28515625" style="9" bestFit="1" customWidth="1"/>
    <col min="29" max="29" width="14.7109375" style="9" bestFit="1" customWidth="1"/>
    <col min="30" max="30" width="16.28515625" style="9" customWidth="1"/>
    <col min="31" max="31" width="15.85546875" style="9" customWidth="1"/>
    <col min="32" max="37" width="15.42578125" style="9" customWidth="1"/>
    <col min="38" max="39" width="12.7109375" style="9" customWidth="1"/>
    <col min="40" max="60" width="15.42578125" style="9" customWidth="1"/>
    <col min="61" max="62" width="13" style="9"/>
    <col min="63" max="63" width="17.85546875" style="9" customWidth="1"/>
    <col min="64" max="64" width="13" style="9"/>
    <col min="65" max="65" width="25.28515625" style="9" customWidth="1"/>
    <col min="66" max="16384" width="13" style="9"/>
  </cols>
  <sheetData>
    <row r="1" spans="1:78" ht="18">
      <c r="A1" s="250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AJ1" s="251"/>
      <c r="AK1" s="252"/>
      <c r="AL1" s="251"/>
      <c r="AM1" s="251"/>
      <c r="AN1" s="251"/>
      <c r="AO1" s="251"/>
      <c r="AP1" s="251"/>
      <c r="AQ1" s="251"/>
    </row>
    <row r="3" spans="1:78" ht="42" thickBot="1">
      <c r="A3" s="760" t="s">
        <v>576</v>
      </c>
      <c r="B3" s="761"/>
      <c r="C3" s="761"/>
      <c r="D3" s="761"/>
      <c r="E3" s="761"/>
      <c r="F3" s="761"/>
      <c r="G3" s="761"/>
      <c r="H3" s="761"/>
      <c r="I3" s="761"/>
      <c r="J3" s="761"/>
      <c r="K3" s="761"/>
      <c r="L3" s="761"/>
      <c r="M3" s="761"/>
      <c r="N3" s="761"/>
      <c r="O3" s="761"/>
      <c r="P3" s="761"/>
      <c r="Q3" s="761"/>
      <c r="R3" s="761"/>
      <c r="S3" s="761"/>
      <c r="T3" s="761"/>
      <c r="U3" s="761"/>
      <c r="V3" s="761"/>
      <c r="W3" s="761"/>
      <c r="X3" s="761"/>
      <c r="Y3" s="761"/>
      <c r="Z3" s="761"/>
      <c r="AA3" s="761"/>
      <c r="AB3" s="761"/>
      <c r="AC3" s="761"/>
      <c r="AD3" s="762"/>
      <c r="AE3" s="762"/>
      <c r="AF3" s="762"/>
      <c r="AG3" s="762"/>
      <c r="AH3" s="762"/>
      <c r="AI3" s="762"/>
      <c r="AJ3" s="762"/>
      <c r="AK3" s="762"/>
      <c r="AL3" s="762"/>
    </row>
    <row r="4" spans="1:78" ht="16.5" thickTop="1">
      <c r="A4" s="10"/>
      <c r="B4" s="10"/>
      <c r="AC4" s="253"/>
    </row>
    <row r="5" spans="1:78" ht="18">
      <c r="A5" s="254"/>
      <c r="B5" s="255" t="s">
        <v>93</v>
      </c>
      <c r="C5" s="256" t="s">
        <v>0</v>
      </c>
      <c r="D5" s="256" t="s">
        <v>0</v>
      </c>
      <c r="E5" s="256" t="s">
        <v>0</v>
      </c>
      <c r="F5" s="256" t="s">
        <v>0</v>
      </c>
      <c r="G5" s="256" t="s">
        <v>0</v>
      </c>
      <c r="H5" s="256" t="s">
        <v>0</v>
      </c>
      <c r="I5" s="256" t="s">
        <v>0</v>
      </c>
      <c r="J5" s="256" t="s">
        <v>0</v>
      </c>
      <c r="K5" s="256" t="s">
        <v>0</v>
      </c>
      <c r="L5" s="256" t="s">
        <v>0</v>
      </c>
      <c r="M5" s="256" t="s">
        <v>0</v>
      </c>
      <c r="N5" s="256" t="s">
        <v>0</v>
      </c>
      <c r="O5" s="256" t="s">
        <v>0</v>
      </c>
      <c r="P5" s="256" t="s">
        <v>0</v>
      </c>
      <c r="Q5" s="256" t="s">
        <v>0</v>
      </c>
      <c r="R5" s="256" t="s">
        <v>0</v>
      </c>
      <c r="S5" s="256" t="s">
        <v>0</v>
      </c>
      <c r="T5" s="256" t="s">
        <v>0</v>
      </c>
      <c r="U5" s="256" t="s">
        <v>0</v>
      </c>
      <c r="V5" s="256" t="s">
        <v>0</v>
      </c>
      <c r="W5" s="256" t="s">
        <v>0</v>
      </c>
      <c r="X5" s="256" t="s">
        <v>0</v>
      </c>
      <c r="Y5" s="256" t="s">
        <v>0</v>
      </c>
      <c r="Z5" s="256" t="s">
        <v>0</v>
      </c>
      <c r="AA5" s="256" t="s">
        <v>0</v>
      </c>
      <c r="AB5" s="256" t="s">
        <v>0</v>
      </c>
      <c r="AC5" s="257" t="s">
        <v>0</v>
      </c>
      <c r="AD5" s="256" t="s">
        <v>0</v>
      </c>
      <c r="AE5" s="256" t="s">
        <v>0</v>
      </c>
      <c r="AF5" s="256" t="s">
        <v>0</v>
      </c>
      <c r="AG5" s="256" t="s">
        <v>0</v>
      </c>
      <c r="AH5" s="256" t="s">
        <v>0</v>
      </c>
      <c r="AI5" s="256" t="s">
        <v>0</v>
      </c>
      <c r="AJ5" s="256" t="s">
        <v>0</v>
      </c>
      <c r="AK5" s="256" t="s">
        <v>0</v>
      </c>
      <c r="AL5" s="256" t="s">
        <v>0</v>
      </c>
      <c r="AM5" s="256" t="s">
        <v>0</v>
      </c>
      <c r="AN5" s="256" t="s">
        <v>0</v>
      </c>
      <c r="AO5" s="256" t="s">
        <v>0</v>
      </c>
      <c r="AP5" s="256" t="s">
        <v>0</v>
      </c>
      <c r="AQ5" s="256" t="s">
        <v>0</v>
      </c>
    </row>
    <row r="6" spans="1:78" ht="18">
      <c r="A6" s="250"/>
      <c r="B6" s="251" t="s">
        <v>94</v>
      </c>
      <c r="C6" s="251" t="s">
        <v>95</v>
      </c>
      <c r="D6" s="251" t="s">
        <v>96</v>
      </c>
      <c r="E6" s="251" t="s">
        <v>97</v>
      </c>
      <c r="F6" s="251" t="s">
        <v>98</v>
      </c>
      <c r="G6" s="251" t="s">
        <v>99</v>
      </c>
      <c r="H6" s="251" t="s">
        <v>100</v>
      </c>
      <c r="I6" s="251" t="s">
        <v>101</v>
      </c>
      <c r="J6" s="251" t="s">
        <v>102</v>
      </c>
      <c r="K6" s="251" t="s">
        <v>103</v>
      </c>
      <c r="L6" s="251" t="s">
        <v>104</v>
      </c>
      <c r="M6" s="251" t="s">
        <v>105</v>
      </c>
      <c r="N6" s="251" t="s">
        <v>106</v>
      </c>
      <c r="O6" s="251" t="s">
        <v>107</v>
      </c>
      <c r="P6" s="251" t="s">
        <v>108</v>
      </c>
      <c r="Q6" s="251" t="s">
        <v>109</v>
      </c>
      <c r="R6" s="251" t="s">
        <v>110</v>
      </c>
      <c r="S6" s="251" t="s">
        <v>111</v>
      </c>
      <c r="T6" s="251" t="s">
        <v>112</v>
      </c>
      <c r="U6" s="251" t="s">
        <v>113</v>
      </c>
      <c r="V6" s="251" t="s">
        <v>114</v>
      </c>
      <c r="W6" s="251" t="s">
        <v>115</v>
      </c>
      <c r="X6" s="251" t="s">
        <v>116</v>
      </c>
      <c r="Y6" s="251" t="s">
        <v>117</v>
      </c>
      <c r="Z6" s="251" t="s">
        <v>1</v>
      </c>
      <c r="AA6" s="251" t="s">
        <v>2</v>
      </c>
      <c r="AB6" s="251" t="s">
        <v>3</v>
      </c>
      <c r="AC6" s="258" t="s">
        <v>4</v>
      </c>
      <c r="AD6" s="251" t="s">
        <v>5</v>
      </c>
      <c r="AE6" s="251" t="s">
        <v>6</v>
      </c>
      <c r="AF6" s="251" t="s">
        <v>7</v>
      </c>
      <c r="AG6" s="251" t="s">
        <v>8</v>
      </c>
      <c r="AH6" s="251" t="s">
        <v>118</v>
      </c>
      <c r="AI6" s="251" t="s">
        <v>119</v>
      </c>
      <c r="AJ6" s="251" t="s">
        <v>120</v>
      </c>
      <c r="AK6" s="251" t="s">
        <v>121</v>
      </c>
      <c r="AL6" s="251" t="s">
        <v>122</v>
      </c>
      <c r="AM6" s="251" t="s">
        <v>123</v>
      </c>
      <c r="AN6" s="251" t="s">
        <v>124</v>
      </c>
      <c r="AO6" s="251" t="s">
        <v>125</v>
      </c>
      <c r="AP6" s="251" t="s">
        <v>126</v>
      </c>
      <c r="AQ6" s="251" t="s">
        <v>127</v>
      </c>
    </row>
    <row r="7" spans="1:78" ht="15.75">
      <c r="A7" s="259" t="s">
        <v>577</v>
      </c>
      <c r="B7" s="259"/>
      <c r="Q7" s="10"/>
      <c r="R7" s="10"/>
      <c r="S7" s="10"/>
      <c r="T7" s="10"/>
      <c r="U7" s="10"/>
      <c r="V7" s="10"/>
      <c r="W7" s="10"/>
      <c r="X7" s="10"/>
      <c r="Y7" s="10"/>
      <c r="Z7" s="10"/>
      <c r="AC7" s="260"/>
    </row>
    <row r="8" spans="1:78" ht="15.75">
      <c r="A8" s="10" t="s">
        <v>9</v>
      </c>
      <c r="B8" s="261">
        <f>DATE(98,2,15)</f>
        <v>35841</v>
      </c>
      <c r="C8" s="10">
        <v>0</v>
      </c>
      <c r="D8" s="10">
        <f>AF422</f>
        <v>630000</v>
      </c>
      <c r="E8" s="10">
        <f>AF424</f>
        <v>432073</v>
      </c>
      <c r="F8" s="10">
        <f>AF426</f>
        <v>420992.5</v>
      </c>
      <c r="G8" s="10">
        <f>AF428</f>
        <v>411732.5</v>
      </c>
      <c r="H8" s="10">
        <f>AF430</f>
        <v>398232.5</v>
      </c>
      <c r="I8" s="10">
        <f>AF432</f>
        <v>385182.5</v>
      </c>
      <c r="J8" s="10">
        <f>AF434</f>
        <v>365057.5</v>
      </c>
      <c r="K8" s="10">
        <f>AF436</f>
        <v>356565</v>
      </c>
      <c r="L8" s="10">
        <f>AF438</f>
        <v>352965</v>
      </c>
      <c r="M8" s="10">
        <f>AF440</f>
        <v>364055</v>
      </c>
      <c r="N8" s="10">
        <f>AF442</f>
        <v>344215</v>
      </c>
      <c r="O8" s="10">
        <f>AF444</f>
        <v>329670</v>
      </c>
      <c r="P8" s="10">
        <f>AF446</f>
        <v>0</v>
      </c>
      <c r="Q8" s="10">
        <f>235000+19418.75+17068.75</f>
        <v>271487.5</v>
      </c>
      <c r="R8" s="10">
        <f>250500+18761.63+16466.63+7706.25+7706.25</f>
        <v>301140.76</v>
      </c>
      <c r="S8" s="10">
        <f>30000+214200+39941</f>
        <v>284141</v>
      </c>
      <c r="T8" s="10">
        <f>209100+26297</f>
        <v>235397</v>
      </c>
      <c r="U8" s="10">
        <f>204000+21650</f>
        <v>225650</v>
      </c>
      <c r="V8" s="10">
        <f>198900+35000+16868.25+6950</f>
        <v>257718.25</v>
      </c>
      <c r="W8" s="10">
        <f>196350+30000+5550+11437</f>
        <v>243337</v>
      </c>
      <c r="X8" s="10">
        <f>191250+30000+4350+5623</f>
        <v>231223</v>
      </c>
      <c r="Y8" s="10">
        <f>91800+30000+3150+1377</f>
        <v>126327</v>
      </c>
      <c r="Z8" s="10">
        <f>31950</f>
        <v>31950</v>
      </c>
      <c r="AA8" s="10">
        <v>30750</v>
      </c>
      <c r="AC8" s="260"/>
    </row>
    <row r="9" spans="1:78" ht="15.75">
      <c r="A9" s="10" t="s">
        <v>10</v>
      </c>
      <c r="B9" s="261">
        <f>DATE(2002,4,1)</f>
        <v>37347</v>
      </c>
      <c r="C9" s="10"/>
      <c r="D9" s="10"/>
      <c r="E9" s="10">
        <f>AF529</f>
        <v>0</v>
      </c>
      <c r="F9" s="10"/>
      <c r="G9" s="10">
        <v>1053375</v>
      </c>
      <c r="H9" s="10">
        <v>1508100</v>
      </c>
      <c r="I9" s="10">
        <v>5026642</v>
      </c>
      <c r="J9" s="10">
        <f>883496.91*2+1948439</f>
        <v>3715432.8200000003</v>
      </c>
      <c r="K9" s="10">
        <f>AF537</f>
        <v>3639056.26</v>
      </c>
      <c r="L9" s="10">
        <f>AF539</f>
        <v>3561056.26</v>
      </c>
      <c r="M9" s="10">
        <f>AF541</f>
        <v>3483056.26</v>
      </c>
      <c r="N9" s="10">
        <f>AF543</f>
        <v>3414806.26</v>
      </c>
      <c r="O9" s="10">
        <f>AF545</f>
        <v>3327056.26</v>
      </c>
      <c r="P9" s="10">
        <f>AF547</f>
        <v>3229556.26</v>
      </c>
      <c r="Q9" s="10">
        <f>AF551</f>
        <v>3034556.26</v>
      </c>
      <c r="R9" s="10">
        <f>AF553</f>
        <v>2944243.76</v>
      </c>
      <c r="S9" s="10">
        <f>2080000+289937.5+289937.5</f>
        <v>2659875</v>
      </c>
      <c r="T9" s="10">
        <f>2020000+269137.5+269137.5</f>
        <v>2558275</v>
      </c>
      <c r="U9" s="10">
        <v>2452875</v>
      </c>
      <c r="V9" s="10">
        <v>2344675</v>
      </c>
      <c r="W9" s="10">
        <v>2242675</v>
      </c>
      <c r="X9" s="10">
        <v>2136675</v>
      </c>
      <c r="Y9" s="10">
        <v>2041875</v>
      </c>
      <c r="Z9" s="10">
        <v>1942876</v>
      </c>
      <c r="AA9" s="10">
        <v>1839875</v>
      </c>
      <c r="AC9" s="26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</row>
    <row r="10" spans="1:78" ht="15.75">
      <c r="A10" s="10" t="s">
        <v>11</v>
      </c>
      <c r="B10" s="262" t="s">
        <v>128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>
        <f>350000+128625*2</f>
        <v>607250</v>
      </c>
      <c r="R10" s="10">
        <f>350000+123375*2</f>
        <v>596750</v>
      </c>
      <c r="S10" s="10">
        <f>350000+118125*2</f>
        <v>586250</v>
      </c>
      <c r="T10" s="10">
        <f>350000+112875*2</f>
        <v>575750</v>
      </c>
      <c r="U10" s="10">
        <f>350000+105000*2</f>
        <v>560000</v>
      </c>
      <c r="V10" s="10">
        <f>350000+99750*2</f>
        <v>549500</v>
      </c>
      <c r="W10" s="10">
        <f>350000+94500*2</f>
        <v>539000</v>
      </c>
      <c r="X10" s="10">
        <f>350000+89250*2</f>
        <v>528500</v>
      </c>
      <c r="Y10" s="10">
        <v>492383</v>
      </c>
      <c r="Z10" s="10">
        <f>402504+54708</f>
        <v>457212</v>
      </c>
      <c r="AA10" s="10">
        <f>393129.54+46246.99</f>
        <v>439376.52999999997</v>
      </c>
      <c r="AB10" s="10">
        <f>383778.99+37808.69</f>
        <v>421587.68</v>
      </c>
      <c r="AC10" s="263">
        <f>378902.69+29281.34</f>
        <v>408184.03</v>
      </c>
      <c r="AD10" s="10">
        <f>373047.34+20687.19</f>
        <v>393734.53</v>
      </c>
      <c r="AE10" s="10">
        <f>366234.19+12048.51</f>
        <v>378282.7</v>
      </c>
      <c r="AF10" s="10">
        <f>357595.51+8593.04</f>
        <v>366188.55</v>
      </c>
      <c r="AG10" s="10">
        <f>347015.04+5208.82</f>
        <v>352223.86</v>
      </c>
      <c r="AH10" s="10">
        <f>336506.82+1895.84</f>
        <v>338402.66000000003</v>
      </c>
      <c r="AI10" s="10">
        <v>191479.84</v>
      </c>
      <c r="AJ10" s="10"/>
      <c r="AK10" s="10"/>
      <c r="AL10" s="10"/>
      <c r="AM10" s="10"/>
      <c r="AN10" s="10"/>
      <c r="AO10" s="10"/>
    </row>
    <row r="11" spans="1:78" ht="15.75">
      <c r="A11" s="10" t="s">
        <v>12</v>
      </c>
      <c r="B11" s="261">
        <f>DATE(2002,4,1)</f>
        <v>37347</v>
      </c>
      <c r="C11" s="10"/>
      <c r="D11" s="10"/>
      <c r="E11" s="10">
        <f>AF532</f>
        <v>0</v>
      </c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>
        <f>830000+286912.5*2</f>
        <v>1403825</v>
      </c>
      <c r="R11" s="10">
        <f>815000+270075*2</f>
        <v>1355150</v>
      </c>
      <c r="S11" s="10">
        <f>815000+257850*2</f>
        <v>1330700</v>
      </c>
      <c r="T11" s="10">
        <f>810000+245625*2</f>
        <v>1301250</v>
      </c>
      <c r="U11" s="10">
        <f>810000+227400*2</f>
        <v>1264800</v>
      </c>
      <c r="V11" s="10">
        <f>810000+215250*2</f>
        <v>1240500</v>
      </c>
      <c r="W11" s="10">
        <f>810000+203100*2</f>
        <v>1216200</v>
      </c>
      <c r="X11" s="10">
        <f>810000+190950*2</f>
        <v>1191900</v>
      </c>
      <c r="Y11" s="10">
        <v>1128839</v>
      </c>
      <c r="Z11" s="10">
        <f>927635+122735</f>
        <v>1050370</v>
      </c>
      <c r="AA11" s="10">
        <f>905940.34+103154.2</f>
        <v>1009094.5399999999</v>
      </c>
      <c r="AB11" s="10">
        <f>884298.2+83625.6</f>
        <v>967923.79999999993</v>
      </c>
      <c r="AC11" s="263">
        <f>877886.6+63769.07</f>
        <v>941655.66999999993</v>
      </c>
      <c r="AD11" s="10">
        <f>864252.07+43757</f>
        <v>908009.07</v>
      </c>
      <c r="AE11" s="10">
        <f>848389+23641.22</f>
        <v>872030.22</v>
      </c>
      <c r="AF11" s="10">
        <f>828273.22+15594.9</f>
        <v>843868.12</v>
      </c>
      <c r="AG11" s="10">
        <f>803635.9+7714.69</f>
        <v>811350.59</v>
      </c>
      <c r="AH11" s="10">
        <v>779163.49</v>
      </c>
      <c r="AI11" s="10"/>
      <c r="AJ11" s="10"/>
      <c r="AK11" s="10"/>
      <c r="AL11" s="10"/>
      <c r="AM11" s="10"/>
      <c r="AN11" s="10"/>
      <c r="AO11" s="10"/>
    </row>
    <row r="12" spans="1:78" ht="15.75">
      <c r="A12" s="10" t="s">
        <v>13</v>
      </c>
      <c r="B12" s="261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>
        <f>+AF266</f>
        <v>206348</v>
      </c>
      <c r="T12" s="10">
        <f>+AF268</f>
        <v>204377</v>
      </c>
      <c r="U12" s="10">
        <f>+AF270</f>
        <v>240276</v>
      </c>
      <c r="V12" s="10">
        <f>+AF272</f>
        <v>104970.88</v>
      </c>
      <c r="W12" s="10">
        <f>+AF274</f>
        <v>102214.91999999998</v>
      </c>
      <c r="X12" s="10">
        <f>+AF276</f>
        <v>98830.32</v>
      </c>
      <c r="Y12" s="10">
        <f>AF278</f>
        <v>95445.72</v>
      </c>
      <c r="Z12" s="10">
        <f>AF280</f>
        <v>92061.119999999995</v>
      </c>
      <c r="AA12" s="10">
        <f>AF282</f>
        <v>88676.51999999999</v>
      </c>
      <c r="AB12" s="10">
        <f>AF284</f>
        <v>85291.919999999984</v>
      </c>
      <c r="AC12" s="263">
        <f>AF286</f>
        <v>81907.320000000007</v>
      </c>
      <c r="AD12" s="10">
        <f>AF288</f>
        <v>78522.720000000001</v>
      </c>
      <c r="AE12" s="10">
        <f>AF290</f>
        <v>75815.040000000008</v>
      </c>
      <c r="AF12" s="10">
        <f>AF292</f>
        <v>73107.359999999986</v>
      </c>
      <c r="AG12" s="10">
        <f>AF294</f>
        <v>70399.679999999993</v>
      </c>
      <c r="AH12" s="10">
        <f>AF296</f>
        <v>0</v>
      </c>
      <c r="AI12" s="10"/>
      <c r="AJ12" s="10"/>
      <c r="AK12" s="10"/>
      <c r="AL12" s="10"/>
      <c r="AM12" s="10"/>
      <c r="AN12" s="10"/>
      <c r="AO12" s="10"/>
    </row>
    <row r="13" spans="1:78" ht="15.75">
      <c r="A13" s="10" t="s">
        <v>14</v>
      </c>
      <c r="B13" s="261">
        <f>DATE(2002,4,1)</f>
        <v>37347</v>
      </c>
      <c r="C13" s="10"/>
      <c r="D13" s="10"/>
      <c r="E13" s="10">
        <f>AF533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264"/>
      <c r="R13" s="10"/>
      <c r="S13" s="264">
        <f>+AF203+23325</f>
        <v>63325</v>
      </c>
      <c r="T13" s="10">
        <f>+AF205+22875</f>
        <v>358984.55</v>
      </c>
      <c r="U13" s="10">
        <f>+AF207+22200</f>
        <v>2694419.0999999996</v>
      </c>
      <c r="V13" s="264">
        <f>+AF209</f>
        <v>2867497.65</v>
      </c>
      <c r="W13" s="264">
        <f>+AF211</f>
        <v>2801696.8200000003</v>
      </c>
      <c r="X13" s="10">
        <f>+AF213</f>
        <v>2608162.38</v>
      </c>
      <c r="Y13" s="10">
        <v>2555123</v>
      </c>
      <c r="Z13" s="10">
        <v>2478856</v>
      </c>
      <c r="AA13" s="10">
        <f>+AF219+AK219+14504+1750.36+1387.76</f>
        <v>2405412.4399999995</v>
      </c>
      <c r="AB13" s="10">
        <f>+AF221+AK221+14466+1387.76+1026.11</f>
        <v>2331973.0499999998</v>
      </c>
      <c r="AC13" s="263">
        <f>+AF223+AK223+9746+1026.11+782.46</f>
        <v>2253970.59</v>
      </c>
      <c r="AD13" s="10">
        <f>+AF225+AK225+9822+782.46+536.91</f>
        <v>2180880.25</v>
      </c>
      <c r="AE13" s="10">
        <f>+AF227+AK227+9873+536.91+290.08</f>
        <v>2125630.1500000004</v>
      </c>
      <c r="AF13" s="10">
        <f>+AF229+AK229+9873+290.08+191.35</f>
        <v>2067009.5500000003</v>
      </c>
      <c r="AG13" s="10">
        <f>+AF231+AK231+9669+191.35+94.66</f>
        <v>2008335.09</v>
      </c>
      <c r="AH13" s="10">
        <f>+AF233+AK233+9466+94.66</f>
        <v>1947357.7</v>
      </c>
      <c r="AI13" s="10">
        <f>+AF235</f>
        <v>1893432</v>
      </c>
      <c r="AJ13" s="10">
        <f>+AF237</f>
        <v>1849816.7999999998</v>
      </c>
      <c r="AK13" s="10">
        <f>+AF239</f>
        <v>1804384.2800000003</v>
      </c>
      <c r="AL13" s="10">
        <f>+AF241</f>
        <v>1757134.48</v>
      </c>
      <c r="AM13" s="10">
        <f>AF243</f>
        <v>1706955.4</v>
      </c>
      <c r="AN13" s="10">
        <f>AF245</f>
        <v>1657925.8199999998</v>
      </c>
      <c r="AO13" s="264">
        <f>AF247</f>
        <v>1607080.3399999999</v>
      </c>
      <c r="AP13" s="265">
        <f>AF249</f>
        <v>1556234.8599999999</v>
      </c>
      <c r="AQ13" s="265">
        <f>AF251</f>
        <v>1505389.38</v>
      </c>
      <c r="AR13" s="9" t="s">
        <v>37</v>
      </c>
    </row>
    <row r="14" spans="1:78">
      <c r="C14" s="266"/>
      <c r="D14" s="266"/>
      <c r="E14" s="266"/>
      <c r="F14" s="266"/>
      <c r="G14" s="266"/>
      <c r="H14" s="266"/>
      <c r="I14" s="266"/>
      <c r="J14" s="266"/>
      <c r="K14" s="266"/>
      <c r="L14" s="266"/>
      <c r="M14" s="266"/>
      <c r="N14" s="266"/>
      <c r="O14" s="266"/>
      <c r="P14" s="266"/>
      <c r="R14" s="266"/>
      <c r="T14" s="266"/>
      <c r="U14" s="266"/>
      <c r="X14" s="266"/>
      <c r="Y14" s="266"/>
      <c r="Z14" s="266"/>
      <c r="AA14" s="266"/>
      <c r="AB14" s="266"/>
      <c r="AC14" s="267"/>
      <c r="AD14" s="266"/>
      <c r="AE14" s="266"/>
      <c r="AF14" s="266"/>
      <c r="AG14" s="266"/>
      <c r="AH14" s="266"/>
      <c r="AI14" s="266"/>
      <c r="AJ14" s="266"/>
      <c r="AK14" s="266"/>
      <c r="AL14" s="266"/>
      <c r="AM14" s="266"/>
      <c r="AN14" s="266"/>
    </row>
    <row r="15" spans="1:78" ht="15.75" thickBot="1">
      <c r="A15" s="11" t="s">
        <v>578</v>
      </c>
      <c r="B15" s="11"/>
      <c r="C15" s="9">
        <f>SUM(C8:C9)</f>
        <v>0</v>
      </c>
      <c r="D15" s="9">
        <f t="shared" ref="D15:AQ15" si="0">SUM(D8:D13)</f>
        <v>630000</v>
      </c>
      <c r="E15" s="9">
        <f t="shared" si="0"/>
        <v>432073</v>
      </c>
      <c r="F15" s="9">
        <f t="shared" si="0"/>
        <v>420992.5</v>
      </c>
      <c r="G15" s="9">
        <f t="shared" si="0"/>
        <v>1465107.5</v>
      </c>
      <c r="H15" s="9">
        <f t="shared" si="0"/>
        <v>1906332.5</v>
      </c>
      <c r="I15" s="9">
        <f t="shared" si="0"/>
        <v>5411824.5</v>
      </c>
      <c r="J15" s="9">
        <f t="shared" si="0"/>
        <v>4080490.3200000003</v>
      </c>
      <c r="K15" s="9">
        <f t="shared" si="0"/>
        <v>3995621.26</v>
      </c>
      <c r="L15" s="9">
        <f t="shared" si="0"/>
        <v>3914021.26</v>
      </c>
      <c r="M15" s="9">
        <f t="shared" si="0"/>
        <v>3847111.26</v>
      </c>
      <c r="N15" s="9">
        <f t="shared" si="0"/>
        <v>3759021.26</v>
      </c>
      <c r="O15" s="9">
        <f t="shared" si="0"/>
        <v>3656726.26</v>
      </c>
      <c r="P15" s="9">
        <f t="shared" si="0"/>
        <v>3229556.26</v>
      </c>
      <c r="Q15" s="268">
        <f t="shared" si="0"/>
        <v>5317118.76</v>
      </c>
      <c r="R15" s="9">
        <f t="shared" si="0"/>
        <v>5197284.5199999996</v>
      </c>
      <c r="S15" s="268">
        <f t="shared" si="0"/>
        <v>5130639</v>
      </c>
      <c r="T15" s="9">
        <f t="shared" si="0"/>
        <v>5234033.55</v>
      </c>
      <c r="U15" s="9">
        <f t="shared" si="0"/>
        <v>7438020.0999999996</v>
      </c>
      <c r="V15" s="268">
        <f t="shared" si="0"/>
        <v>7364861.7799999993</v>
      </c>
      <c r="W15" s="268">
        <f t="shared" si="0"/>
        <v>7145123.7400000002</v>
      </c>
      <c r="X15" s="9">
        <f t="shared" si="0"/>
        <v>6795290.6999999993</v>
      </c>
      <c r="Y15" s="9">
        <f t="shared" si="0"/>
        <v>6439992.7200000007</v>
      </c>
      <c r="Z15" s="9">
        <f t="shared" si="0"/>
        <v>6053325.1200000001</v>
      </c>
      <c r="AA15" s="9">
        <f t="shared" si="0"/>
        <v>5813185.0299999993</v>
      </c>
      <c r="AB15" s="9">
        <f t="shared" si="0"/>
        <v>3806776.4499999997</v>
      </c>
      <c r="AC15" s="260">
        <f t="shared" si="0"/>
        <v>3685717.61</v>
      </c>
      <c r="AD15" s="9">
        <f t="shared" si="0"/>
        <v>3561146.5700000003</v>
      </c>
      <c r="AE15" s="9">
        <f t="shared" si="0"/>
        <v>3451758.1100000003</v>
      </c>
      <c r="AF15" s="9">
        <f t="shared" si="0"/>
        <v>3350173.58</v>
      </c>
      <c r="AG15" s="9">
        <f t="shared" si="0"/>
        <v>3242309.2199999997</v>
      </c>
      <c r="AH15" s="9">
        <f t="shared" si="0"/>
        <v>3064923.8499999996</v>
      </c>
      <c r="AI15" s="9">
        <f t="shared" si="0"/>
        <v>2084911.84</v>
      </c>
      <c r="AJ15" s="9">
        <f t="shared" si="0"/>
        <v>1849816.7999999998</v>
      </c>
      <c r="AK15" s="9">
        <f t="shared" si="0"/>
        <v>1804384.2800000003</v>
      </c>
      <c r="AL15" s="9">
        <f t="shared" si="0"/>
        <v>1757134.48</v>
      </c>
      <c r="AM15" s="9">
        <f t="shared" si="0"/>
        <v>1706955.4</v>
      </c>
      <c r="AN15" s="9">
        <f t="shared" si="0"/>
        <v>1657925.8199999998</v>
      </c>
      <c r="AO15" s="268">
        <f t="shared" si="0"/>
        <v>1607080.3399999999</v>
      </c>
      <c r="AP15" s="268">
        <f t="shared" si="0"/>
        <v>1556234.8599999999</v>
      </c>
      <c r="AQ15" s="268">
        <f t="shared" si="0"/>
        <v>1505389.38</v>
      </c>
    </row>
    <row r="16" spans="1:78" ht="16.5" thickTop="1">
      <c r="A16" s="11" t="s">
        <v>15</v>
      </c>
      <c r="B16" s="11"/>
      <c r="C16" s="269"/>
      <c r="D16" s="269"/>
      <c r="E16" s="269"/>
      <c r="F16" s="270"/>
      <c r="G16" s="271">
        <v>-268156</v>
      </c>
      <c r="H16" s="271">
        <f t="shared" ref="H16:O18" si="1">G16</f>
        <v>-268156</v>
      </c>
      <c r="I16" s="271">
        <f t="shared" si="1"/>
        <v>-268156</v>
      </c>
      <c r="J16" s="271">
        <f t="shared" si="1"/>
        <v>-268156</v>
      </c>
      <c r="K16" s="271">
        <f t="shared" si="1"/>
        <v>-268156</v>
      </c>
      <c r="L16" s="271">
        <f t="shared" si="1"/>
        <v>-268156</v>
      </c>
      <c r="M16" s="272">
        <f t="shared" si="1"/>
        <v>-268156</v>
      </c>
      <c r="N16" s="272">
        <f t="shared" si="1"/>
        <v>-268156</v>
      </c>
      <c r="O16" s="272">
        <f t="shared" si="1"/>
        <v>-268156</v>
      </c>
      <c r="P16" s="272">
        <v>-228441</v>
      </c>
      <c r="Q16" s="12">
        <f t="shared" ref="Q16:X16" si="2">P16</f>
        <v>-228441</v>
      </c>
      <c r="R16" s="272">
        <v>-214207</v>
      </c>
      <c r="S16" s="12">
        <v>-158466</v>
      </c>
      <c r="T16" s="273">
        <f t="shared" si="2"/>
        <v>-158466</v>
      </c>
      <c r="U16" s="273">
        <f t="shared" si="2"/>
        <v>-158466</v>
      </c>
      <c r="V16" s="274">
        <f t="shared" si="2"/>
        <v>-158466</v>
      </c>
      <c r="W16" s="274">
        <f t="shared" si="2"/>
        <v>-158466</v>
      </c>
      <c r="X16" s="273">
        <f t="shared" si="2"/>
        <v>-158466</v>
      </c>
      <c r="Y16" s="273"/>
      <c r="Z16" s="275"/>
      <c r="AA16" s="275"/>
      <c r="AB16" s="275"/>
      <c r="AC16" s="276"/>
      <c r="AD16" s="275"/>
      <c r="AE16" s="275"/>
      <c r="AF16" s="275"/>
      <c r="AG16" s="275"/>
      <c r="AH16" s="275"/>
      <c r="AI16" s="275"/>
      <c r="AJ16" s="275"/>
      <c r="AK16" s="275"/>
      <c r="AL16" s="275"/>
      <c r="AM16" s="277"/>
      <c r="AN16" s="277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</row>
    <row r="17" spans="1:178" ht="15.75">
      <c r="A17" s="11" t="s">
        <v>16</v>
      </c>
      <c r="B17" s="11"/>
      <c r="C17" s="11"/>
      <c r="D17" s="11"/>
      <c r="E17" s="11"/>
      <c r="F17" s="278"/>
      <c r="G17" s="279"/>
      <c r="H17" s="279"/>
      <c r="I17" s="279">
        <f>-1280099-46988</f>
        <v>-1327087</v>
      </c>
      <c r="J17" s="279">
        <f t="shared" si="1"/>
        <v>-1327087</v>
      </c>
      <c r="K17" s="279">
        <f t="shared" si="1"/>
        <v>-1327087</v>
      </c>
      <c r="L17" s="279">
        <f t="shared" si="1"/>
        <v>-1327087</v>
      </c>
      <c r="M17" s="12">
        <f t="shared" si="1"/>
        <v>-1327087</v>
      </c>
      <c r="N17" s="12">
        <f t="shared" si="1"/>
        <v>-1327087</v>
      </c>
      <c r="O17" s="12">
        <f t="shared" si="1"/>
        <v>-1327087</v>
      </c>
      <c r="P17" s="12">
        <v>-1211430</v>
      </c>
      <c r="Q17" s="12">
        <f>P17</f>
        <v>-1211430</v>
      </c>
      <c r="R17" s="12">
        <v>-1121346</v>
      </c>
      <c r="S17" s="12">
        <f t="shared" ref="S17:AA18" si="3">R17</f>
        <v>-1121346</v>
      </c>
      <c r="T17" s="274">
        <f t="shared" si="3"/>
        <v>-1121346</v>
      </c>
      <c r="U17" s="274">
        <f t="shared" si="3"/>
        <v>-1121346</v>
      </c>
      <c r="V17" s="274">
        <f t="shared" si="3"/>
        <v>-1121346</v>
      </c>
      <c r="W17" s="274">
        <f t="shared" si="3"/>
        <v>-1121346</v>
      </c>
      <c r="X17" s="274">
        <f t="shared" si="3"/>
        <v>-1121346</v>
      </c>
      <c r="Y17" s="274">
        <f t="shared" si="3"/>
        <v>-1121346</v>
      </c>
      <c r="Z17" s="274">
        <f t="shared" si="3"/>
        <v>-1121346</v>
      </c>
      <c r="AA17" s="274">
        <f t="shared" si="3"/>
        <v>-1121346</v>
      </c>
      <c r="AB17" s="280"/>
      <c r="AC17" s="281"/>
      <c r="AD17" s="280"/>
      <c r="AE17" s="280"/>
      <c r="AF17" s="280"/>
      <c r="AG17" s="280"/>
      <c r="AH17" s="280"/>
      <c r="AI17" s="280"/>
      <c r="AJ17" s="280"/>
      <c r="AK17" s="280"/>
      <c r="AL17" s="280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</row>
    <row r="18" spans="1:178" ht="15.75">
      <c r="A18" s="11" t="s">
        <v>17</v>
      </c>
      <c r="B18" s="11"/>
      <c r="C18" s="11"/>
      <c r="D18" s="11"/>
      <c r="E18" s="11"/>
      <c r="F18" s="278"/>
      <c r="G18" s="278"/>
      <c r="H18" s="278"/>
      <c r="I18" s="278">
        <v>-702714</v>
      </c>
      <c r="J18" s="278">
        <f t="shared" si="1"/>
        <v>-702714</v>
      </c>
      <c r="K18" s="278">
        <f t="shared" si="1"/>
        <v>-702714</v>
      </c>
      <c r="L18" s="278">
        <f t="shared" si="1"/>
        <v>-702714</v>
      </c>
      <c r="M18" s="13">
        <f t="shared" si="1"/>
        <v>-702714</v>
      </c>
      <c r="N18" s="13">
        <f t="shared" si="1"/>
        <v>-702714</v>
      </c>
      <c r="O18" s="13">
        <f t="shared" si="1"/>
        <v>-702714</v>
      </c>
      <c r="P18" s="13">
        <v>-554944</v>
      </c>
      <c r="Q18" s="13">
        <f>P18</f>
        <v>-554944</v>
      </c>
      <c r="R18" s="13">
        <v>-512843</v>
      </c>
      <c r="S18" s="13">
        <f t="shared" si="3"/>
        <v>-512843</v>
      </c>
      <c r="T18" s="280">
        <f t="shared" si="3"/>
        <v>-512843</v>
      </c>
      <c r="U18" s="280">
        <f t="shared" si="3"/>
        <v>-512843</v>
      </c>
      <c r="V18" s="280">
        <f t="shared" si="3"/>
        <v>-512843</v>
      </c>
      <c r="W18" s="280">
        <f t="shared" si="3"/>
        <v>-512843</v>
      </c>
      <c r="X18" s="280">
        <f t="shared" si="3"/>
        <v>-512843</v>
      </c>
      <c r="Y18" s="280">
        <f t="shared" si="3"/>
        <v>-512843</v>
      </c>
      <c r="Z18" s="280">
        <f t="shared" si="3"/>
        <v>-512843</v>
      </c>
      <c r="AA18" s="280">
        <f t="shared" si="3"/>
        <v>-512843</v>
      </c>
      <c r="AB18" s="280"/>
      <c r="AC18" s="281"/>
      <c r="AD18" s="280"/>
      <c r="AE18" s="280"/>
      <c r="AF18" s="280"/>
      <c r="AG18" s="280"/>
      <c r="AH18" s="280"/>
      <c r="AI18" s="280"/>
      <c r="AJ18" s="280"/>
      <c r="AK18" s="280"/>
      <c r="AL18" s="280"/>
      <c r="AM18" s="13"/>
      <c r="AN18" s="13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</row>
    <row r="19" spans="1:178" ht="15.75" hidden="1">
      <c r="A19" s="11" t="s">
        <v>129</v>
      </c>
      <c r="F19" s="279"/>
      <c r="G19" s="279"/>
      <c r="H19" s="279">
        <v>-300000</v>
      </c>
      <c r="I19" s="279">
        <f>-800000-500000</f>
        <v>-1300000</v>
      </c>
      <c r="J19" s="279">
        <v>-400000</v>
      </c>
      <c r="K19" s="279">
        <v>-260000</v>
      </c>
      <c r="L19" s="279">
        <v>-165000</v>
      </c>
      <c r="M19" s="12">
        <v>-100000</v>
      </c>
      <c r="N19" s="13"/>
      <c r="O19" s="13"/>
      <c r="P19" s="13"/>
      <c r="Q19" s="13"/>
      <c r="R19" s="13"/>
      <c r="S19" s="13"/>
      <c r="T19" s="280"/>
      <c r="U19" s="280"/>
      <c r="V19" s="280"/>
      <c r="W19" s="280"/>
      <c r="X19" s="280"/>
      <c r="Y19" s="274"/>
      <c r="Z19" s="274"/>
      <c r="AA19" s="274"/>
      <c r="AB19" s="274"/>
      <c r="AC19" s="282"/>
      <c r="AD19" s="274"/>
      <c r="AE19" s="274"/>
      <c r="AF19" s="274"/>
      <c r="AG19" s="274"/>
      <c r="AH19" s="274"/>
      <c r="AI19" s="274"/>
      <c r="AJ19" s="274"/>
      <c r="AK19" s="274"/>
      <c r="AL19" s="274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</row>
    <row r="20" spans="1:178" ht="15.75">
      <c r="A20" s="11" t="s">
        <v>18</v>
      </c>
      <c r="F20" s="279"/>
      <c r="G20" s="279"/>
      <c r="H20" s="279">
        <v>-300000</v>
      </c>
      <c r="I20" s="279"/>
      <c r="J20" s="278"/>
      <c r="K20" s="278">
        <f t="shared" ref="K20:Q20" si="4">(790359.82-9346-87333.97)/-18</f>
        <v>-38537.769444444442</v>
      </c>
      <c r="L20" s="278">
        <f t="shared" si="4"/>
        <v>-38537.769444444442</v>
      </c>
      <c r="M20" s="13">
        <f t="shared" si="4"/>
        <v>-38537.769444444442</v>
      </c>
      <c r="N20" s="13">
        <f t="shared" si="4"/>
        <v>-38537.769444444442</v>
      </c>
      <c r="O20" s="13">
        <f t="shared" si="4"/>
        <v>-38537.769444444442</v>
      </c>
      <c r="P20" s="13">
        <f t="shared" si="4"/>
        <v>-38537.769444444442</v>
      </c>
      <c r="Q20" s="13">
        <f t="shared" si="4"/>
        <v>-38537.769444444442</v>
      </c>
      <c r="R20" s="13">
        <f>((790359.82-9346-87333.97)/-18)-(-1172576/-18)</f>
        <v>-103680.88055555554</v>
      </c>
      <c r="S20" s="13">
        <f>((790359.82-9346-87333.97)/-18)-(-1172576/-18)</f>
        <v>-103680.88055555554</v>
      </c>
      <c r="T20" s="280">
        <f>((790359.82-9346-87333.97)/-18)-(-1172576/-18)</f>
        <v>-103680.88055555554</v>
      </c>
      <c r="U20" s="280">
        <f>((790359.82-9346-87333.97)/-18)-(-1172576/-18)</f>
        <v>-103680.88055555554</v>
      </c>
      <c r="V20" s="280">
        <f>-(-1172576/-18)</f>
        <v>-65143.111111111109</v>
      </c>
      <c r="W20" s="280">
        <f t="shared" ref="W20" si="5">-(-1172576/-18)</f>
        <v>-65143.111111111109</v>
      </c>
      <c r="X20" s="280">
        <f>-(-1172576/-18)-(-2046471/-18)</f>
        <v>-178835.94444444444</v>
      </c>
      <c r="Y20" s="280">
        <f t="shared" ref="Y20:AI20" si="6">-(-1172576/-18)-(-2046471/-18)</f>
        <v>-178835.94444444444</v>
      </c>
      <c r="Z20" s="280">
        <f t="shared" si="6"/>
        <v>-178835.94444444444</v>
      </c>
      <c r="AA20" s="280">
        <f t="shared" si="6"/>
        <v>-178835.94444444444</v>
      </c>
      <c r="AB20" s="280">
        <f t="shared" si="6"/>
        <v>-178835.94444444444</v>
      </c>
      <c r="AC20" s="281">
        <f t="shared" si="6"/>
        <v>-178835.94444444444</v>
      </c>
      <c r="AD20" s="280">
        <f t="shared" si="6"/>
        <v>-178835.94444444444</v>
      </c>
      <c r="AE20" s="280">
        <f t="shared" si="6"/>
        <v>-178835.94444444444</v>
      </c>
      <c r="AF20" s="280">
        <f t="shared" si="6"/>
        <v>-178835.94444444444</v>
      </c>
      <c r="AG20" s="280">
        <f t="shared" si="6"/>
        <v>-178835.94444444444</v>
      </c>
      <c r="AH20" s="280">
        <f t="shared" si="6"/>
        <v>-178835.94444444444</v>
      </c>
      <c r="AI20" s="280">
        <f t="shared" si="6"/>
        <v>-178835.94444444444</v>
      </c>
      <c r="AJ20" s="274">
        <f>--(2046471/-18)</f>
        <v>-113692.83333333333</v>
      </c>
      <c r="AK20" s="274">
        <f t="shared" ref="AK20:AO20" si="7">--(2046471/-18)</f>
        <v>-113692.83333333333</v>
      </c>
      <c r="AL20" s="274">
        <f t="shared" si="7"/>
        <v>-113692.83333333333</v>
      </c>
      <c r="AM20" s="12">
        <f t="shared" si="7"/>
        <v>-113692.83333333333</v>
      </c>
      <c r="AN20" s="12">
        <f t="shared" si="7"/>
        <v>-113692.83333333333</v>
      </c>
      <c r="AO20" s="12">
        <f t="shared" si="7"/>
        <v>-113692.83333333333</v>
      </c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</row>
    <row r="21" spans="1:178" ht="15.75">
      <c r="A21" s="11" t="s">
        <v>19</v>
      </c>
      <c r="J21" s="11"/>
      <c r="K21" s="11"/>
      <c r="L21" s="11"/>
      <c r="M21" s="13"/>
      <c r="N21" s="13"/>
      <c r="O21" s="13"/>
      <c r="P21" s="13"/>
      <c r="Q21" s="13"/>
      <c r="R21" s="13"/>
      <c r="S21" s="283">
        <v>0</v>
      </c>
      <c r="T21" s="284">
        <v>0</v>
      </c>
      <c r="U21" s="280">
        <v>-600000</v>
      </c>
      <c r="V21" s="280">
        <v>-600000</v>
      </c>
      <c r="W21" s="280">
        <v>-600000</v>
      </c>
      <c r="X21" s="280">
        <v>-600000</v>
      </c>
      <c r="Y21" s="280">
        <v>-600000</v>
      </c>
      <c r="Z21" s="280">
        <v>-600000</v>
      </c>
      <c r="AA21" s="280">
        <v>-600000</v>
      </c>
      <c r="AB21" s="280">
        <v>0</v>
      </c>
      <c r="AC21" s="281">
        <v>0</v>
      </c>
      <c r="AD21" s="280">
        <v>0</v>
      </c>
      <c r="AE21" s="280">
        <v>0</v>
      </c>
      <c r="AF21" s="280">
        <v>0</v>
      </c>
      <c r="AG21" s="280">
        <v>0</v>
      </c>
      <c r="AH21" s="280">
        <v>0</v>
      </c>
      <c r="AI21" s="280">
        <v>0</v>
      </c>
      <c r="AJ21" s="280">
        <v>0</v>
      </c>
      <c r="AK21" s="280">
        <v>0</v>
      </c>
      <c r="AL21" s="280">
        <v>0</v>
      </c>
      <c r="AM21" s="280">
        <v>0</v>
      </c>
      <c r="AN21" s="280">
        <v>0</v>
      </c>
      <c r="AO21" s="280">
        <v>0</v>
      </c>
      <c r="AP21" s="280">
        <v>0</v>
      </c>
      <c r="AQ21" s="280">
        <v>0</v>
      </c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</row>
    <row r="22" spans="1:178" ht="16.5" thickBot="1">
      <c r="A22" s="11" t="s">
        <v>579</v>
      </c>
      <c r="B22" s="11"/>
      <c r="C22" s="9">
        <f t="shared" ref="C22:H22" si="8">SUM(C15:C19)</f>
        <v>0</v>
      </c>
      <c r="D22" s="9">
        <f t="shared" si="8"/>
        <v>630000</v>
      </c>
      <c r="E22" s="9">
        <f t="shared" si="8"/>
        <v>432073</v>
      </c>
      <c r="F22" s="9">
        <f t="shared" si="8"/>
        <v>420992.5</v>
      </c>
      <c r="G22" s="9">
        <f t="shared" si="8"/>
        <v>1196951.5</v>
      </c>
      <c r="H22" s="9">
        <f t="shared" si="8"/>
        <v>1338176.5</v>
      </c>
      <c r="I22" s="9">
        <f t="shared" ref="I22:S22" si="9">SUM(I15:I20)</f>
        <v>1813867.5</v>
      </c>
      <c r="J22" s="9">
        <f t="shared" si="9"/>
        <v>1382533.3200000003</v>
      </c>
      <c r="K22" s="9">
        <f t="shared" si="9"/>
        <v>1399126.4905555553</v>
      </c>
      <c r="L22" s="9">
        <f t="shared" si="9"/>
        <v>1412526.4905555553</v>
      </c>
      <c r="M22" s="12">
        <f t="shared" si="9"/>
        <v>1410616.4905555553</v>
      </c>
      <c r="N22" s="12">
        <f t="shared" si="9"/>
        <v>1422526.4905555553</v>
      </c>
      <c r="O22" s="12">
        <f t="shared" si="9"/>
        <v>1320231.4905555553</v>
      </c>
      <c r="P22" s="285">
        <f t="shared" si="9"/>
        <v>1196203.4905555553</v>
      </c>
      <c r="Q22" s="286">
        <f t="shared" si="9"/>
        <v>3283765.9905555556</v>
      </c>
      <c r="R22" s="285">
        <f t="shared" si="9"/>
        <v>3245207.6394444439</v>
      </c>
      <c r="S22" s="286">
        <f t="shared" si="9"/>
        <v>3234303.1194444443</v>
      </c>
      <c r="T22" s="287">
        <f t="shared" ref="T22:AQ22" si="10">SUM(T15:T21)</f>
        <v>3337697.6694444441</v>
      </c>
      <c r="U22" s="287">
        <f t="shared" si="10"/>
        <v>4941684.2194444444</v>
      </c>
      <c r="V22" s="288">
        <f t="shared" si="10"/>
        <v>4907063.6688888883</v>
      </c>
      <c r="W22" s="287">
        <f t="shared" si="10"/>
        <v>4687325.6288888892</v>
      </c>
      <c r="X22" s="287">
        <f t="shared" si="10"/>
        <v>4223799.7555555552</v>
      </c>
      <c r="Y22" s="287">
        <f t="shared" si="10"/>
        <v>4026967.7755555566</v>
      </c>
      <c r="Z22" s="287">
        <f t="shared" si="10"/>
        <v>3640300.1755555561</v>
      </c>
      <c r="AA22" s="287">
        <f t="shared" si="10"/>
        <v>3400160.0855555548</v>
      </c>
      <c r="AB22" s="287">
        <f t="shared" si="10"/>
        <v>3627940.5055555552</v>
      </c>
      <c r="AC22" s="289">
        <f t="shared" si="10"/>
        <v>3506881.6655555554</v>
      </c>
      <c r="AD22" s="290">
        <f t="shared" si="10"/>
        <v>3382310.6255555558</v>
      </c>
      <c r="AE22" s="290">
        <f t="shared" si="10"/>
        <v>3272922.1655555558</v>
      </c>
      <c r="AF22" s="290">
        <f t="shared" si="10"/>
        <v>3171337.6355555556</v>
      </c>
      <c r="AG22" s="290">
        <f t="shared" si="10"/>
        <v>3063473.2755555552</v>
      </c>
      <c r="AH22" s="290">
        <f t="shared" si="10"/>
        <v>2886087.9055555551</v>
      </c>
      <c r="AI22" s="290">
        <f t="shared" si="10"/>
        <v>1906075.8955555556</v>
      </c>
      <c r="AJ22" s="290">
        <f t="shared" si="10"/>
        <v>1736123.9666666666</v>
      </c>
      <c r="AK22" s="290">
        <f t="shared" si="10"/>
        <v>1690691.446666667</v>
      </c>
      <c r="AL22" s="290">
        <f t="shared" si="10"/>
        <v>1643441.6466666667</v>
      </c>
      <c r="AM22" s="291">
        <f t="shared" si="10"/>
        <v>1593262.5666666667</v>
      </c>
      <c r="AN22" s="291">
        <f t="shared" si="10"/>
        <v>1544232.9866666666</v>
      </c>
      <c r="AO22" s="291">
        <f t="shared" si="10"/>
        <v>1493387.5066666666</v>
      </c>
      <c r="AP22" s="291">
        <f t="shared" si="10"/>
        <v>1556234.8599999999</v>
      </c>
      <c r="AQ22" s="291">
        <f t="shared" si="10"/>
        <v>1505389.38</v>
      </c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</row>
    <row r="23" spans="1:178" ht="15.75" thickTop="1">
      <c r="C23" s="292"/>
      <c r="D23" s="292"/>
      <c r="E23" s="292"/>
      <c r="F23" s="292"/>
      <c r="G23" s="292"/>
      <c r="H23" s="292"/>
      <c r="I23" s="292"/>
      <c r="J23" s="292"/>
      <c r="K23" s="292"/>
      <c r="L23" s="292"/>
      <c r="M23" s="292"/>
      <c r="N23" s="269"/>
      <c r="O23" s="269"/>
      <c r="P23" s="269"/>
      <c r="Q23" s="11"/>
      <c r="R23" s="269"/>
      <c r="S23" s="11"/>
      <c r="T23" s="269"/>
      <c r="U23" s="269"/>
      <c r="V23" s="269"/>
      <c r="W23" s="11"/>
      <c r="X23" s="269"/>
      <c r="Y23" s="269"/>
      <c r="Z23" s="269"/>
      <c r="AA23" s="269"/>
      <c r="AB23" s="292"/>
      <c r="AC23" s="293"/>
      <c r="AD23" s="292"/>
      <c r="AE23" s="292"/>
      <c r="AF23" s="292"/>
      <c r="AG23" s="292"/>
      <c r="AH23" s="292"/>
      <c r="AI23" s="292"/>
      <c r="AJ23" s="292"/>
      <c r="AK23" s="292"/>
      <c r="AL23" s="292"/>
      <c r="AM23" s="292"/>
      <c r="AN23" s="292"/>
    </row>
    <row r="24" spans="1:178" ht="15.75">
      <c r="A24" s="9" t="s">
        <v>20</v>
      </c>
      <c r="C24" s="14"/>
      <c r="D24" s="14"/>
      <c r="E24" s="14"/>
      <c r="G24" s="14"/>
      <c r="H24" s="14"/>
      <c r="I24" s="14"/>
      <c r="J24" s="14"/>
      <c r="K24" s="14"/>
      <c r="L24" s="14"/>
      <c r="M24" s="14"/>
      <c r="N24" s="14"/>
      <c r="O24" s="14"/>
      <c r="P24" s="10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29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</row>
    <row r="25" spans="1:178" ht="15.75" thickBot="1">
      <c r="A25" s="9" t="s">
        <v>21</v>
      </c>
      <c r="C25" s="14">
        <f>(+C15/(1960987552))*229000</f>
        <v>0</v>
      </c>
      <c r="D25" s="14">
        <f>(+D15/(1960987552))*229000</f>
        <v>73.570074349967115</v>
      </c>
      <c r="E25" s="14">
        <f>(+E15/(2014467876))*229000</f>
        <v>49.117048814135565</v>
      </c>
      <c r="F25" s="14">
        <f>(+F22/(2014467876))*229000</f>
        <v>47.857443471091621</v>
      </c>
      <c r="G25" s="14">
        <f>(+G22/(2654902440))*344309</f>
        <v>155.23025170503064</v>
      </c>
      <c r="H25" s="14">
        <f>(+H22/(2654902440))*344309</f>
        <v>173.54544016257714</v>
      </c>
      <c r="I25" s="14">
        <f>(+I22/(2654902440))*344809</f>
        <v>235.57846397078907</v>
      </c>
      <c r="J25" s="14">
        <f>(+J22/(3416302980))*440000</f>
        <v>178.06226917262475</v>
      </c>
      <c r="K25" s="14">
        <f>(+K22/(3897620840))*512039</f>
        <v>183.80631634183689</v>
      </c>
      <c r="L25" s="14">
        <f>(+L22/(4436551270))*580644</f>
        <v>184.86770053310798</v>
      </c>
      <c r="M25" s="14">
        <f>(+M22/(4436551270))*580644</f>
        <v>184.61772482618912</v>
      </c>
      <c r="N25" s="14">
        <f>(+N22/(4777066632))*651371</f>
        <v>193.96683656717781</v>
      </c>
      <c r="O25" s="14">
        <f>(+O22/(5725353220))*688644</f>
        <v>158.79710118254326</v>
      </c>
      <c r="P25" s="14">
        <f>(+P22/(5653800660))*668473</f>
        <v>141.43224779738586</v>
      </c>
      <c r="Q25" s="295">
        <f>(+Q22/(5599519350))*651950</f>
        <v>382.32767916815828</v>
      </c>
      <c r="R25" s="295">
        <f>(+R22/(5984621300))*651950</f>
        <v>353.52497918887616</v>
      </c>
      <c r="S25" s="295">
        <f>(+S22/(5984621300))*651950</f>
        <v>352.33706746353448</v>
      </c>
      <c r="T25" s="295">
        <f t="shared" ref="T25:AL25" si="11">(+T22/(5984621300))*651950</f>
        <v>363.60061673314323</v>
      </c>
      <c r="U25" s="295">
        <f t="shared" si="11"/>
        <v>538.33498652066851</v>
      </c>
      <c r="V25" s="295">
        <f t="shared" si="11"/>
        <v>534.56350845994393</v>
      </c>
      <c r="W25" s="295">
        <f t="shared" si="11"/>
        <v>510.62578408329881</v>
      </c>
      <c r="X25" s="295">
        <f t="shared" si="11"/>
        <v>460.13040969433507</v>
      </c>
      <c r="Y25" s="295">
        <f t="shared" si="11"/>
        <v>438.68801544275578</v>
      </c>
      <c r="Z25" s="295">
        <f t="shared" si="11"/>
        <v>396.56539327784117</v>
      </c>
      <c r="AA25" s="295">
        <f t="shared" si="11"/>
        <v>370.40511949819512</v>
      </c>
      <c r="AB25" s="295">
        <f t="shared" si="11"/>
        <v>395.21896107226439</v>
      </c>
      <c r="AC25" s="296">
        <f t="shared" si="11"/>
        <v>382.03110727473171</v>
      </c>
      <c r="AD25" s="295">
        <f t="shared" si="11"/>
        <v>368.46064300358398</v>
      </c>
      <c r="AE25" s="295">
        <f t="shared" si="11"/>
        <v>356.54413184572678</v>
      </c>
      <c r="AF25" s="295">
        <f t="shared" si="11"/>
        <v>345.47776172578278</v>
      </c>
      <c r="AG25" s="295">
        <f t="shared" si="11"/>
        <v>333.72728229243916</v>
      </c>
      <c r="AH25" s="295">
        <f t="shared" si="11"/>
        <v>314.40335414823062</v>
      </c>
      <c r="AI25" s="295">
        <f t="shared" si="11"/>
        <v>207.6432438770093</v>
      </c>
      <c r="AJ25" s="295">
        <f t="shared" si="11"/>
        <v>189.12909661774808</v>
      </c>
      <c r="AK25" s="295">
        <f t="shared" si="11"/>
        <v>184.17978906273211</v>
      </c>
      <c r="AL25" s="295">
        <f t="shared" si="11"/>
        <v>179.03251147141648</v>
      </c>
      <c r="AM25" s="295">
        <f>(+AM22/(5599519350))*651950</f>
        <v>185.50298077607917</v>
      </c>
      <c r="AN25" s="295">
        <f>(+AN22/(5599519350))*651950</f>
        <v>179.79448462077968</v>
      </c>
      <c r="AO25" s="295">
        <f>(+AO22/(5599519350))*651950</f>
        <v>173.87456388936906</v>
      </c>
      <c r="AP25" s="295">
        <f>(+AP22/(5599519350))*651950</f>
        <v>181.19185836495055</v>
      </c>
      <c r="AQ25" s="295">
        <f>(+AQ22/(5599519350))*651950</f>
        <v>175.27193763353992</v>
      </c>
    </row>
    <row r="26" spans="1:178" ht="15.75" thickTop="1">
      <c r="C26" s="292"/>
      <c r="D26" s="292"/>
      <c r="E26" s="292"/>
      <c r="F26" s="292"/>
      <c r="G26" s="292"/>
      <c r="H26" s="292"/>
      <c r="I26" s="292"/>
      <c r="J26" s="292"/>
      <c r="K26" s="292"/>
      <c r="L26" s="292"/>
      <c r="M26" s="292"/>
      <c r="N26" s="292"/>
      <c r="O26" s="292"/>
      <c r="P26" s="292"/>
      <c r="R26" s="11"/>
      <c r="S26" s="11"/>
      <c r="T26" s="11"/>
      <c r="V26" s="297"/>
      <c r="AC26" s="260"/>
    </row>
    <row r="27" spans="1:178" ht="15.75" thickBot="1">
      <c r="A27" s="9" t="s">
        <v>22</v>
      </c>
      <c r="G27" s="14">
        <f>(+G22/(2654902440))*10000</f>
        <v>4.5084575687835819</v>
      </c>
      <c r="H27" s="14">
        <f>(+H22/(2654902440))*10000</f>
        <v>5.0403980192959557</v>
      </c>
      <c r="I27" s="14">
        <f>(+I22/(2654902440))*10000</f>
        <v>6.8321437076987284</v>
      </c>
      <c r="J27" s="14">
        <f>(+J22/(3416302980))*10000</f>
        <v>4.0468697539232901</v>
      </c>
      <c r="K27" s="298">
        <f>(+K22/(3897620840))*10000</f>
        <v>3.5896936823530412</v>
      </c>
      <c r="L27" s="298">
        <f>(+L22/(4436551270))*10000</f>
        <v>3.183838987970391</v>
      </c>
      <c r="M27" s="298">
        <f>(+M22/(4436551270))*10000</f>
        <v>3.179533842185386</v>
      </c>
      <c r="N27" s="298">
        <f>(+N22/(4777066632))*10000</f>
        <v>2.9778242594032864</v>
      </c>
      <c r="O27" s="298">
        <f>(+O22/(5725353220))*10000</f>
        <v>2.3059389348131001</v>
      </c>
      <c r="P27" s="299">
        <f>(+P22/(5653800660))*10000</f>
        <v>2.1157510893841018</v>
      </c>
      <c r="Q27" s="299">
        <f>(+Q22/(5599519350))*100000</f>
        <v>58.643711813506911</v>
      </c>
      <c r="R27" s="299">
        <f>(+R22/(5984621300))*100000</f>
        <v>54.225780993768872</v>
      </c>
      <c r="S27" s="299">
        <f t="shared" ref="S27:AL27" si="12">(+S22/(5984621300))*100000</f>
        <v>54.043571970785258</v>
      </c>
      <c r="T27" s="299">
        <f t="shared" si="12"/>
        <v>55.771242692406354</v>
      </c>
      <c r="U27" s="299">
        <f t="shared" si="12"/>
        <v>82.573048012986959</v>
      </c>
      <c r="V27" s="299">
        <f t="shared" si="12"/>
        <v>81.994556094783945</v>
      </c>
      <c r="W27" s="299">
        <f t="shared" si="12"/>
        <v>78.322844402684069</v>
      </c>
      <c r="X27" s="299">
        <f t="shared" si="12"/>
        <v>70.577561115781123</v>
      </c>
      <c r="Y27" s="299">
        <f t="shared" si="12"/>
        <v>67.28859811991039</v>
      </c>
      <c r="Z27" s="299">
        <f t="shared" si="12"/>
        <v>60.827577770970343</v>
      </c>
      <c r="AA27" s="299">
        <f t="shared" si="12"/>
        <v>56.814958125346287</v>
      </c>
      <c r="AB27" s="299">
        <f t="shared" si="12"/>
        <v>60.621053926261887</v>
      </c>
      <c r="AC27" s="300">
        <f t="shared" si="12"/>
        <v>58.598221838290009</v>
      </c>
      <c r="AD27" s="299">
        <f t="shared" si="12"/>
        <v>56.516702661796757</v>
      </c>
      <c r="AE27" s="299">
        <f t="shared" si="12"/>
        <v>54.688876730688975</v>
      </c>
      <c r="AF27" s="299">
        <f t="shared" si="12"/>
        <v>52.991450529301751</v>
      </c>
      <c r="AG27" s="299">
        <f t="shared" si="12"/>
        <v>51.1890915396026</v>
      </c>
      <c r="AH27" s="299">
        <f t="shared" si="12"/>
        <v>48.225071577303567</v>
      </c>
      <c r="AI27" s="299">
        <f t="shared" si="12"/>
        <v>31.849565745380676</v>
      </c>
      <c r="AJ27" s="299">
        <f t="shared" si="12"/>
        <v>29.009754830546527</v>
      </c>
      <c r="AK27" s="299">
        <f t="shared" si="12"/>
        <v>28.250600362410019</v>
      </c>
      <c r="AL27" s="299">
        <f t="shared" si="12"/>
        <v>27.461080063105527</v>
      </c>
      <c r="AM27" s="299">
        <f>(+AM22/(5599519350))*100000</f>
        <v>28.453559441073573</v>
      </c>
      <c r="AN27" s="299">
        <f>(+AN22/(5599519350))*100000</f>
        <v>27.577956073438099</v>
      </c>
      <c r="AO27" s="299">
        <f>(+AO22/(5599519350))*100000</f>
        <v>26.669923136646837</v>
      </c>
      <c r="AP27" s="299">
        <f>(+AP22/(5599519350))*100000</f>
        <v>27.792293636774374</v>
      </c>
      <c r="AQ27" s="299">
        <f>(+AQ22/(5599519350))*100000</f>
        <v>26.884260699983113</v>
      </c>
    </row>
    <row r="28" spans="1:178" ht="16.5" thickTop="1">
      <c r="C28" s="292"/>
      <c r="D28" s="292"/>
      <c r="E28" s="292"/>
      <c r="F28" s="292"/>
      <c r="G28" s="292"/>
      <c r="H28" s="292"/>
      <c r="I28" s="292"/>
      <c r="J28" s="292"/>
      <c r="K28" s="292"/>
      <c r="L28" s="292"/>
      <c r="M28" s="292"/>
      <c r="N28" s="292"/>
      <c r="O28" s="292"/>
      <c r="P28" s="10"/>
      <c r="R28" s="10"/>
      <c r="S28" s="10"/>
      <c r="T28" s="10"/>
      <c r="U28" s="10"/>
      <c r="V28" s="301"/>
      <c r="W28" s="10"/>
      <c r="X28" s="10"/>
      <c r="Y28" s="10"/>
      <c r="Z28" s="10"/>
      <c r="AA28" s="10"/>
      <c r="AB28" s="10"/>
      <c r="AC28" s="263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</row>
    <row r="29" spans="1:178" ht="15.75">
      <c r="A29" s="259" t="s">
        <v>580</v>
      </c>
      <c r="B29" s="259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4"/>
      <c r="R29" s="10"/>
      <c r="S29" s="10"/>
      <c r="T29" s="10"/>
      <c r="U29" s="10"/>
      <c r="V29" s="10"/>
      <c r="Z29" s="10"/>
      <c r="AA29" s="10"/>
      <c r="AB29" s="10"/>
      <c r="AC29" s="263"/>
      <c r="AD29" s="10"/>
      <c r="AE29" s="302"/>
      <c r="AF29" s="10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</row>
    <row r="30" spans="1:178" ht="15.75">
      <c r="A30" s="303" t="s">
        <v>130</v>
      </c>
      <c r="B30" s="304">
        <f>DATE(98,2,15)</f>
        <v>35841</v>
      </c>
      <c r="C30" s="303"/>
      <c r="D30" s="303">
        <v>0</v>
      </c>
      <c r="E30" s="303">
        <v>0</v>
      </c>
      <c r="F30" s="303">
        <f>AF721+AF747+AF775</f>
        <v>98652.5</v>
      </c>
      <c r="G30" s="303">
        <f>AF723+AF749+AF777</f>
        <v>92332.5</v>
      </c>
      <c r="H30" s="303">
        <f>AF725+AF751+AF779</f>
        <v>88132.5</v>
      </c>
      <c r="I30" s="303">
        <f>AF727+AF753+AF781</f>
        <v>84072.5</v>
      </c>
      <c r="J30" s="303">
        <f>AF729+AF755+AF783</f>
        <v>70922.5</v>
      </c>
      <c r="K30" s="303">
        <f>AF731+AF757+AF785</f>
        <v>68552.5</v>
      </c>
      <c r="L30" s="303">
        <f>AF733+AF759+AF787</f>
        <v>66152.5</v>
      </c>
      <c r="M30" s="303">
        <f>AF735+AF761+AF789</f>
        <v>43722.5</v>
      </c>
      <c r="N30" s="303">
        <f>AF737+AF763+AF791</f>
        <v>37082.5</v>
      </c>
      <c r="O30" s="303"/>
      <c r="P30" s="303"/>
      <c r="Q30" s="303">
        <f>AF1062</f>
        <v>599825</v>
      </c>
      <c r="R30" s="303">
        <f>AF1064</f>
        <v>589175</v>
      </c>
      <c r="S30" s="303">
        <f>AF1066</f>
        <v>578525</v>
      </c>
      <c r="T30" s="303">
        <f>AF1068</f>
        <v>567875</v>
      </c>
      <c r="U30" s="303">
        <f>AF1070</f>
        <v>551900</v>
      </c>
      <c r="V30" s="303">
        <f>AF1072</f>
        <v>541250</v>
      </c>
      <c r="W30" s="303">
        <f>AF1074</f>
        <v>530600</v>
      </c>
      <c r="X30" s="303">
        <f>AF1076</f>
        <v>519950</v>
      </c>
      <c r="Y30" s="303">
        <v>492309</v>
      </c>
      <c r="Z30" s="303">
        <f>400608+52812</f>
        <v>453420</v>
      </c>
      <c r="AA30" s="303">
        <f>391233.7+44351.15</f>
        <v>435584.85000000003</v>
      </c>
      <c r="AB30" s="303">
        <f>381883.15+35912.85</f>
        <v>417796</v>
      </c>
      <c r="AC30" s="305">
        <f>377006.85+27385.5</f>
        <v>404392.35</v>
      </c>
      <c r="AD30" s="303">
        <f>371151.5+18791.35</f>
        <v>389942.85</v>
      </c>
      <c r="AE30" s="303">
        <f>364338.35+10152.67</f>
        <v>374491.01999999996</v>
      </c>
      <c r="AF30" s="303">
        <f>355699.67+6697.2</f>
        <v>362396.87</v>
      </c>
      <c r="AG30" s="303">
        <f>345119.2+3312.98</f>
        <v>348432.18</v>
      </c>
      <c r="AH30" s="303">
        <v>334610.98</v>
      </c>
      <c r="AI30" s="303"/>
      <c r="AJ30" s="303"/>
      <c r="AK30" s="303"/>
      <c r="AL30" s="303"/>
    </row>
    <row r="31" spans="1:178" ht="15.75">
      <c r="A31" s="303" t="s">
        <v>130</v>
      </c>
      <c r="B31" s="306" t="s">
        <v>131</v>
      </c>
      <c r="C31" s="303"/>
      <c r="D31" s="303"/>
      <c r="E31" s="303"/>
      <c r="F31" s="303"/>
      <c r="G31" s="303"/>
      <c r="H31" s="303"/>
      <c r="I31" s="303"/>
      <c r="J31" s="303"/>
      <c r="K31" s="303"/>
      <c r="L31" s="303"/>
      <c r="M31" s="303"/>
      <c r="N31" s="303"/>
      <c r="O31" s="303"/>
      <c r="P31" s="303"/>
      <c r="Q31" s="303"/>
      <c r="R31" s="303"/>
      <c r="S31" s="303">
        <v>380</v>
      </c>
      <c r="T31" s="303">
        <f>AM1060</f>
        <v>8000</v>
      </c>
      <c r="U31" s="303">
        <f>AM1062</f>
        <v>7400</v>
      </c>
      <c r="V31" s="303">
        <f>AM1064</f>
        <v>16764.705882352941</v>
      </c>
      <c r="W31" s="303">
        <f>AM1066</f>
        <v>16470.588235294115</v>
      </c>
      <c r="X31" s="303">
        <f>AM1068</f>
        <v>16176.470588235294</v>
      </c>
      <c r="Y31" s="303">
        <v>15883</v>
      </c>
      <c r="Z31" s="303">
        <f>AM1072</f>
        <v>15588.235294117647</v>
      </c>
      <c r="AA31" s="303">
        <f>AM1074</f>
        <v>15294.117647058822</v>
      </c>
      <c r="AB31" s="303">
        <f>AM1076</f>
        <v>14999.999999999996</v>
      </c>
      <c r="AC31" s="305">
        <f>AM1078</f>
        <v>14705.882352941175</v>
      </c>
      <c r="AD31" s="303">
        <f>AM1080</f>
        <v>14411.764705882353</v>
      </c>
      <c r="AE31" s="303">
        <f>AM1082</f>
        <v>14117.647058823528</v>
      </c>
      <c r="AF31" s="303">
        <f>AM1084</f>
        <v>13823.529411764703</v>
      </c>
      <c r="AG31" s="303">
        <f>AM1086</f>
        <v>13529.411764705881</v>
      </c>
      <c r="AH31" s="303">
        <f>AM1088</f>
        <v>13235.294117647059</v>
      </c>
      <c r="AI31" s="303">
        <f>AM1090</f>
        <v>12941.176470588234</v>
      </c>
      <c r="AJ31" s="303">
        <f>AM1092</f>
        <v>12647.058823529409</v>
      </c>
      <c r="AK31" s="303">
        <f>AM1094</f>
        <v>12352.941176470587</v>
      </c>
      <c r="AL31" s="303">
        <f>AM1096</f>
        <v>12058.823529411762</v>
      </c>
      <c r="AM31" s="303">
        <f>AM1098</f>
        <v>0</v>
      </c>
    </row>
    <row r="32" spans="1:178" ht="15.75">
      <c r="A32" s="10" t="s">
        <v>24</v>
      </c>
      <c r="B32" s="307">
        <v>38148</v>
      </c>
      <c r="C32" s="308"/>
      <c r="D32" s="308"/>
      <c r="E32" s="308"/>
      <c r="F32" s="308"/>
      <c r="G32" s="308">
        <v>0</v>
      </c>
      <c r="H32" s="308"/>
      <c r="I32" s="308"/>
      <c r="J32" s="308">
        <f>AF1032</f>
        <v>0</v>
      </c>
      <c r="K32" s="308"/>
      <c r="L32" s="308">
        <f>180000*1.75/100</f>
        <v>3150</v>
      </c>
      <c r="M32" s="308">
        <f>180000*0.0275+180000/5</f>
        <v>40950</v>
      </c>
      <c r="N32" s="308">
        <f>180000/5+(180000-36000)*SI</f>
        <v>37440</v>
      </c>
      <c r="O32" s="10"/>
      <c r="P32" s="10"/>
      <c r="Q32" s="10">
        <f>10000+1987.5*2</f>
        <v>13975</v>
      </c>
      <c r="R32" s="10">
        <f>10000+1837.5*2</f>
        <v>13675</v>
      </c>
      <c r="S32" s="10">
        <f>5000+1687.5*2</f>
        <v>8375</v>
      </c>
      <c r="T32" s="10">
        <f>5000+1612.5*2</f>
        <v>8225</v>
      </c>
      <c r="U32" s="10">
        <f>5000+1500*2</f>
        <v>8000</v>
      </c>
      <c r="V32" s="10">
        <f>5000+1425*2</f>
        <v>7850</v>
      </c>
      <c r="W32" s="10">
        <f>5000+1350*2</f>
        <v>7700</v>
      </c>
      <c r="X32" s="10">
        <f>5000+1275*2</f>
        <v>7550</v>
      </c>
      <c r="Y32" s="10">
        <v>7034</v>
      </c>
      <c r="Z32" s="10">
        <f>5750+782</f>
        <v>6532</v>
      </c>
      <c r="AA32" s="10">
        <f>5616.55+660.67</f>
        <v>6277.22</v>
      </c>
      <c r="AB32" s="10">
        <f>5482.67+540.12</f>
        <v>6022.79</v>
      </c>
      <c r="AC32" s="263">
        <f>5413.12+418.3</f>
        <v>5831.42</v>
      </c>
      <c r="AD32" s="10">
        <f>5329.3+295.52</f>
        <v>5624.82</v>
      </c>
      <c r="AE32" s="10">
        <f>5231.52+172.12</f>
        <v>5403.64</v>
      </c>
      <c r="AF32" s="10">
        <f>5108.12+122.76</f>
        <v>5230.88</v>
      </c>
      <c r="AG32" s="10">
        <f>4957.76+74.41</f>
        <v>5032.17</v>
      </c>
      <c r="AH32" s="10">
        <f>4807.41+27.08</f>
        <v>4834.49</v>
      </c>
      <c r="AI32" s="10">
        <v>2735.08</v>
      </c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6"/>
      <c r="CQ32" s="16"/>
      <c r="CR32" s="16"/>
      <c r="CS32" s="16"/>
      <c r="CT32" s="16"/>
      <c r="CU32" s="16"/>
      <c r="CV32" s="16"/>
      <c r="CW32" s="16"/>
      <c r="CX32" s="16"/>
      <c r="CY32" s="16"/>
      <c r="CZ32" s="16"/>
      <c r="DA32" s="16"/>
      <c r="DB32" s="16"/>
      <c r="DC32" s="16"/>
      <c r="DD32" s="16"/>
      <c r="DE32" s="16"/>
      <c r="DF32" s="16"/>
      <c r="DG32" s="16"/>
      <c r="DH32" s="16"/>
      <c r="DI32" s="16"/>
      <c r="DJ32" s="16"/>
      <c r="DK32" s="16"/>
      <c r="DL32" s="16"/>
      <c r="DM32" s="16"/>
      <c r="DN32" s="16"/>
      <c r="DO32" s="16"/>
      <c r="DP32" s="16"/>
      <c r="DQ32" s="16"/>
      <c r="DR32" s="16"/>
      <c r="DS32" s="16"/>
      <c r="DT32" s="16"/>
      <c r="DU32" s="16"/>
      <c r="DV32" s="16"/>
      <c r="DW32" s="16"/>
      <c r="DX32" s="16"/>
      <c r="DY32" s="16"/>
      <c r="DZ32" s="16"/>
      <c r="EA32" s="16"/>
      <c r="EB32" s="16"/>
      <c r="EC32" s="16"/>
      <c r="ED32" s="16"/>
      <c r="EE32" s="16"/>
      <c r="EF32" s="16"/>
      <c r="EG32" s="16"/>
      <c r="EH32" s="16"/>
      <c r="EI32" s="16"/>
      <c r="EJ32" s="16"/>
      <c r="EK32" s="16"/>
      <c r="EL32" s="16"/>
      <c r="EM32" s="16"/>
      <c r="EN32" s="16"/>
      <c r="EO32" s="16"/>
      <c r="EP32" s="16"/>
      <c r="EQ32" s="16"/>
      <c r="ER32" s="16"/>
      <c r="ES32" s="16"/>
      <c r="ET32" s="16"/>
      <c r="EU32" s="16"/>
      <c r="EV32" s="16"/>
      <c r="EW32" s="16"/>
      <c r="EX32" s="16"/>
      <c r="EY32" s="16"/>
      <c r="EZ32" s="16"/>
      <c r="FA32" s="16"/>
      <c r="FB32" s="16"/>
      <c r="FC32" s="16"/>
      <c r="FD32" s="16"/>
      <c r="FE32" s="16"/>
      <c r="FF32" s="16"/>
      <c r="FG32" s="16"/>
      <c r="FH32" s="16"/>
      <c r="FI32" s="16"/>
      <c r="FJ32" s="16"/>
      <c r="FK32" s="16"/>
      <c r="FL32" s="16"/>
      <c r="FM32" s="16"/>
      <c r="FN32" s="16"/>
      <c r="FO32" s="16"/>
      <c r="FP32" s="16"/>
      <c r="FQ32" s="16"/>
      <c r="FR32" s="16"/>
      <c r="FS32" s="16"/>
      <c r="FT32" s="16"/>
      <c r="FU32" s="16"/>
      <c r="FV32" s="16"/>
    </row>
    <row r="33" spans="1:178" ht="15.75">
      <c r="A33" s="10" t="s">
        <v>25</v>
      </c>
      <c r="B33" s="309" t="s">
        <v>128</v>
      </c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10"/>
      <c r="P33" s="10"/>
      <c r="Q33" s="10">
        <f>10000+2175*2</f>
        <v>14350</v>
      </c>
      <c r="R33" s="10">
        <f>10000+2025*2</f>
        <v>14050</v>
      </c>
      <c r="S33" s="10">
        <f>10000+1875*2</f>
        <v>13750</v>
      </c>
      <c r="T33" s="10">
        <f>10000+1725*2</f>
        <v>13450</v>
      </c>
      <c r="U33" s="10">
        <f>5000+1500*2</f>
        <v>8000</v>
      </c>
      <c r="V33" s="10">
        <f>5000+1425*2</f>
        <v>7850</v>
      </c>
      <c r="W33" s="10">
        <f>5000+1350*2</f>
        <v>7700</v>
      </c>
      <c r="X33" s="10">
        <f>5000+1275*2</f>
        <v>7550</v>
      </c>
      <c r="Y33" s="10">
        <v>7034</v>
      </c>
      <c r="Z33" s="10">
        <v>6532</v>
      </c>
      <c r="AA33" s="10">
        <v>6277</v>
      </c>
      <c r="AB33" s="10">
        <v>6023</v>
      </c>
      <c r="AC33" s="263">
        <v>5831</v>
      </c>
      <c r="AD33" s="10">
        <v>5625</v>
      </c>
      <c r="AE33" s="10">
        <v>5404</v>
      </c>
      <c r="AF33" s="10">
        <v>5231</v>
      </c>
      <c r="AG33" s="10">
        <v>5032</v>
      </c>
      <c r="AH33" s="10">
        <v>4834</v>
      </c>
      <c r="AI33" s="10">
        <v>2735</v>
      </c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  <c r="FF33" s="16"/>
      <c r="FG33" s="16"/>
      <c r="FH33" s="16"/>
      <c r="FI33" s="16"/>
      <c r="FJ33" s="16"/>
      <c r="FK33" s="16"/>
      <c r="FL33" s="16"/>
      <c r="FM33" s="16"/>
      <c r="FN33" s="16"/>
      <c r="FO33" s="16"/>
      <c r="FP33" s="16"/>
      <c r="FQ33" s="16"/>
      <c r="FR33" s="16"/>
      <c r="FS33" s="16"/>
      <c r="FT33" s="16"/>
      <c r="FU33" s="16"/>
      <c r="FV33" s="16"/>
    </row>
    <row r="34" spans="1:178" ht="15.75">
      <c r="A34" s="10" t="s">
        <v>26</v>
      </c>
      <c r="B34" s="3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>
        <f>AF1321</f>
        <v>51223.107272727269</v>
      </c>
      <c r="W34" s="10">
        <f>AF1323</f>
        <v>50248.66</v>
      </c>
      <c r="X34" s="10">
        <f>AF1325</f>
        <v>48885.06</v>
      </c>
      <c r="Y34" s="10">
        <f>AF1327</f>
        <v>47521.459999999992</v>
      </c>
      <c r="Z34" s="10">
        <f>AF1329</f>
        <v>46157.86</v>
      </c>
      <c r="AA34" s="10">
        <f>AF1331</f>
        <v>44794.259999999995</v>
      </c>
      <c r="AB34" s="10">
        <f>AF1333</f>
        <v>43430.66</v>
      </c>
      <c r="AC34" s="263">
        <f>AF1335</f>
        <v>42067.06</v>
      </c>
      <c r="AD34" s="10">
        <f>AF1337</f>
        <v>40703.459999999992</v>
      </c>
      <c r="AE34" s="10">
        <f>AF1339</f>
        <v>39612.58</v>
      </c>
      <c r="AF34" s="10">
        <f>AF1341</f>
        <v>38521.699999999997</v>
      </c>
      <c r="AG34" s="10">
        <f>AF1343</f>
        <v>37430.82</v>
      </c>
      <c r="AH34" s="10">
        <f>AF1345</f>
        <v>36339.94</v>
      </c>
      <c r="AI34" s="10">
        <f>AF1347</f>
        <v>35521.78</v>
      </c>
      <c r="AJ34" s="16">
        <f>AF1349</f>
        <v>34703.620000000003</v>
      </c>
      <c r="AK34" s="16">
        <f>AF1351</f>
        <v>33851.379999999997</v>
      </c>
      <c r="AL34" s="16">
        <f>AF1353</f>
        <v>32965.040000000001</v>
      </c>
      <c r="AM34" s="16">
        <f>AF1355</f>
        <v>32044.6</v>
      </c>
      <c r="AN34" s="16">
        <f>AF1357</f>
        <v>31124.18</v>
      </c>
      <c r="AO34" s="16">
        <f>AF1359</f>
        <v>30169.660000000003</v>
      </c>
      <c r="AP34" s="16">
        <f>AF1361</f>
        <v>29215.14</v>
      </c>
      <c r="AQ34" s="16">
        <f>AF1363</f>
        <v>28260.620000000003</v>
      </c>
      <c r="AR34" s="16" t="s">
        <v>37</v>
      </c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  <c r="CS34" s="16"/>
      <c r="CT34" s="16"/>
      <c r="CU34" s="16"/>
      <c r="CV34" s="16"/>
      <c r="CW34" s="16"/>
      <c r="CX34" s="16"/>
      <c r="CY34" s="16"/>
      <c r="CZ34" s="16"/>
      <c r="DA34" s="16"/>
      <c r="DB34" s="16"/>
      <c r="DC34" s="16"/>
      <c r="DD34" s="16"/>
      <c r="DE34" s="16"/>
      <c r="DF34" s="16"/>
      <c r="DG34" s="16"/>
      <c r="DH34" s="16"/>
      <c r="DI34" s="16"/>
      <c r="DJ34" s="16"/>
      <c r="DK34" s="16"/>
      <c r="DL34" s="16"/>
      <c r="DM34" s="16"/>
      <c r="DN34" s="16"/>
      <c r="DO34" s="16"/>
      <c r="DP34" s="16"/>
      <c r="DQ34" s="16"/>
      <c r="DR34" s="16"/>
      <c r="DS34" s="16"/>
      <c r="DT34" s="16"/>
      <c r="DU34" s="16"/>
      <c r="DV34" s="16"/>
      <c r="DW34" s="16"/>
      <c r="DX34" s="16"/>
      <c r="DY34" s="16"/>
      <c r="DZ34" s="16"/>
      <c r="EA34" s="16"/>
      <c r="EB34" s="16"/>
      <c r="EC34" s="16"/>
      <c r="ED34" s="16"/>
      <c r="EE34" s="16"/>
      <c r="EF34" s="16"/>
      <c r="EG34" s="16"/>
      <c r="EH34" s="16"/>
      <c r="EI34" s="16"/>
      <c r="EJ34" s="16"/>
      <c r="EK34" s="16"/>
      <c r="EL34" s="16"/>
      <c r="EM34" s="16"/>
      <c r="EN34" s="16"/>
      <c r="EO34" s="16"/>
      <c r="EP34" s="16"/>
      <c r="EQ34" s="16"/>
      <c r="ER34" s="16"/>
      <c r="ES34" s="16"/>
      <c r="ET34" s="16"/>
      <c r="EU34" s="16"/>
      <c r="EV34" s="16"/>
      <c r="EW34" s="16"/>
      <c r="EX34" s="16"/>
      <c r="EY34" s="16"/>
      <c r="EZ34" s="16"/>
      <c r="FA34" s="16"/>
      <c r="FB34" s="16"/>
      <c r="FC34" s="16"/>
      <c r="FD34" s="16"/>
      <c r="FE34" s="16"/>
      <c r="FF34" s="16"/>
      <c r="FG34" s="16"/>
      <c r="FH34" s="16"/>
      <c r="FI34" s="16"/>
      <c r="FJ34" s="16"/>
      <c r="FK34" s="16"/>
      <c r="FL34" s="16"/>
      <c r="FM34" s="16"/>
      <c r="FN34" s="16"/>
      <c r="FO34" s="16"/>
      <c r="FP34" s="16"/>
      <c r="FQ34" s="16"/>
      <c r="FR34" s="16"/>
      <c r="FS34" s="16"/>
      <c r="FT34" s="16"/>
      <c r="FU34" s="16"/>
      <c r="FV34" s="16"/>
    </row>
    <row r="35" spans="1:178" ht="15.75">
      <c r="A35" s="10" t="s">
        <v>27</v>
      </c>
      <c r="B35" s="261">
        <f>DATE(2002,4,1)</f>
        <v>37347</v>
      </c>
      <c r="C35" s="10"/>
      <c r="D35" s="10">
        <v>0</v>
      </c>
      <c r="E35" s="10">
        <v>0</v>
      </c>
      <c r="F35" s="10">
        <f>AF836</f>
        <v>282480.48</v>
      </c>
      <c r="G35" s="10">
        <v>0</v>
      </c>
      <c r="H35" s="10">
        <f>AF832</f>
        <v>0</v>
      </c>
      <c r="I35" s="10">
        <f>AF834</f>
        <v>0</v>
      </c>
      <c r="J35" s="10">
        <f>AF836</f>
        <v>282480.48</v>
      </c>
      <c r="K35" s="10">
        <f>AF838</f>
        <v>275143.76</v>
      </c>
      <c r="L35" s="10">
        <f>AF840</f>
        <v>268943.76</v>
      </c>
      <c r="M35" s="10">
        <f>AF842</f>
        <v>262743.76</v>
      </c>
      <c r="N35" s="10">
        <f>AF844</f>
        <v>252318.76</v>
      </c>
      <c r="O35" s="10">
        <f>AF846</f>
        <v>245568.76</v>
      </c>
      <c r="P35" s="10">
        <f>AF848</f>
        <v>238068.76</v>
      </c>
      <c r="Q35" s="10">
        <f>AF852</f>
        <v>223068.76</v>
      </c>
      <c r="R35" s="10">
        <f>AF854</f>
        <v>216506.26</v>
      </c>
      <c r="S35" s="10">
        <f>135000+18850+18850</f>
        <v>172700</v>
      </c>
      <c r="T35" s="10">
        <f>130000+17500+17500</f>
        <v>165000</v>
      </c>
      <c r="U35" s="10">
        <f>125000+16200+16200</f>
        <v>157400</v>
      </c>
      <c r="V35" s="10">
        <f>125000+13700+13700</f>
        <v>152400</v>
      </c>
      <c r="W35" s="10">
        <f>125000+11200+11200</f>
        <v>147400</v>
      </c>
      <c r="X35" s="10">
        <f>120000+8700+8700</f>
        <v>137400</v>
      </c>
      <c r="Y35" s="10">
        <f>120000+6300+6300</f>
        <v>132600</v>
      </c>
      <c r="Z35" s="10">
        <f>120000+3900+3900</f>
        <v>127800</v>
      </c>
      <c r="AA35" s="10">
        <f>120000+1500+1500</f>
        <v>123000</v>
      </c>
      <c r="AB35" s="10">
        <v>0</v>
      </c>
      <c r="AC35" s="263">
        <f>AF876</f>
        <v>0</v>
      </c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</row>
    <row r="36" spans="1:178" ht="15.75">
      <c r="A36" s="10" t="s">
        <v>9</v>
      </c>
      <c r="B36" s="261">
        <f>DATE(2002,4,1)</f>
        <v>37347</v>
      </c>
      <c r="C36" s="10"/>
      <c r="D36" s="10">
        <v>0</v>
      </c>
      <c r="E36" s="10">
        <v>0</v>
      </c>
      <c r="F36" s="10">
        <f>AF477</f>
        <v>11375.000000000002</v>
      </c>
      <c r="G36" s="10">
        <f>AF479</f>
        <v>45500.000000000007</v>
      </c>
      <c r="H36" s="10">
        <f>AF481</f>
        <v>524800</v>
      </c>
      <c r="I36" s="10">
        <f>AF483</f>
        <v>288830.9315068493</v>
      </c>
      <c r="J36" s="10">
        <f>AF485</f>
        <v>63475</v>
      </c>
      <c r="K36" s="10">
        <f>AF487</f>
        <v>62075</v>
      </c>
      <c r="L36" s="10">
        <f>AF489</f>
        <v>60675</v>
      </c>
      <c r="M36" s="10">
        <f>AF491</f>
        <v>59275</v>
      </c>
      <c r="N36" s="10">
        <f>AF493</f>
        <v>58050</v>
      </c>
      <c r="O36" s="10">
        <f>AF495</f>
        <v>56475</v>
      </c>
      <c r="P36" s="10">
        <f>AF497</f>
        <v>49725</v>
      </c>
      <c r="Q36" s="10">
        <f>AF501</f>
        <v>46725</v>
      </c>
      <c r="R36" s="10">
        <f>AF503</f>
        <v>45412.5</v>
      </c>
      <c r="S36" s="10">
        <f>AF505</f>
        <v>44100</v>
      </c>
      <c r="T36" s="10">
        <v>38550</v>
      </c>
      <c r="U36" s="10">
        <v>37950</v>
      </c>
      <c r="V36" s="10">
        <v>36750</v>
      </c>
      <c r="W36" s="10">
        <v>35550</v>
      </c>
      <c r="X36" s="10">
        <v>34350</v>
      </c>
      <c r="Y36" s="10">
        <v>33150</v>
      </c>
      <c r="Z36" s="10">
        <v>31950</v>
      </c>
      <c r="AA36" s="10">
        <v>30750</v>
      </c>
      <c r="AB36" s="10"/>
      <c r="AC36" s="263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</row>
    <row r="37" spans="1:178" ht="15.75">
      <c r="A37" s="311" t="s">
        <v>132</v>
      </c>
      <c r="B37" s="312"/>
      <c r="C37" s="311"/>
      <c r="D37" s="311"/>
      <c r="E37" s="311"/>
      <c r="F37" s="311"/>
      <c r="G37" s="311"/>
      <c r="H37" s="311"/>
      <c r="I37" s="311"/>
      <c r="J37" s="311"/>
      <c r="K37" s="311"/>
      <c r="L37" s="311"/>
      <c r="M37" s="311"/>
      <c r="N37" s="311"/>
      <c r="O37" s="311"/>
      <c r="P37" s="311"/>
      <c r="Q37" s="311"/>
      <c r="R37" s="311"/>
      <c r="S37" s="311"/>
      <c r="T37" s="311"/>
      <c r="U37" s="311"/>
      <c r="V37" s="311"/>
      <c r="W37" s="311"/>
      <c r="X37" s="311"/>
      <c r="Y37" s="311">
        <v>56751</v>
      </c>
      <c r="Z37" s="313">
        <v>61859</v>
      </c>
      <c r="AA37" s="313">
        <f>56751+3831</f>
        <v>60582</v>
      </c>
      <c r="AB37" s="313">
        <f>56751+2554</f>
        <v>59305</v>
      </c>
      <c r="AC37" s="314">
        <f>56751+1277</f>
        <v>58028</v>
      </c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</row>
    <row r="38" spans="1:178" ht="15.75">
      <c r="A38" s="10" t="s">
        <v>133</v>
      </c>
      <c r="B38" s="261">
        <v>39340</v>
      </c>
      <c r="C38" s="10"/>
      <c r="D38" s="10"/>
      <c r="E38" s="10"/>
      <c r="F38" s="10"/>
      <c r="G38" s="10"/>
      <c r="H38" s="10"/>
      <c r="I38" s="10"/>
      <c r="J38" s="10"/>
      <c r="K38" s="10"/>
      <c r="L38" s="10">
        <f>2300000*2.75/100</f>
        <v>63250</v>
      </c>
      <c r="M38" s="10">
        <f>52250+2000000/20</f>
        <v>152250</v>
      </c>
      <c r="N38" s="10">
        <f>95000+(1900000-(95000*1))*SI</f>
        <v>113050</v>
      </c>
      <c r="O38" s="10">
        <f>1495000*0.04</f>
        <v>59800</v>
      </c>
      <c r="P38" s="10">
        <f>55000+59800</f>
        <v>114800</v>
      </c>
      <c r="Q38" s="10">
        <f>60000+55400</f>
        <v>115400</v>
      </c>
      <c r="R38" s="10">
        <f>60000+51800</f>
        <v>111800</v>
      </c>
      <c r="S38" s="10">
        <f>60000+49400</f>
        <v>109400</v>
      </c>
      <c r="T38" s="10">
        <f>65000+24100+22800</f>
        <v>111900</v>
      </c>
      <c r="U38" s="10">
        <f>65000+22800+21500</f>
        <v>109300</v>
      </c>
      <c r="V38" s="10">
        <f>70000+21500+20100</f>
        <v>111600</v>
      </c>
      <c r="W38" s="10">
        <f>75000+20100+18600</f>
        <v>113700</v>
      </c>
      <c r="X38" s="10">
        <f>75000+18600+17100</f>
        <v>110700</v>
      </c>
      <c r="Y38" s="10">
        <v>106759</v>
      </c>
      <c r="Z38" s="10">
        <f>91818+12913</f>
        <v>104731</v>
      </c>
      <c r="AA38" s="10">
        <f>89893.19+10987.67</f>
        <v>100880.86</v>
      </c>
      <c r="AB38" s="10">
        <f>92654.67+8945.99</f>
        <v>101600.66</v>
      </c>
      <c r="AC38" s="263">
        <f>97036.99+6743.72</f>
        <v>103780.71</v>
      </c>
      <c r="AD38" s="10">
        <f>99600.72+4422.29</f>
        <v>104023.01</v>
      </c>
      <c r="AE38" s="10">
        <f>102054.29+1981.49</f>
        <v>104035.78</v>
      </c>
      <c r="AF38" s="10">
        <f>99613.49+1005.17</f>
        <v>100618.66</v>
      </c>
      <c r="AG38" s="10">
        <v>101522.17</v>
      </c>
      <c r="AH38" s="10"/>
      <c r="AI38" s="10"/>
      <c r="AJ38" s="10"/>
      <c r="AK38" s="10"/>
      <c r="AL38" s="10"/>
      <c r="AM38" s="10"/>
      <c r="AN38" s="10"/>
      <c r="AO38" s="10"/>
      <c r="AP38" s="10"/>
      <c r="AQ38" s="10"/>
    </row>
    <row r="39" spans="1:178" ht="15.75">
      <c r="A39" s="10" t="s">
        <v>28</v>
      </c>
      <c r="B39" s="261">
        <v>39340</v>
      </c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>
        <f>3434750*0.04/2</f>
        <v>68695</v>
      </c>
      <c r="P39" s="10">
        <f>189750+137390</f>
        <v>327140</v>
      </c>
      <c r="Q39" s="10">
        <f>180000+122400</f>
        <v>302400</v>
      </c>
      <c r="R39" s="10">
        <f>180000+111600</f>
        <v>291600</v>
      </c>
      <c r="S39" s="10">
        <f>180000+104400</f>
        <v>284400</v>
      </c>
      <c r="T39" s="10">
        <f>180000+50400+46800</f>
        <v>277200</v>
      </c>
      <c r="U39" s="10">
        <f>180000+46800+43200</f>
        <v>270000</v>
      </c>
      <c r="V39" s="10">
        <f>180000+43200+39600</f>
        <v>262800</v>
      </c>
      <c r="W39" s="10">
        <f>180000+39600+36000</f>
        <v>255600</v>
      </c>
      <c r="X39" s="10">
        <f>180000+36000+32400</f>
        <v>248400</v>
      </c>
      <c r="Y39" s="10">
        <v>229618</v>
      </c>
      <c r="Z39" s="10">
        <f>191108+24013</f>
        <v>215121</v>
      </c>
      <c r="AA39" s="10">
        <f>187031.81+19937.33</f>
        <v>206969.14</v>
      </c>
      <c r="AB39" s="10">
        <f>183270.33+15854.01</f>
        <v>199124.34</v>
      </c>
      <c r="AC39" s="263">
        <f>182763.01+11681.28</f>
        <v>194444.29</v>
      </c>
      <c r="AD39" s="10">
        <f>178824.28+7502.71</f>
        <v>186326.99</v>
      </c>
      <c r="AE39" s="10">
        <f>174870.71+3318.51</f>
        <v>178189.22</v>
      </c>
      <c r="AF39" s="10">
        <f>170686.51+1644.83</f>
        <v>172331.34</v>
      </c>
      <c r="AG39" s="10">
        <f>166127.83</f>
        <v>166127.82999999999</v>
      </c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</row>
    <row r="40" spans="1:178" ht="15.75">
      <c r="A40" s="10" t="s">
        <v>29</v>
      </c>
      <c r="B40" s="310" t="s">
        <v>128</v>
      </c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315"/>
      <c r="N40" s="10"/>
      <c r="O40" s="10"/>
      <c r="P40" s="10"/>
      <c r="Q40" s="264">
        <f>17475+3503.05+3328.3+262.73+249.62</f>
        <v>24818.699999999997</v>
      </c>
      <c r="R40" s="10">
        <f>17828+3328.3+3150.02+249.62+236.25</f>
        <v>24792.19</v>
      </c>
      <c r="S40" s="10">
        <f>18189+3150.02+2968.13+236.25+222.61</f>
        <v>24766.010000000002</v>
      </c>
      <c r="T40" s="10">
        <f>18556+2968.13+2782.57+222.61+208.69</f>
        <v>24738</v>
      </c>
      <c r="U40" s="10">
        <f>18931+2782.57+2593.26+208.69+194.49</f>
        <v>24710.010000000002</v>
      </c>
      <c r="V40" s="10">
        <f>19313+2593.26+2400.13+194.49+180.01</f>
        <v>24680.890000000003</v>
      </c>
      <c r="W40" s="10">
        <f>19703+2400.13+2203.1+180.01+165.23</f>
        <v>24651.469999999998</v>
      </c>
      <c r="X40" s="10">
        <f>20102+2203.1+2002.08+165.23+150.16</f>
        <v>24622.57</v>
      </c>
      <c r="Y40" s="10">
        <f>20508+2002.08+1797+150.16+134.78</f>
        <v>24592.02</v>
      </c>
      <c r="Z40" s="10">
        <f>20922+1797+1587.78+134.78+119.08</f>
        <v>24560.639999999999</v>
      </c>
      <c r="AA40" s="10">
        <f>21345+1587.78+1374.33+119.08+103.07</f>
        <v>24529.260000000002</v>
      </c>
      <c r="AB40" s="10">
        <f>21776+1374.33+1156.57+103.07+86.74</f>
        <v>24496.710000000003</v>
      </c>
      <c r="AC40" s="263">
        <f>22216+1156.57+934.41+86.74+70.08</f>
        <v>24463.800000000003</v>
      </c>
      <c r="AD40" s="10">
        <f>22664+934.41+707.77+70.08+53.08</f>
        <v>24429.340000000004</v>
      </c>
      <c r="AE40" s="10">
        <f>23122+707.77+476.55+53.08+35.74</f>
        <v>24395.140000000003</v>
      </c>
      <c r="AF40" s="10">
        <f>23589+476.55+240.66+35.74+18.05</f>
        <v>24360</v>
      </c>
      <c r="AG40" s="10">
        <f>24066+240.66+18.05</f>
        <v>24324.71</v>
      </c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</row>
    <row r="41" spans="1:178" ht="15.75">
      <c r="A41" s="10" t="s">
        <v>30</v>
      </c>
      <c r="B41" s="310" t="s">
        <v>128</v>
      </c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315"/>
      <c r="N41" s="10"/>
      <c r="O41" s="10"/>
      <c r="P41" s="10">
        <f>4000000*SI</f>
        <v>40000</v>
      </c>
      <c r="Q41" s="10">
        <f>360000+124050*2</f>
        <v>608100</v>
      </c>
      <c r="R41" s="10">
        <f>360000+118650*2</f>
        <v>597300</v>
      </c>
      <c r="S41" s="10">
        <f>360000+113250*2</f>
        <v>586500</v>
      </c>
      <c r="T41" s="10">
        <f>360000+107850*2</f>
        <v>575700</v>
      </c>
      <c r="U41" s="10">
        <f>360000+99750*2</f>
        <v>559500</v>
      </c>
      <c r="V41" s="10">
        <f>360000+94350*2</f>
        <v>548700</v>
      </c>
      <c r="W41" s="10">
        <f>360000+88950*2</f>
        <v>537900</v>
      </c>
      <c r="X41" s="10">
        <f>360000+83550*2</f>
        <v>527100</v>
      </c>
      <c r="Y41" s="10">
        <v>494239</v>
      </c>
      <c r="Z41" s="10">
        <f>406331+53567</f>
        <v>459898</v>
      </c>
      <c r="AA41" s="10">
        <f>396823.16+44984.74</f>
        <v>441807.89999999997</v>
      </c>
      <c r="AB41" s="10">
        <f>387338.74+36425.89</f>
        <v>423764.63</v>
      </c>
      <c r="AC41" s="263">
        <f>382392.89+27776.71</f>
        <v>410169.60000000003</v>
      </c>
      <c r="AD41" s="10">
        <f>376453.71+19059.79</f>
        <v>395513.5</v>
      </c>
      <c r="AE41" s="10">
        <f>369542.79+10297.71</f>
        <v>379840.5</v>
      </c>
      <c r="AF41" s="10">
        <f>360780.71+6792.88</f>
        <v>367573.59</v>
      </c>
      <c r="AG41" s="10">
        <f>350049.88+3360.31</f>
        <v>353410.19</v>
      </c>
      <c r="AH41" s="10">
        <v>339391.31</v>
      </c>
      <c r="AI41" s="10"/>
      <c r="AJ41" s="10"/>
      <c r="AK41" s="10"/>
      <c r="AL41" s="10"/>
      <c r="AM41" s="10"/>
      <c r="AN41" s="10"/>
      <c r="AO41" s="10"/>
      <c r="AP41" s="10"/>
      <c r="AQ41" s="10"/>
      <c r="AR41" s="10"/>
    </row>
    <row r="42" spans="1:178" ht="15.75">
      <c r="A42" s="10" t="s">
        <v>31</v>
      </c>
      <c r="B42" s="310" t="s">
        <v>128</v>
      </c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315"/>
      <c r="N42" s="10"/>
      <c r="O42" s="10"/>
      <c r="P42" s="10"/>
      <c r="Q42" s="10">
        <f>80000+26400*2</f>
        <v>132800</v>
      </c>
      <c r="R42" s="10">
        <f>80000+25200*2</f>
        <v>130400</v>
      </c>
      <c r="S42" s="10">
        <f>80000+24000*2</f>
        <v>128000</v>
      </c>
      <c r="T42" s="10">
        <f>80000+22800*2</f>
        <v>125600</v>
      </c>
      <c r="U42" s="10">
        <f>75000+21000*2</f>
        <v>117000</v>
      </c>
      <c r="V42" s="10">
        <f>75000+19875*2</f>
        <v>114750</v>
      </c>
      <c r="W42" s="10">
        <f>75000+18750*2</f>
        <v>112500</v>
      </c>
      <c r="X42" s="10">
        <f>75000+17625*2</f>
        <v>110250</v>
      </c>
      <c r="Y42" s="10">
        <v>104416</v>
      </c>
      <c r="Z42" s="10">
        <f>85845+11317</f>
        <v>97162</v>
      </c>
      <c r="AA42" s="10">
        <f>83835.8+9503.82</f>
        <v>93339.62</v>
      </c>
      <c r="AB42" s="10">
        <f>81831.82+7695.62</f>
        <v>89527.44</v>
      </c>
      <c r="AC42" s="263">
        <f>80787.62+5868.32</f>
        <v>86655.94</v>
      </c>
      <c r="AD42" s="10">
        <f>79532.32+4026.72</f>
        <v>83559.040000000008</v>
      </c>
      <c r="AE42" s="10">
        <f>78072.72+2175.57</f>
        <v>80248.290000000008</v>
      </c>
      <c r="AF42" s="10">
        <f>76221.57+1435.11</f>
        <v>77656.680000000008</v>
      </c>
      <c r="AG42" s="10">
        <f>73954.11+709.92</f>
        <v>74664.03</v>
      </c>
      <c r="AH42" s="10">
        <v>71701.919999999998</v>
      </c>
      <c r="AI42" s="10"/>
      <c r="AJ42" s="10"/>
      <c r="AK42" s="10"/>
      <c r="AL42" s="10"/>
      <c r="AM42" s="10"/>
      <c r="AN42" s="10"/>
      <c r="AO42" s="10"/>
      <c r="AP42" s="10"/>
      <c r="AQ42" s="10"/>
      <c r="AR42" s="10"/>
    </row>
    <row r="43" spans="1:178" ht="15.75">
      <c r="A43" s="9" t="s">
        <v>32</v>
      </c>
      <c r="B43" s="262"/>
      <c r="C43" s="316"/>
      <c r="D43" s="316"/>
      <c r="E43" s="316"/>
      <c r="F43" s="316"/>
      <c r="G43" s="316"/>
      <c r="H43" s="316"/>
      <c r="I43" s="316"/>
      <c r="J43" s="316"/>
      <c r="K43" s="316"/>
      <c r="L43" s="316"/>
      <c r="M43" s="317"/>
      <c r="N43" s="318"/>
      <c r="O43" s="318"/>
      <c r="P43" s="318"/>
      <c r="Q43" s="318"/>
      <c r="R43" s="9">
        <v>0</v>
      </c>
      <c r="S43" s="9">
        <v>0</v>
      </c>
      <c r="T43" s="9">
        <f>AF1105</f>
        <v>37651.800000000003</v>
      </c>
      <c r="U43" s="9">
        <f>+AF1107</f>
        <v>75303.600000000006</v>
      </c>
      <c r="V43" s="9">
        <f>+AF1109</f>
        <v>425618.11076923076</v>
      </c>
      <c r="W43" s="9">
        <f>+AF1111</f>
        <v>414795.92000000004</v>
      </c>
      <c r="X43" s="9">
        <f>AF1113</f>
        <v>401328.52</v>
      </c>
      <c r="Y43" s="9">
        <f>+AF1115</f>
        <v>387861.12</v>
      </c>
      <c r="Z43" s="9">
        <f>+AF1117</f>
        <v>374393.72</v>
      </c>
      <c r="AA43" s="9">
        <f>+AF1119</f>
        <v>360926.32000000007</v>
      </c>
      <c r="AB43" s="9">
        <f>+AF1121</f>
        <v>347458.92000000004</v>
      </c>
      <c r="AC43" s="260">
        <f>+AF1123</f>
        <v>333991.52</v>
      </c>
      <c r="AD43" s="9">
        <f>+AF1125</f>
        <v>320524.12</v>
      </c>
      <c r="AE43" s="9">
        <f>+AF1127</f>
        <v>309750.19999999995</v>
      </c>
      <c r="AF43" s="9">
        <f>+AF1129</f>
        <v>298976.28000000003</v>
      </c>
      <c r="AG43" s="9">
        <f>+AF1131</f>
        <v>288202.36</v>
      </c>
      <c r="AH43" s="9">
        <f>+AF1133</f>
        <v>277428.43999999994</v>
      </c>
      <c r="AI43" s="9">
        <f>+AF1135</f>
        <v>0</v>
      </c>
      <c r="AJ43" s="9">
        <f>+AF1137</f>
        <v>0</v>
      </c>
      <c r="AK43" s="318"/>
      <c r="AL43" s="319"/>
      <c r="AM43" s="320"/>
      <c r="AN43" s="320"/>
      <c r="AO43" s="10"/>
      <c r="AP43" s="10"/>
      <c r="AQ43" s="10"/>
    </row>
    <row r="44" spans="1:178" ht="15.75">
      <c r="A44" s="9" t="s">
        <v>33</v>
      </c>
      <c r="B44" s="262"/>
      <c r="C44" s="316"/>
      <c r="D44" s="316"/>
      <c r="E44" s="316"/>
      <c r="F44" s="316"/>
      <c r="G44" s="316"/>
      <c r="H44" s="316"/>
      <c r="I44" s="316"/>
      <c r="J44" s="316"/>
      <c r="K44" s="316"/>
      <c r="L44" s="316"/>
      <c r="M44" s="317"/>
      <c r="N44" s="318"/>
      <c r="O44" s="318"/>
      <c r="P44" s="318"/>
      <c r="Q44" s="318"/>
      <c r="V44" s="9">
        <f>X1109</f>
        <v>55193.74538461538</v>
      </c>
      <c r="W44" s="9">
        <f>X1111</f>
        <v>53782.959999999992</v>
      </c>
      <c r="X44" s="9">
        <f>X1113</f>
        <v>52036.759999999995</v>
      </c>
      <c r="Y44" s="9">
        <f>X1115</f>
        <v>50290.559999999998</v>
      </c>
      <c r="Z44" s="9">
        <f>X1117</f>
        <v>48544.36</v>
      </c>
      <c r="AA44" s="9">
        <f>X1119</f>
        <v>46798.16</v>
      </c>
      <c r="AB44" s="9">
        <f>X1121</f>
        <v>45051.959999999992</v>
      </c>
      <c r="AC44" s="260">
        <f>X1123</f>
        <v>43305.759999999995</v>
      </c>
      <c r="AD44" s="9">
        <f>X1125</f>
        <v>41559.56</v>
      </c>
      <c r="AE44" s="9">
        <f>X1127</f>
        <v>40162.600000000006</v>
      </c>
      <c r="AF44" s="9">
        <f>X1129</f>
        <v>38765.64</v>
      </c>
      <c r="AG44" s="9">
        <f>X1131</f>
        <v>37368.679999999993</v>
      </c>
      <c r="AH44" s="9">
        <f>X1133</f>
        <v>35971.72</v>
      </c>
      <c r="AK44" s="318"/>
      <c r="AL44" s="319"/>
      <c r="AM44" s="320"/>
      <c r="AN44" s="320"/>
      <c r="AO44" s="10"/>
      <c r="AP44" s="10"/>
      <c r="AQ44" s="10"/>
    </row>
    <row r="45" spans="1:178" ht="15.75">
      <c r="A45" s="9" t="s">
        <v>34</v>
      </c>
      <c r="B45" s="262"/>
      <c r="C45" s="316"/>
      <c r="D45" s="316"/>
      <c r="E45" s="316"/>
      <c r="F45" s="316"/>
      <c r="G45" s="316"/>
      <c r="H45" s="316"/>
      <c r="I45" s="316"/>
      <c r="J45" s="316"/>
      <c r="K45" s="316"/>
      <c r="L45" s="316"/>
      <c r="M45" s="317"/>
      <c r="N45" s="318"/>
      <c r="O45" s="318"/>
      <c r="P45" s="318"/>
      <c r="Q45" s="318"/>
      <c r="V45" s="9">
        <f>8903+6271.59</f>
        <v>15174.59</v>
      </c>
      <c r="W45" s="9">
        <f>8888+2966.37+2966.37</f>
        <v>14820.739999999998</v>
      </c>
      <c r="X45" s="9">
        <f>8888+2744.17+2744.17</f>
        <v>14376.34</v>
      </c>
      <c r="Y45" s="9">
        <f>8888+2521.97+2521.97</f>
        <v>13931.939999999999</v>
      </c>
      <c r="Z45" s="9">
        <f>8888+2299.77+2299.77</f>
        <v>13487.54</v>
      </c>
      <c r="AA45" s="9">
        <f>8888+2077.57+2077.57</f>
        <v>13043.14</v>
      </c>
      <c r="AB45" s="9">
        <f>8888+1855.37+1855.37</f>
        <v>12598.739999999998</v>
      </c>
      <c r="AC45" s="260">
        <f>8888+1633.17+1633.17</f>
        <v>12154.34</v>
      </c>
      <c r="AD45" s="9">
        <f>8888+1410.97+1410.97</f>
        <v>11709.939999999999</v>
      </c>
      <c r="AE45" s="9">
        <f>8888+1233.21+1233.21</f>
        <v>11354.419999999998</v>
      </c>
      <c r="AF45" s="9">
        <f>8888+1055.45+1055.45</f>
        <v>10998.900000000001</v>
      </c>
      <c r="AG45" s="9">
        <f>8888+877.69+877.69</f>
        <v>10643.380000000001</v>
      </c>
      <c r="AH45" s="9">
        <f>8888+699.93+699.93</f>
        <v>10287.86</v>
      </c>
      <c r="AI45" s="9">
        <f>8888+566.61+566.61</f>
        <v>10021.220000000001</v>
      </c>
      <c r="AJ45" s="9">
        <f>8888+433.29+433.29</f>
        <v>9754.5800000000017</v>
      </c>
      <c r="AK45" s="9">
        <f>8888+294.42+294.42</f>
        <v>9476.84</v>
      </c>
      <c r="AL45" s="9">
        <f>8888+149.99+149.99</f>
        <v>9187.98</v>
      </c>
      <c r="AM45" s="10" t="s">
        <v>37</v>
      </c>
      <c r="AN45" s="320"/>
      <c r="AO45" s="10"/>
      <c r="AP45" s="10"/>
      <c r="AQ45" s="10"/>
    </row>
    <row r="46" spans="1:178" ht="15.75">
      <c r="A46" s="9" t="s">
        <v>35</v>
      </c>
      <c r="B46" s="262"/>
      <c r="C46" s="316"/>
      <c r="D46" s="316"/>
      <c r="E46" s="316"/>
      <c r="F46" s="316"/>
      <c r="G46" s="316"/>
      <c r="H46" s="316"/>
      <c r="I46" s="316"/>
      <c r="J46" s="316"/>
      <c r="K46" s="316"/>
      <c r="L46" s="316"/>
      <c r="M46" s="317"/>
      <c r="N46" s="318"/>
      <c r="O46" s="318"/>
      <c r="P46" s="318"/>
      <c r="Q46" s="318"/>
      <c r="R46" s="9">
        <v>0</v>
      </c>
      <c r="S46" s="9">
        <v>0</v>
      </c>
      <c r="T46" s="9">
        <v>25000</v>
      </c>
      <c r="U46" s="9">
        <f>3750000*0.0025</f>
        <v>9375</v>
      </c>
      <c r="V46" s="9">
        <f>AF1162</f>
        <v>94750</v>
      </c>
      <c r="W46" s="9">
        <f>AF1164</f>
        <v>94725</v>
      </c>
      <c r="X46" s="9">
        <f>AF1166</f>
        <v>94700</v>
      </c>
      <c r="Y46" s="9">
        <f>AF1168</f>
        <v>94675</v>
      </c>
      <c r="Z46" s="9">
        <f>AF1170</f>
        <v>257625</v>
      </c>
      <c r="AA46" s="9">
        <f>AF1172</f>
        <v>253331.25</v>
      </c>
      <c r="AB46" s="9">
        <f>AF1174</f>
        <v>249037.5</v>
      </c>
      <c r="AC46" s="260">
        <f>AF1176</f>
        <v>244743.75</v>
      </c>
      <c r="AD46" s="9">
        <f>AF1178</f>
        <v>240450</v>
      </c>
      <c r="AE46" s="9">
        <f>AF1180</f>
        <v>236156.25</v>
      </c>
      <c r="AF46" s="9">
        <f>AF1182</f>
        <v>231862.5</v>
      </c>
      <c r="AG46" s="9">
        <f>AF1184</f>
        <v>227568.75</v>
      </c>
      <c r="AH46" s="9">
        <f>AF1186</f>
        <v>223275</v>
      </c>
      <c r="AI46" s="9">
        <f>AF1188</f>
        <v>218981.25</v>
      </c>
      <c r="AJ46" s="9">
        <f>AF1190</f>
        <v>214687.5</v>
      </c>
      <c r="AK46" s="9">
        <f>AF1192</f>
        <v>210393.75</v>
      </c>
      <c r="AL46" s="9">
        <f>AF1194</f>
        <v>206100</v>
      </c>
      <c r="AM46" s="9">
        <f>AF1196</f>
        <v>201806.25</v>
      </c>
      <c r="AN46" s="9">
        <f>AF1198</f>
        <v>0</v>
      </c>
      <c r="AO46" s="10"/>
      <c r="AP46" s="10"/>
      <c r="AQ46" s="10"/>
    </row>
    <row r="47" spans="1:178" ht="15.75">
      <c r="A47" s="9" t="s">
        <v>92</v>
      </c>
      <c r="B47" s="262"/>
      <c r="C47" s="316"/>
      <c r="D47" s="316"/>
      <c r="E47" s="316"/>
      <c r="F47" s="316"/>
      <c r="G47" s="316"/>
      <c r="H47" s="316"/>
      <c r="I47" s="316"/>
      <c r="J47" s="316"/>
      <c r="K47" s="316"/>
      <c r="L47" s="316"/>
      <c r="M47" s="317"/>
      <c r="N47" s="318"/>
      <c r="O47" s="318"/>
      <c r="P47" s="318"/>
      <c r="Q47" s="318"/>
      <c r="X47" s="9">
        <v>0</v>
      </c>
      <c r="Y47" s="9">
        <v>0</v>
      </c>
      <c r="Z47" s="9">
        <f>AF1261</f>
        <v>70800</v>
      </c>
      <c r="AA47" s="9">
        <f>AF1263</f>
        <v>258628.23529411765</v>
      </c>
      <c r="AB47" s="9">
        <f>131882+68578</f>
        <v>200460</v>
      </c>
      <c r="AC47" s="260">
        <f>AF1267</f>
        <v>247800</v>
      </c>
      <c r="AD47" s="9">
        <f>AF1269</f>
        <v>242385.8823529412</v>
      </c>
      <c r="AE47" s="9">
        <f>AF1271</f>
        <v>236971.76470588235</v>
      </c>
      <c r="AF47" s="9">
        <f>AF1273</f>
        <v>231557.64705882355</v>
      </c>
      <c r="AG47" s="9">
        <f>AF1275</f>
        <v>226143.5294117647</v>
      </c>
      <c r="AH47" s="9">
        <f>AF1277</f>
        <v>220729.4117647059</v>
      </c>
      <c r="AI47" s="9">
        <f>AF1279</f>
        <v>215315.29411764705</v>
      </c>
      <c r="AJ47" s="9">
        <f>AF1281</f>
        <v>209901.17647058825</v>
      </c>
      <c r="AK47" s="9">
        <f>AF1283</f>
        <v>204487.05882352946</v>
      </c>
      <c r="AL47" s="9">
        <f>AF1285</f>
        <v>199072.9411764706</v>
      </c>
      <c r="AM47" s="9">
        <f>AF1287</f>
        <v>193658.82352941181</v>
      </c>
      <c r="AN47" s="9">
        <f>AF1289</f>
        <v>188244.70588235295</v>
      </c>
      <c r="AO47" s="9">
        <f>AF1291</f>
        <v>182830.58823529416</v>
      </c>
      <c r="AP47" s="9">
        <f>AF1293</f>
        <v>177416.4705882353</v>
      </c>
      <c r="AQ47" s="9">
        <f>AF1295</f>
        <v>172002.3529411765</v>
      </c>
    </row>
    <row r="48" spans="1:178" ht="15.75">
      <c r="A48" s="9" t="s">
        <v>36</v>
      </c>
      <c r="B48" s="262"/>
      <c r="C48" s="316"/>
      <c r="D48" s="316"/>
      <c r="E48" s="316"/>
      <c r="F48" s="316"/>
      <c r="G48" s="316"/>
      <c r="H48" s="316"/>
      <c r="I48" s="316"/>
      <c r="J48" s="316"/>
      <c r="K48" s="316"/>
      <c r="L48" s="316"/>
      <c r="M48" s="317"/>
      <c r="N48" s="318"/>
      <c r="O48" s="318"/>
      <c r="P48" s="318"/>
      <c r="Q48" s="318"/>
      <c r="S48" s="9">
        <v>0</v>
      </c>
      <c r="T48" s="9">
        <v>0</v>
      </c>
      <c r="U48" s="9">
        <f>AF1212</f>
        <v>5000</v>
      </c>
      <c r="V48" s="9">
        <f>AF1214</f>
        <v>191025.22333333333</v>
      </c>
      <c r="W48" s="9">
        <f>AF1216</f>
        <v>185332.83833333335</v>
      </c>
      <c r="X48" s="9">
        <f>AF1218</f>
        <v>178666.17833333334</v>
      </c>
      <c r="Y48" s="9">
        <f>AF1220</f>
        <v>171999.53833333336</v>
      </c>
      <c r="Z48" s="9">
        <f>AF1222</f>
        <v>165332.87833333333</v>
      </c>
      <c r="AA48" s="9">
        <f>AF1224</f>
        <v>158666.23833333334</v>
      </c>
      <c r="AB48" s="9">
        <f>AF1226</f>
        <v>151999.57833333334</v>
      </c>
      <c r="AC48" s="260">
        <f>AF1228</f>
        <v>145332.93833333332</v>
      </c>
      <c r="AD48" s="9">
        <f>AF1230</f>
        <v>138666.27833333335</v>
      </c>
      <c r="AE48" s="9" t="s">
        <v>37</v>
      </c>
      <c r="AO48" s="10"/>
      <c r="AP48" s="10"/>
      <c r="AQ48" s="10"/>
    </row>
    <row r="49" spans="1:43" s="321" customFormat="1" ht="15.75">
      <c r="A49" s="321" t="s">
        <v>581</v>
      </c>
      <c r="B49" s="322"/>
      <c r="C49" s="323"/>
      <c r="D49" s="323"/>
      <c r="E49" s="323"/>
      <c r="F49" s="323"/>
      <c r="G49" s="323"/>
      <c r="H49" s="323"/>
      <c r="I49" s="323"/>
      <c r="J49" s="323"/>
      <c r="K49" s="323"/>
      <c r="L49" s="323"/>
      <c r="M49" s="324"/>
      <c r="AA49" s="321">
        <v>1846119</v>
      </c>
      <c r="AB49" s="321">
        <v>5593219</v>
      </c>
      <c r="AC49" s="325">
        <v>5588969</v>
      </c>
      <c r="AD49" s="321">
        <v>5589469</v>
      </c>
      <c r="AE49" s="321">
        <v>5592319</v>
      </c>
      <c r="AF49" s="321">
        <v>5593319</v>
      </c>
      <c r="AG49" s="321">
        <v>5588069</v>
      </c>
      <c r="AH49" s="321">
        <v>5591569</v>
      </c>
      <c r="AI49" s="321">
        <v>5593069</v>
      </c>
      <c r="AJ49" s="321">
        <v>5592469</v>
      </c>
      <c r="AK49" s="321">
        <v>5592069</v>
      </c>
      <c r="AL49" s="321">
        <v>5591669</v>
      </c>
      <c r="AM49" s="321">
        <v>5591069</v>
      </c>
      <c r="AN49" s="321">
        <v>5590069</v>
      </c>
      <c r="AO49" s="321">
        <v>5590119</v>
      </c>
      <c r="AP49" s="321">
        <v>5591869</v>
      </c>
      <c r="AQ49" s="321">
        <v>5590169</v>
      </c>
    </row>
    <row r="50" spans="1:43" s="17" customFormat="1" ht="15.75">
      <c r="A50" s="17" t="s">
        <v>134</v>
      </c>
      <c r="B50" s="326"/>
      <c r="M50" s="327"/>
      <c r="AA50" s="17">
        <f>AF1001</f>
        <v>27000</v>
      </c>
      <c r="AB50" s="17">
        <f>AF1003</f>
        <v>26300</v>
      </c>
      <c r="AC50" s="328">
        <f>AF1005</f>
        <v>25600</v>
      </c>
      <c r="AD50" s="17">
        <f>AF1007</f>
        <v>24900</v>
      </c>
      <c r="AE50" s="17">
        <f>AF1009</f>
        <v>24200</v>
      </c>
      <c r="AF50" s="17">
        <f>AF1011</f>
        <v>23500</v>
      </c>
      <c r="AG50" s="17">
        <f>AF1013</f>
        <v>22800</v>
      </c>
      <c r="AH50" s="17">
        <f>AF1015</f>
        <v>22100</v>
      </c>
      <c r="AI50" s="17">
        <f>AF1017</f>
        <v>21400</v>
      </c>
      <c r="AJ50" s="17">
        <f>AF1019</f>
        <v>20700</v>
      </c>
      <c r="AK50" s="17">
        <f>AF1021</f>
        <v>0</v>
      </c>
    </row>
    <row r="51" spans="1:43" s="17" customFormat="1" ht="15.75">
      <c r="A51" s="17" t="s">
        <v>135</v>
      </c>
      <c r="B51" s="326"/>
      <c r="M51" s="327"/>
      <c r="W51" s="329"/>
      <c r="AA51" s="17">
        <f>AF1031</f>
        <v>47655</v>
      </c>
      <c r="AB51" s="17">
        <f>AF1033</f>
        <v>46419.5</v>
      </c>
      <c r="AC51" s="328">
        <f>AF1035</f>
        <v>45184</v>
      </c>
      <c r="AD51" s="17">
        <f>AF1037</f>
        <v>43948.5</v>
      </c>
      <c r="AE51" s="17">
        <f>AF1039</f>
        <v>42713</v>
      </c>
      <c r="AF51" s="17">
        <f>AF1041</f>
        <v>41477.5</v>
      </c>
      <c r="AG51" s="17">
        <f>AF1043</f>
        <v>40242</v>
      </c>
      <c r="AH51" s="17">
        <f>AF1045</f>
        <v>39006.5</v>
      </c>
      <c r="AI51" s="17">
        <f>AF1047</f>
        <v>37771</v>
      </c>
      <c r="AJ51" s="17">
        <f>AF1049</f>
        <v>36535.5</v>
      </c>
      <c r="AK51" s="17">
        <f>AF1051</f>
        <v>0</v>
      </c>
      <c r="AL51" s="329"/>
      <c r="AM51" s="329"/>
      <c r="AN51" s="329"/>
      <c r="AO51" s="329"/>
      <c r="AP51" s="329"/>
      <c r="AQ51" s="329"/>
    </row>
    <row r="52" spans="1:43">
      <c r="C52" s="266"/>
      <c r="D52" s="266"/>
      <c r="E52" s="266"/>
      <c r="F52" s="266"/>
      <c r="G52" s="266"/>
      <c r="H52" s="266"/>
      <c r="I52" s="266"/>
      <c r="J52" s="266"/>
      <c r="K52" s="266"/>
      <c r="L52" s="266"/>
      <c r="M52" s="266"/>
      <c r="N52" s="266"/>
      <c r="O52" s="266"/>
      <c r="P52" s="266"/>
      <c r="R52" s="266"/>
      <c r="T52" s="266"/>
      <c r="U52" s="266"/>
      <c r="V52" s="266"/>
      <c r="X52" s="266"/>
      <c r="Y52" s="266"/>
      <c r="Z52" s="266"/>
      <c r="AA52" s="266"/>
      <c r="AB52" s="266"/>
      <c r="AC52" s="267"/>
      <c r="AD52" s="266"/>
      <c r="AE52" s="266"/>
      <c r="AF52" s="266"/>
      <c r="AG52" s="266"/>
      <c r="AH52" s="266"/>
      <c r="AI52" s="266"/>
      <c r="AJ52" s="266"/>
      <c r="AK52" s="266"/>
    </row>
    <row r="53" spans="1:43">
      <c r="A53" s="11" t="s">
        <v>582</v>
      </c>
      <c r="C53" s="9">
        <f>SUM(C30:C31)</f>
        <v>0</v>
      </c>
      <c r="D53" s="9">
        <f t="shared" ref="D53:I53" si="13">SUM(D32:D36)</f>
        <v>0</v>
      </c>
      <c r="E53" s="9">
        <f t="shared" si="13"/>
        <v>0</v>
      </c>
      <c r="F53" s="9">
        <f t="shared" si="13"/>
        <v>293855.48</v>
      </c>
      <c r="G53" s="9">
        <f t="shared" si="13"/>
        <v>45500.000000000007</v>
      </c>
      <c r="H53" s="9">
        <f t="shared" si="13"/>
        <v>524800</v>
      </c>
      <c r="I53" s="9">
        <f t="shared" si="13"/>
        <v>288830.9315068493</v>
      </c>
      <c r="J53" s="9">
        <f>SUM(J30:J36)</f>
        <v>416877.98</v>
      </c>
      <c r="K53" s="9">
        <f>SUM(K30:K38)</f>
        <v>405771.26</v>
      </c>
      <c r="L53" s="9">
        <f t="shared" ref="L53:R53" si="14">SUM(L30:L46)</f>
        <v>462171.26</v>
      </c>
      <c r="M53" s="9">
        <f t="shared" si="14"/>
        <v>558941.26</v>
      </c>
      <c r="N53" s="9">
        <f t="shared" si="14"/>
        <v>497941.26</v>
      </c>
      <c r="O53" s="9">
        <f t="shared" si="14"/>
        <v>430538.76</v>
      </c>
      <c r="P53" s="9">
        <f t="shared" si="14"/>
        <v>769733.76</v>
      </c>
      <c r="Q53" s="265">
        <f t="shared" si="14"/>
        <v>2081462.46</v>
      </c>
      <c r="R53" s="9">
        <f t="shared" si="14"/>
        <v>2034710.95</v>
      </c>
      <c r="S53" s="265">
        <f t="shared" ref="S53:Z53" si="15">SUM(S30:S48)</f>
        <v>1950896.01</v>
      </c>
      <c r="T53" s="265">
        <f t="shared" si="15"/>
        <v>1978889.8</v>
      </c>
      <c r="U53" s="330">
        <f t="shared" si="15"/>
        <v>1940838.61</v>
      </c>
      <c r="V53" s="265">
        <f t="shared" si="15"/>
        <v>2658380.3726422591</v>
      </c>
      <c r="W53" s="265">
        <f t="shared" si="15"/>
        <v>2603478.1765686278</v>
      </c>
      <c r="X53" s="265">
        <f t="shared" si="15"/>
        <v>2534041.8989215684</v>
      </c>
      <c r="Y53" s="265">
        <f t="shared" si="15"/>
        <v>2470664.6383333337</v>
      </c>
      <c r="Z53" s="265">
        <f t="shared" si="15"/>
        <v>2581495.2336274511</v>
      </c>
      <c r="AA53" s="265">
        <f>SUM(AA30:AA51)</f>
        <v>4602253.5712745097</v>
      </c>
      <c r="AB53" s="265">
        <f>SUM(AB30:AB51)</f>
        <v>8058636.4283333328</v>
      </c>
      <c r="AC53" s="331">
        <f>SUM(AC30:AC51)</f>
        <v>8037451.3606862742</v>
      </c>
      <c r="AD53" s="265">
        <f t="shared" ref="AD53:AQ53" si="16">SUM(AD30:AD51)</f>
        <v>7903773.0553921573</v>
      </c>
      <c r="AE53" s="265">
        <f t="shared" si="16"/>
        <v>7699365.0517647061</v>
      </c>
      <c r="AF53" s="265">
        <f t="shared" si="16"/>
        <v>7638201.716470588</v>
      </c>
      <c r="AG53" s="265">
        <f t="shared" si="16"/>
        <v>7570543.2111764699</v>
      </c>
      <c r="AH53" s="265">
        <f t="shared" si="16"/>
        <v>7225315.8658823529</v>
      </c>
      <c r="AI53" s="265">
        <f t="shared" si="16"/>
        <v>6150490.8005882353</v>
      </c>
      <c r="AJ53" s="265">
        <f t="shared" si="16"/>
        <v>6131398.4352941178</v>
      </c>
      <c r="AK53" s="265">
        <f t="shared" si="16"/>
        <v>6062630.9699999997</v>
      </c>
      <c r="AL53" s="265">
        <f t="shared" si="16"/>
        <v>6051053.784705882</v>
      </c>
      <c r="AM53" s="265">
        <f t="shared" si="16"/>
        <v>6018578.6735294117</v>
      </c>
      <c r="AN53" s="265">
        <f t="shared" si="16"/>
        <v>5809437.8858823534</v>
      </c>
      <c r="AO53" s="265">
        <f t="shared" si="16"/>
        <v>5803119.2482352946</v>
      </c>
      <c r="AP53" s="265">
        <f t="shared" si="16"/>
        <v>5798500.6105882358</v>
      </c>
      <c r="AQ53" s="265">
        <f t="shared" si="16"/>
        <v>5790431.972941177</v>
      </c>
    </row>
    <row r="54" spans="1:43">
      <c r="A54" s="11"/>
      <c r="C54" s="266"/>
      <c r="D54" s="266"/>
      <c r="E54" s="266"/>
      <c r="F54" s="266"/>
      <c r="G54" s="266"/>
      <c r="H54" s="266"/>
      <c r="I54" s="266"/>
      <c r="J54" s="266"/>
      <c r="K54" s="266"/>
      <c r="L54" s="266"/>
      <c r="M54" s="266"/>
      <c r="N54" s="266"/>
      <c r="O54" s="266"/>
      <c r="P54" s="266"/>
      <c r="R54" s="266"/>
      <c r="T54" s="266"/>
      <c r="U54" s="266"/>
      <c r="X54" s="266"/>
      <c r="Y54" s="266"/>
      <c r="Z54" s="266"/>
      <c r="AA54" s="266"/>
      <c r="AB54" s="266"/>
      <c r="AC54" s="267"/>
      <c r="AD54" s="266"/>
      <c r="AE54" s="266"/>
      <c r="AF54" s="266"/>
      <c r="AG54" s="266"/>
      <c r="AH54" s="266"/>
      <c r="AI54" s="266"/>
      <c r="AJ54" s="266"/>
      <c r="AK54" s="266"/>
    </row>
    <row r="55" spans="1:43">
      <c r="A55" s="11" t="s">
        <v>38</v>
      </c>
      <c r="C55" s="9">
        <f t="shared" ref="C55:S55" si="17">C22+C53</f>
        <v>0</v>
      </c>
      <c r="D55" s="9">
        <f t="shared" si="17"/>
        <v>630000</v>
      </c>
      <c r="E55" s="9">
        <f t="shared" si="17"/>
        <v>432073</v>
      </c>
      <c r="F55" s="9">
        <f t="shared" si="17"/>
        <v>714847.98</v>
      </c>
      <c r="G55" s="9">
        <f t="shared" si="17"/>
        <v>1242451.5</v>
      </c>
      <c r="H55" s="9">
        <f t="shared" si="17"/>
        <v>1862976.5</v>
      </c>
      <c r="I55" s="9">
        <f t="shared" si="17"/>
        <v>2102698.4315068494</v>
      </c>
      <c r="J55" s="9">
        <f t="shared" si="17"/>
        <v>1799411.3000000003</v>
      </c>
      <c r="K55" s="9">
        <f t="shared" si="17"/>
        <v>1804897.7505555553</v>
      </c>
      <c r="L55" s="9">
        <f t="shared" si="17"/>
        <v>1874697.7505555553</v>
      </c>
      <c r="M55" s="9">
        <f t="shared" si="17"/>
        <v>1969557.7505555553</v>
      </c>
      <c r="N55" s="9">
        <f t="shared" si="17"/>
        <v>1920467.7505555553</v>
      </c>
      <c r="O55" s="9">
        <f t="shared" si="17"/>
        <v>1750770.2505555553</v>
      </c>
      <c r="P55" s="9">
        <f t="shared" si="17"/>
        <v>1965937.2505555553</v>
      </c>
      <c r="Q55" s="265">
        <f t="shared" si="17"/>
        <v>5365228.4505555555</v>
      </c>
      <c r="R55" s="9">
        <f t="shared" si="17"/>
        <v>5279918.5894444436</v>
      </c>
      <c r="S55" s="265">
        <f t="shared" si="17"/>
        <v>5185199.1294444446</v>
      </c>
      <c r="T55" s="9" t="e">
        <f>T15+T53-T30-T31-#REF!</f>
        <v>#REF!</v>
      </c>
      <c r="U55" s="9" t="e">
        <f>U15+U53-U30-U31-#REF!</f>
        <v>#REF!</v>
      </c>
      <c r="V55" s="265" t="e">
        <f>V15+V53-V30-V31-#REF!-#REF!</f>
        <v>#REF!</v>
      </c>
      <c r="W55" s="265" t="e">
        <f>W15+W53-W30-W31-#REF!-#REF!-W34</f>
        <v>#REF!</v>
      </c>
      <c r="X55" s="9" t="e">
        <f>X15+X53-X30-X31-#REF!-#REF!</f>
        <v>#REF!</v>
      </c>
      <c r="Y55" s="9" t="e">
        <f>Y15+Y53-Y30-Y31-#REF!-#REF!</f>
        <v>#REF!</v>
      </c>
      <c r="Z55" s="9" t="e">
        <f>Z15+Z53-Z30-Z31-#REF!-#REF!</f>
        <v>#REF!</v>
      </c>
      <c r="AA55" s="9">
        <f>AA15+AA53-AA30-AA31-AA37-AA50-AA51-AA49</f>
        <v>7983203.6336274501</v>
      </c>
      <c r="AB55" s="9">
        <f t="shared" ref="AB55:AQ55" si="18">AB15+AB53-AB30-AB31-AB37-AB50-AB51-AB49</f>
        <v>5707373.378333332</v>
      </c>
      <c r="AC55" s="332">
        <f t="shared" si="18"/>
        <v>5586289.7383333333</v>
      </c>
      <c r="AD55" s="9">
        <f t="shared" si="18"/>
        <v>5402247.5106862765</v>
      </c>
      <c r="AE55" s="9">
        <f t="shared" si="18"/>
        <v>5103282.4947058838</v>
      </c>
      <c r="AF55" s="9">
        <f t="shared" si="18"/>
        <v>4953858.3970588241</v>
      </c>
      <c r="AG55" s="9">
        <f t="shared" si="18"/>
        <v>4799779.8394117635</v>
      </c>
      <c r="AH55" s="9">
        <f t="shared" si="18"/>
        <v>4289717.9417647067</v>
      </c>
      <c r="AI55" s="9">
        <f t="shared" si="18"/>
        <v>2570221.4641176471</v>
      </c>
      <c r="AJ55" s="9">
        <f t="shared" si="18"/>
        <v>2318863.676470588</v>
      </c>
      <c r="AK55" s="9">
        <f t="shared" si="18"/>
        <v>2262593.3088235296</v>
      </c>
      <c r="AL55" s="9">
        <f t="shared" si="18"/>
        <v>2204460.4411764694</v>
      </c>
      <c r="AM55" s="9">
        <f t="shared" si="18"/>
        <v>2134465.0735294111</v>
      </c>
      <c r="AN55" s="9">
        <f t="shared" si="18"/>
        <v>1877294.7058823537</v>
      </c>
      <c r="AO55" s="9">
        <f t="shared" si="18"/>
        <v>1820080.5882352944</v>
      </c>
      <c r="AP55" s="9">
        <f t="shared" si="18"/>
        <v>1762866.4705882352</v>
      </c>
      <c r="AQ55" s="9">
        <f t="shared" si="18"/>
        <v>1705652.3529411769</v>
      </c>
    </row>
    <row r="56" spans="1:43">
      <c r="A56" s="11"/>
      <c r="C56" s="266"/>
      <c r="D56" s="266"/>
      <c r="E56" s="266"/>
      <c r="F56" s="266"/>
      <c r="G56" s="266"/>
      <c r="H56" s="266"/>
      <c r="I56" s="266"/>
      <c r="J56" s="266"/>
      <c r="K56" s="266"/>
      <c r="L56" s="266"/>
      <c r="M56" s="266"/>
      <c r="N56" s="266"/>
      <c r="O56" s="266"/>
      <c r="P56" s="266"/>
      <c r="R56" s="266"/>
      <c r="T56" s="266"/>
      <c r="U56" s="266"/>
      <c r="V56" s="333"/>
      <c r="X56" s="266"/>
      <c r="Y56" s="266"/>
      <c r="Z56" s="266"/>
      <c r="AA56" s="266"/>
      <c r="AB56" s="266"/>
      <c r="AC56" s="267"/>
      <c r="AD56" s="266"/>
      <c r="AE56" s="266"/>
      <c r="AF56" s="266"/>
      <c r="AG56" s="266"/>
      <c r="AH56" s="266"/>
      <c r="AI56" s="266"/>
      <c r="AJ56" s="266"/>
      <c r="AK56" s="266"/>
    </row>
    <row r="57" spans="1:43">
      <c r="A57" s="11" t="s">
        <v>583</v>
      </c>
      <c r="C57" s="9">
        <f>AG100</f>
        <v>2965561.8</v>
      </c>
      <c r="D57" s="9">
        <f>AG101</f>
        <v>3094659.3</v>
      </c>
      <c r="E57" s="9">
        <f>AG102</f>
        <v>3149546.6625000001</v>
      </c>
      <c r="F57" s="9">
        <f>AG103</f>
        <v>3308251.6124999998</v>
      </c>
      <c r="G57" s="9">
        <f>AG104</f>
        <v>3422659.9125000001</v>
      </c>
      <c r="H57" s="9">
        <f>AG105</f>
        <v>3936386.2124999999</v>
      </c>
      <c r="I57" s="9">
        <f>AG106</f>
        <v>3980493.1259999997</v>
      </c>
      <c r="J57" s="9">
        <f>AG107</f>
        <v>4067767.9304999998</v>
      </c>
      <c r="K57" s="9">
        <f>AG108</f>
        <v>4500043.7805000003</v>
      </c>
      <c r="L57" s="9">
        <f>AG109</f>
        <v>4743276.9555000002</v>
      </c>
      <c r="M57" s="9">
        <f>AG110</f>
        <v>5015502.8129999992</v>
      </c>
      <c r="N57" s="9">
        <f>AG111</f>
        <v>5333265.7304999996</v>
      </c>
      <c r="O57" s="9">
        <f>AG111</f>
        <v>5333265.7304999996</v>
      </c>
      <c r="P57" s="9">
        <f>AG112</f>
        <v>5524197.0554999998</v>
      </c>
      <c r="Q57" s="265">
        <f>AG114</f>
        <v>3884622.8740000003</v>
      </c>
      <c r="R57" s="9">
        <f>AG115</f>
        <v>3996993.6500000004</v>
      </c>
      <c r="S57" s="265">
        <f>X116</f>
        <v>6508831.0499999998</v>
      </c>
      <c r="T57" s="9">
        <f>X117</f>
        <v>6772187.625</v>
      </c>
      <c r="U57" s="9">
        <f>X118</f>
        <v>7192522.7249999996</v>
      </c>
      <c r="V57" s="330">
        <f>X119</f>
        <v>7431642.0750000002</v>
      </c>
      <c r="W57" s="334">
        <f>X120</f>
        <v>7795984.5749999993</v>
      </c>
      <c r="X57" s="9">
        <f>X121</f>
        <v>7846687.0499999998</v>
      </c>
      <c r="Y57" s="9">
        <f>X122</f>
        <v>8026521.8999999994</v>
      </c>
      <c r="Z57" s="9">
        <f>X123</f>
        <v>8183423.3999999994</v>
      </c>
      <c r="AA57" s="9">
        <f>X124</f>
        <v>8381916.6749999998</v>
      </c>
      <c r="AB57" s="9">
        <f>X125</f>
        <v>8549555.0085000005</v>
      </c>
      <c r="AC57" s="260">
        <f>X126</f>
        <v>8720546.10867</v>
      </c>
      <c r="AD57" s="9">
        <f>X127</f>
        <v>8894957.0308433995</v>
      </c>
      <c r="AE57" s="9">
        <f>X128</f>
        <v>9072856.1714602672</v>
      </c>
      <c r="AF57" s="9">
        <f>X129</f>
        <v>9254313.2948894724</v>
      </c>
      <c r="AG57" s="9">
        <f>X130</f>
        <v>9439399.5607872624</v>
      </c>
      <c r="AH57" s="9">
        <f>X131</f>
        <v>9628187.5520030074</v>
      </c>
      <c r="AI57" s="9">
        <f>X132</f>
        <v>9820751.3030430675</v>
      </c>
      <c r="AJ57" s="9">
        <f>X133</f>
        <v>10017166.32910393</v>
      </c>
      <c r="AK57" s="334">
        <f>X134</f>
        <v>10217509.655686008</v>
      </c>
      <c r="AL57" s="334">
        <f>X135</f>
        <v>10421859.848799728</v>
      </c>
      <c r="AM57" s="334">
        <f>X136</f>
        <v>10630297.045775721</v>
      </c>
      <c r="AN57" s="334">
        <f>X137</f>
        <v>10842902.986691236</v>
      </c>
      <c r="AO57" s="334">
        <f>X138</f>
        <v>11059761.046425061</v>
      </c>
      <c r="AP57" s="334">
        <f>X139</f>
        <v>11280956.267353563</v>
      </c>
      <c r="AQ57" s="334">
        <f>X140</f>
        <v>11506575.392700635</v>
      </c>
    </row>
    <row r="58" spans="1:43" ht="15.75">
      <c r="A58" s="316"/>
      <c r="B58" s="335"/>
      <c r="C58" s="266"/>
      <c r="D58" s="266"/>
      <c r="E58" s="266"/>
      <c r="F58" s="266"/>
      <c r="G58" s="266"/>
      <c r="H58" s="266"/>
      <c r="I58" s="266"/>
      <c r="J58" s="266"/>
      <c r="K58" s="266"/>
      <c r="L58" s="266"/>
      <c r="M58" s="266"/>
      <c r="N58" s="266"/>
      <c r="O58" s="266"/>
      <c r="P58" s="266"/>
      <c r="R58" s="266"/>
      <c r="T58" s="266"/>
      <c r="U58" s="266"/>
      <c r="V58" s="266"/>
      <c r="X58" s="266"/>
      <c r="Y58" s="266"/>
      <c r="Z58" s="266"/>
      <c r="AA58" s="266"/>
      <c r="AB58" s="266"/>
      <c r="AC58" s="267"/>
      <c r="AD58" s="266"/>
      <c r="AE58" s="266"/>
      <c r="AF58" s="266"/>
      <c r="AG58" s="266"/>
      <c r="AH58" s="266"/>
      <c r="AI58" s="266"/>
      <c r="AJ58" s="266"/>
    </row>
    <row r="59" spans="1:43" ht="15.75" thickBot="1">
      <c r="A59" s="11" t="s">
        <v>584</v>
      </c>
      <c r="B59" s="11"/>
      <c r="C59" s="9">
        <f t="shared" ref="C59:AF59" si="19">C57-C55</f>
        <v>2965561.8</v>
      </c>
      <c r="D59" s="9">
        <f t="shared" si="19"/>
        <v>2464659.2999999998</v>
      </c>
      <c r="E59" s="9">
        <f t="shared" si="19"/>
        <v>2717473.6625000001</v>
      </c>
      <c r="F59" s="9">
        <f t="shared" si="19"/>
        <v>2593403.6324999998</v>
      </c>
      <c r="G59" s="9">
        <f t="shared" si="19"/>
        <v>2180208.4125000001</v>
      </c>
      <c r="H59" s="9">
        <f t="shared" si="19"/>
        <v>2073409.7124999999</v>
      </c>
      <c r="I59" s="9">
        <f t="shared" si="19"/>
        <v>1877794.6944931503</v>
      </c>
      <c r="J59" s="9">
        <f t="shared" si="19"/>
        <v>2268356.6304999995</v>
      </c>
      <c r="K59" s="9">
        <f t="shared" si="19"/>
        <v>2695146.029944445</v>
      </c>
      <c r="L59" s="9">
        <f t="shared" si="19"/>
        <v>2868579.2049444448</v>
      </c>
      <c r="M59" s="9">
        <f t="shared" si="19"/>
        <v>3045945.0624444438</v>
      </c>
      <c r="N59" s="9">
        <f t="shared" si="19"/>
        <v>3412797.9799444443</v>
      </c>
      <c r="O59" s="9">
        <f t="shared" si="19"/>
        <v>3582495.4799444443</v>
      </c>
      <c r="P59" s="9">
        <f t="shared" si="19"/>
        <v>3558259.8049444444</v>
      </c>
      <c r="Q59" s="268">
        <f t="shared" si="19"/>
        <v>-1480605.5765555552</v>
      </c>
      <c r="R59" s="268">
        <f t="shared" si="19"/>
        <v>-1282924.9394444432</v>
      </c>
      <c r="S59" s="268">
        <f t="shared" si="19"/>
        <v>1323631.9205555553</v>
      </c>
      <c r="T59" s="9" t="e">
        <f t="shared" si="19"/>
        <v>#REF!</v>
      </c>
      <c r="U59" s="9" t="e">
        <f t="shared" si="19"/>
        <v>#REF!</v>
      </c>
      <c r="V59" s="336" t="e">
        <f t="shared" si="19"/>
        <v>#REF!</v>
      </c>
      <c r="W59" s="268" t="e">
        <f t="shared" si="19"/>
        <v>#REF!</v>
      </c>
      <c r="X59" s="9" t="e">
        <f t="shared" si="19"/>
        <v>#REF!</v>
      </c>
      <c r="Y59" s="9" t="e">
        <f t="shared" si="19"/>
        <v>#REF!</v>
      </c>
      <c r="Z59" s="9" t="e">
        <f t="shared" si="19"/>
        <v>#REF!</v>
      </c>
      <c r="AA59" s="9">
        <f t="shared" si="19"/>
        <v>398713.04137254972</v>
      </c>
      <c r="AB59" s="9">
        <f t="shared" si="19"/>
        <v>2842181.6301666684</v>
      </c>
      <c r="AC59" s="260">
        <f t="shared" si="19"/>
        <v>3134256.3703366667</v>
      </c>
      <c r="AD59" s="9">
        <f t="shared" si="19"/>
        <v>3492709.520157123</v>
      </c>
      <c r="AE59" s="9">
        <f t="shared" si="19"/>
        <v>3969573.6767543834</v>
      </c>
      <c r="AF59" s="9">
        <f t="shared" si="19"/>
        <v>4300454.8978306483</v>
      </c>
      <c r="AG59" s="9">
        <f>AG57-AG55</f>
        <v>4639619.7213754989</v>
      </c>
      <c r="AH59" s="9">
        <f>AH57-AH55</f>
        <v>5338469.6102383006</v>
      </c>
      <c r="AI59" s="9">
        <f t="shared" ref="AI59:AQ59" si="20">AI57-AI55</f>
        <v>7250529.8389254203</v>
      </c>
      <c r="AJ59" s="9">
        <f t="shared" si="20"/>
        <v>7698302.652633342</v>
      </c>
      <c r="AK59" s="9">
        <f t="shared" si="20"/>
        <v>7954916.3468624782</v>
      </c>
      <c r="AL59" s="268">
        <f t="shared" si="20"/>
        <v>8217399.4076232584</v>
      </c>
      <c r="AM59" s="268">
        <f t="shared" si="20"/>
        <v>8495831.9722463097</v>
      </c>
      <c r="AN59" s="268">
        <f t="shared" si="20"/>
        <v>8965608.2808088828</v>
      </c>
      <c r="AO59" s="268">
        <f t="shared" si="20"/>
        <v>9239680.4581897669</v>
      </c>
      <c r="AP59" s="268">
        <f t="shared" si="20"/>
        <v>9518089.7967653275</v>
      </c>
      <c r="AQ59" s="268">
        <f t="shared" si="20"/>
        <v>9800923.0397594571</v>
      </c>
    </row>
    <row r="60" spans="1:43" ht="16.5" thickTop="1" thickBot="1">
      <c r="A60" s="11"/>
      <c r="C60" s="292"/>
      <c r="D60" s="292"/>
      <c r="E60" s="292"/>
      <c r="F60" s="292"/>
      <c r="G60" s="292"/>
      <c r="H60" s="292"/>
      <c r="I60" s="292"/>
      <c r="J60" s="292"/>
      <c r="K60" s="292"/>
      <c r="L60" s="292"/>
      <c r="M60" s="292"/>
      <c r="N60" s="292"/>
      <c r="O60" s="292"/>
      <c r="P60" s="292"/>
      <c r="Q60" s="292"/>
      <c r="T60" s="292"/>
      <c r="U60" s="292"/>
      <c r="V60" s="292"/>
      <c r="X60" s="292"/>
      <c r="Y60" s="292"/>
      <c r="Z60" s="292"/>
      <c r="AA60" s="292"/>
      <c r="AB60" s="292"/>
      <c r="AC60" s="337"/>
      <c r="AD60" s="292"/>
      <c r="AE60" s="292"/>
      <c r="AF60" s="292"/>
      <c r="AG60" s="292"/>
      <c r="AH60" s="292"/>
      <c r="AI60" s="292"/>
      <c r="AJ60" s="292"/>
      <c r="AK60" s="292"/>
    </row>
    <row r="61" spans="1:43" ht="15.75" thickTop="1">
      <c r="A61" s="11"/>
    </row>
    <row r="65" spans="4:4">
      <c r="D65" s="335"/>
    </row>
    <row r="96" spans="30:31">
      <c r="AD96" s="9" t="s">
        <v>136</v>
      </c>
      <c r="AE96" s="9" t="s">
        <v>137</v>
      </c>
    </row>
    <row r="97" spans="1:42">
      <c r="AD97" s="9" t="s">
        <v>138</v>
      </c>
      <c r="AE97" s="9" t="s">
        <v>139</v>
      </c>
      <c r="AG97" s="338"/>
      <c r="AH97" s="338"/>
    </row>
    <row r="98" spans="1:42">
      <c r="AC98" s="9" t="s">
        <v>140</v>
      </c>
      <c r="AD98" s="9" t="s">
        <v>141</v>
      </c>
      <c r="AE98" s="9" t="s">
        <v>141</v>
      </c>
      <c r="AF98" s="338" t="s">
        <v>142</v>
      </c>
      <c r="AG98" s="338" t="s">
        <v>143</v>
      </c>
      <c r="AH98" s="338"/>
      <c r="AI98" s="338"/>
    </row>
    <row r="99" spans="1:42">
      <c r="Q99" s="339"/>
      <c r="AC99" s="9" t="s">
        <v>144</v>
      </c>
      <c r="AD99" s="9" t="s">
        <v>145</v>
      </c>
      <c r="AE99" s="9" t="s">
        <v>145</v>
      </c>
      <c r="AG99" s="338" t="s">
        <v>146</v>
      </c>
      <c r="AH99" s="335"/>
    </row>
    <row r="100" spans="1:42">
      <c r="A100" s="339">
        <v>0.01</v>
      </c>
      <c r="B100" s="9" t="s">
        <v>147</v>
      </c>
      <c r="AB100" s="338" t="s">
        <v>148</v>
      </c>
      <c r="AC100" s="9">
        <v>41220824</v>
      </c>
      <c r="AD100" s="9">
        <v>1050000</v>
      </c>
      <c r="AE100" s="9">
        <f>+D15</f>
        <v>630000</v>
      </c>
      <c r="AF100" s="9">
        <f>AC100-AD100-AE100</f>
        <v>39540824</v>
      </c>
      <c r="AG100" s="9">
        <f t="shared" ref="AG100:AG138" si="21">AF100*0.075</f>
        <v>2965561.8</v>
      </c>
      <c r="AH100" s="335"/>
    </row>
    <row r="101" spans="1:42">
      <c r="A101" s="339">
        <v>0.04</v>
      </c>
      <c r="B101" s="9" t="s">
        <v>149</v>
      </c>
      <c r="AB101" s="338" t="s">
        <v>150</v>
      </c>
      <c r="AC101" s="9">
        <v>44893197</v>
      </c>
      <c r="AD101" s="9">
        <v>3199000</v>
      </c>
      <c r="AE101" s="9">
        <f>+E15</f>
        <v>432073</v>
      </c>
      <c r="AF101" s="9">
        <f t="shared" ref="AF101:AF138" si="22">AC101-AD101-AE101</f>
        <v>41262124</v>
      </c>
      <c r="AG101" s="9">
        <f t="shared" si="21"/>
        <v>3094659.3</v>
      </c>
      <c r="AH101" s="335"/>
    </row>
    <row r="102" spans="1:42">
      <c r="AB102" s="338" t="s">
        <v>151</v>
      </c>
      <c r="AC102" s="9">
        <v>42814948</v>
      </c>
      <c r="AD102" s="9">
        <v>400000</v>
      </c>
      <c r="AE102" s="9">
        <f>+F15</f>
        <v>420992.5</v>
      </c>
      <c r="AF102" s="9">
        <f t="shared" si="22"/>
        <v>41993955.5</v>
      </c>
      <c r="AG102" s="9">
        <f t="shared" si="21"/>
        <v>3149546.6625000001</v>
      </c>
      <c r="AH102" s="335"/>
      <c r="AI102" s="340" t="s">
        <v>152</v>
      </c>
    </row>
    <row r="103" spans="1:42">
      <c r="AB103" s="338" t="s">
        <v>153</v>
      </c>
      <c r="AC103" s="9">
        <v>47316303</v>
      </c>
      <c r="AD103" s="9">
        <v>1741174</v>
      </c>
      <c r="AE103" s="9">
        <f>+G15</f>
        <v>1465107.5</v>
      </c>
      <c r="AF103" s="9">
        <f t="shared" si="22"/>
        <v>44110021.5</v>
      </c>
      <c r="AG103" s="9">
        <f t="shared" si="21"/>
        <v>3308251.6124999998</v>
      </c>
      <c r="AH103" s="341"/>
      <c r="AI103" s="342" t="s">
        <v>154</v>
      </c>
    </row>
    <row r="104" spans="1:42">
      <c r="AB104" s="338" t="s">
        <v>155</v>
      </c>
      <c r="AC104" s="9">
        <v>50086798</v>
      </c>
      <c r="AD104" s="9">
        <v>2545000</v>
      </c>
      <c r="AE104" s="9">
        <f>+H15</f>
        <v>1906332.5</v>
      </c>
      <c r="AF104" s="9">
        <f t="shared" si="22"/>
        <v>45635465.5</v>
      </c>
      <c r="AG104" s="9">
        <f t="shared" si="21"/>
        <v>3422659.9125000001</v>
      </c>
      <c r="AH104" s="335"/>
      <c r="AI104" s="9">
        <v>2580169.4697336098</v>
      </c>
      <c r="AJ104" s="335">
        <f t="shared" ref="AJ104:AJ138" si="23">AI104/AF104</f>
        <v>5.6538690719252327E-2</v>
      </c>
    </row>
    <row r="105" spans="1:42">
      <c r="AB105" s="338" t="s">
        <v>156</v>
      </c>
      <c r="AC105" s="9">
        <v>60178468</v>
      </c>
      <c r="AD105" s="9">
        <v>2281494</v>
      </c>
      <c r="AE105" s="9">
        <f>+I15</f>
        <v>5411824.5</v>
      </c>
      <c r="AF105" s="9">
        <f t="shared" si="22"/>
        <v>52485149.5</v>
      </c>
      <c r="AG105" s="9">
        <f t="shared" si="21"/>
        <v>3936386.2124999999</v>
      </c>
      <c r="AH105" s="335"/>
      <c r="AI105" s="9">
        <v>2916637.2505195201</v>
      </c>
      <c r="AJ105" s="335">
        <f t="shared" si="23"/>
        <v>5.5570714350723534E-2</v>
      </c>
    </row>
    <row r="106" spans="1:42">
      <c r="AB106" s="338" t="s">
        <v>157</v>
      </c>
      <c r="AC106" s="9">
        <v>59681606</v>
      </c>
      <c r="AD106" s="9">
        <v>2527874</v>
      </c>
      <c r="AE106" s="9">
        <f>+J15</f>
        <v>4080490.3200000003</v>
      </c>
      <c r="AF106" s="9">
        <f t="shared" si="22"/>
        <v>53073241.68</v>
      </c>
      <c r="AG106" s="9">
        <f t="shared" si="21"/>
        <v>3980493.1259999997</v>
      </c>
      <c r="AH106" s="335"/>
      <c r="AI106" s="9">
        <v>2779851.0150000001</v>
      </c>
      <c r="AJ106" s="335">
        <f t="shared" si="23"/>
        <v>5.2377637525155223E-2</v>
      </c>
    </row>
    <row r="107" spans="1:42">
      <c r="AB107" s="338" t="s">
        <v>158</v>
      </c>
      <c r="AC107" s="9">
        <v>60407927</v>
      </c>
      <c r="AD107" s="9">
        <v>2175400</v>
      </c>
      <c r="AE107" s="9">
        <f>+K15</f>
        <v>3995621.26</v>
      </c>
      <c r="AF107" s="9">
        <f t="shared" si="22"/>
        <v>54236905.740000002</v>
      </c>
      <c r="AG107" s="9">
        <f t="shared" si="21"/>
        <v>4067767.9304999998</v>
      </c>
      <c r="AH107" s="335"/>
      <c r="AI107" s="9">
        <v>2758976.87555556</v>
      </c>
      <c r="AJ107" s="335">
        <f t="shared" si="23"/>
        <v>5.0868994790770304E-2</v>
      </c>
    </row>
    <row r="108" spans="1:42">
      <c r="AB108" s="338" t="s">
        <v>159</v>
      </c>
      <c r="AC108" s="9">
        <v>65114605</v>
      </c>
      <c r="AD108" s="9">
        <v>1200000</v>
      </c>
      <c r="AE108" s="9">
        <f>+L15</f>
        <v>3914021.26</v>
      </c>
      <c r="AF108" s="9">
        <f t="shared" si="22"/>
        <v>60000583.740000002</v>
      </c>
      <c r="AG108" s="9">
        <f t="shared" si="21"/>
        <v>4500043.7805000003</v>
      </c>
      <c r="AH108" s="335"/>
      <c r="AI108" s="9">
        <f>L55</f>
        <v>1874697.7505555553</v>
      </c>
      <c r="AJ108" s="335">
        <f t="shared" si="23"/>
        <v>3.1244658529976415E-2</v>
      </c>
    </row>
    <row r="109" spans="1:42">
      <c r="AB109" s="338" t="s">
        <v>160</v>
      </c>
      <c r="AC109" s="9">
        <v>69632138</v>
      </c>
      <c r="AD109" s="9">
        <v>2541334</v>
      </c>
      <c r="AE109" s="9">
        <f>+M15</f>
        <v>3847111.26</v>
      </c>
      <c r="AF109" s="9">
        <f t="shared" si="22"/>
        <v>63243692.740000002</v>
      </c>
      <c r="AG109" s="9">
        <f t="shared" si="21"/>
        <v>4743276.9555000002</v>
      </c>
      <c r="AH109" s="335"/>
      <c r="AI109" s="9">
        <f>M55</f>
        <v>1969557.7505555553</v>
      </c>
      <c r="AJ109" s="335">
        <f t="shared" si="23"/>
        <v>3.1142358474426351E-2</v>
      </c>
    </row>
    <row r="110" spans="1:42">
      <c r="AB110" s="338" t="s">
        <v>161</v>
      </c>
      <c r="AC110" s="9">
        <v>71887792.099999994</v>
      </c>
      <c r="AD110" s="9">
        <v>1255400</v>
      </c>
      <c r="AE110" s="9">
        <f>+N15</f>
        <v>3759021.26</v>
      </c>
      <c r="AF110" s="9">
        <f t="shared" si="22"/>
        <v>66873370.839999996</v>
      </c>
      <c r="AG110" s="9">
        <f t="shared" si="21"/>
        <v>5015502.8129999992</v>
      </c>
      <c r="AH110" s="335"/>
      <c r="AI110" s="9">
        <f>N55</f>
        <v>1920467.7505555553</v>
      </c>
      <c r="AJ110" s="335">
        <f t="shared" si="23"/>
        <v>2.8717974381019782E-2</v>
      </c>
    </row>
    <row r="111" spans="1:42">
      <c r="AB111" s="338" t="s">
        <v>162</v>
      </c>
      <c r="AC111" s="9">
        <v>75740707</v>
      </c>
      <c r="AD111" s="9">
        <v>973771</v>
      </c>
      <c r="AE111" s="9">
        <f>+O15</f>
        <v>3656726.26</v>
      </c>
      <c r="AF111" s="9">
        <f t="shared" si="22"/>
        <v>71110209.739999995</v>
      </c>
      <c r="AG111" s="9">
        <f t="shared" si="21"/>
        <v>5333265.7304999996</v>
      </c>
      <c r="AH111" s="335"/>
      <c r="AI111" s="9">
        <f>O55</f>
        <v>1750770.2505555553</v>
      </c>
      <c r="AJ111" s="335">
        <f t="shared" si="23"/>
        <v>2.462051872659201E-2</v>
      </c>
    </row>
    <row r="112" spans="1:42">
      <c r="S112" s="343"/>
      <c r="AB112" s="338" t="s">
        <v>163</v>
      </c>
      <c r="AC112" s="9">
        <v>78821554</v>
      </c>
      <c r="AD112" s="9">
        <v>1936037</v>
      </c>
      <c r="AE112" s="9">
        <f>+P15</f>
        <v>3229556.26</v>
      </c>
      <c r="AF112" s="9">
        <f t="shared" si="22"/>
        <v>73655960.739999995</v>
      </c>
      <c r="AG112" s="9">
        <f t="shared" si="21"/>
        <v>5524197.0554999998</v>
      </c>
      <c r="AH112" s="335"/>
      <c r="AI112" s="9">
        <f>P55</f>
        <v>1965937.2505555553</v>
      </c>
      <c r="AJ112" s="335">
        <f t="shared" si="23"/>
        <v>2.6690809960312187E-2</v>
      </c>
      <c r="AM112" s="339"/>
      <c r="AN112" s="338"/>
      <c r="AO112" s="338"/>
      <c r="AP112" s="338"/>
    </row>
    <row r="113" spans="19:65">
      <c r="S113" s="343"/>
      <c r="W113" s="9" t="s">
        <v>49</v>
      </c>
      <c r="AB113" s="338" t="s">
        <v>164</v>
      </c>
      <c r="AC113" s="9">
        <v>80650127</v>
      </c>
      <c r="AD113" s="9">
        <v>575000</v>
      </c>
      <c r="AE113" s="9">
        <f>+Q15</f>
        <v>5317118.76</v>
      </c>
      <c r="AF113" s="9">
        <f t="shared" si="22"/>
        <v>74758008.239999995</v>
      </c>
      <c r="AG113" s="9">
        <f t="shared" ref="AG113:AG129" si="24">AF113*0.05</f>
        <v>3737900.412</v>
      </c>
      <c r="AH113" s="335">
        <f>Q$55/AF113</f>
        <v>7.1767942684230562E-2</v>
      </c>
      <c r="AI113" s="9">
        <f>Q55</f>
        <v>5365228.4505555555</v>
      </c>
      <c r="AJ113" s="335">
        <f t="shared" si="23"/>
        <v>7.1767942684230562E-2</v>
      </c>
      <c r="AN113" s="338"/>
      <c r="AO113" s="338"/>
      <c r="AP113" s="338"/>
    </row>
    <row r="114" spans="19:65">
      <c r="S114" s="343"/>
      <c r="W114" s="9" t="s">
        <v>165</v>
      </c>
      <c r="X114" s="9" t="s">
        <v>166</v>
      </c>
      <c r="AB114" s="338" t="s">
        <v>167</v>
      </c>
      <c r="AC114" s="9">
        <v>82889742</v>
      </c>
      <c r="AD114" s="9">
        <v>0</v>
      </c>
      <c r="AE114" s="9">
        <f>+R15</f>
        <v>5197284.5199999996</v>
      </c>
      <c r="AF114" s="9">
        <f t="shared" si="22"/>
        <v>77692457.480000004</v>
      </c>
      <c r="AG114" s="9">
        <f t="shared" si="24"/>
        <v>3884622.8740000003</v>
      </c>
      <c r="AH114" s="335">
        <f>R$55/AF114</f>
        <v>6.7959217158288857E-2</v>
      </c>
      <c r="AI114" s="9">
        <f>R55</f>
        <v>5279918.5894444436</v>
      </c>
      <c r="AJ114" s="335">
        <f t="shared" si="23"/>
        <v>6.7959217158288857E-2</v>
      </c>
      <c r="AP114" s="344"/>
    </row>
    <row r="115" spans="19:65">
      <c r="S115" s="343">
        <v>5.9</v>
      </c>
      <c r="W115" s="9" t="s">
        <v>168</v>
      </c>
      <c r="X115" s="9" t="s">
        <v>169</v>
      </c>
      <c r="AB115" s="338" t="s">
        <v>170</v>
      </c>
      <c r="AC115" s="9">
        <v>85937012</v>
      </c>
      <c r="AD115" s="9">
        <v>866500</v>
      </c>
      <c r="AE115" s="9">
        <f>+S15</f>
        <v>5130639</v>
      </c>
      <c r="AF115" s="9">
        <f t="shared" si="22"/>
        <v>79939873</v>
      </c>
      <c r="AG115" s="9">
        <f t="shared" si="24"/>
        <v>3996993.6500000004</v>
      </c>
      <c r="AH115" s="335">
        <f>S$55/AF115</f>
        <v>6.4863739894163261E-2</v>
      </c>
      <c r="AI115" s="9">
        <f>S55</f>
        <v>5185199.1294444446</v>
      </c>
      <c r="AJ115" s="335">
        <f t="shared" si="23"/>
        <v>6.4863739894163261E-2</v>
      </c>
      <c r="AP115" s="344"/>
    </row>
    <row r="116" spans="19:65">
      <c r="S116" s="343">
        <v>10000</v>
      </c>
      <c r="V116" s="9" t="s">
        <v>171</v>
      </c>
      <c r="W116" s="9">
        <v>86784414</v>
      </c>
      <c r="X116" s="9">
        <f>W116*0.075</f>
        <v>6508831.0499999998</v>
      </c>
      <c r="AB116" s="338" t="s">
        <v>171</v>
      </c>
      <c r="AC116" s="9">
        <v>87440586</v>
      </c>
      <c r="AD116" s="9">
        <v>53000</v>
      </c>
      <c r="AE116" s="9">
        <f>+T15</f>
        <v>5234033.55</v>
      </c>
      <c r="AF116" s="9">
        <f t="shared" si="22"/>
        <v>82153552.450000003</v>
      </c>
      <c r="AG116" s="9">
        <f t="shared" si="24"/>
        <v>4107677.6225000005</v>
      </c>
      <c r="AH116" s="335" t="e">
        <f>T$55/AF116</f>
        <v>#REF!</v>
      </c>
      <c r="AI116" s="9" t="e">
        <f>T55</f>
        <v>#REF!</v>
      </c>
      <c r="AJ116" s="335" t="e">
        <f t="shared" si="23"/>
        <v>#REF!</v>
      </c>
      <c r="AL116" s="345"/>
      <c r="AP116" s="344"/>
    </row>
    <row r="117" spans="19:65">
      <c r="S117" s="343">
        <v>700000</v>
      </c>
      <c r="V117" s="9" t="s">
        <v>172</v>
      </c>
      <c r="W117" s="9">
        <v>90295835</v>
      </c>
      <c r="X117" s="9">
        <f t="shared" ref="X117:X145" si="25">W117*0.075</f>
        <v>6772187.625</v>
      </c>
      <c r="AB117" s="338" t="s">
        <v>172</v>
      </c>
      <c r="AC117" s="9">
        <v>89906903</v>
      </c>
      <c r="AD117" s="9">
        <v>0</v>
      </c>
      <c r="AE117" s="9">
        <f>+U15</f>
        <v>7438020.0999999996</v>
      </c>
      <c r="AF117" s="9">
        <f t="shared" si="22"/>
        <v>82468882.900000006</v>
      </c>
      <c r="AG117" s="9">
        <f t="shared" si="24"/>
        <v>4123444.1450000005</v>
      </c>
      <c r="AH117" s="335" t="e">
        <f>U$55/AF117</f>
        <v>#REF!</v>
      </c>
      <c r="AI117" s="9" t="e">
        <f>U55</f>
        <v>#REF!</v>
      </c>
      <c r="AJ117" s="335" t="e">
        <f t="shared" si="23"/>
        <v>#REF!</v>
      </c>
      <c r="AL117" s="345"/>
      <c r="AP117" s="344"/>
    </row>
    <row r="118" spans="19:65">
      <c r="S118" s="343">
        <v>10.77</v>
      </c>
      <c r="V118" s="9" t="s">
        <v>173</v>
      </c>
      <c r="W118" s="9">
        <v>95900303</v>
      </c>
      <c r="X118" s="9">
        <f t="shared" si="25"/>
        <v>7192522.7249999996</v>
      </c>
      <c r="AB118" s="338" t="s">
        <v>173</v>
      </c>
      <c r="AC118" s="9">
        <v>92596842</v>
      </c>
      <c r="AD118" s="9">
        <v>0</v>
      </c>
      <c r="AE118" s="9">
        <f>+V15</f>
        <v>7364861.7799999993</v>
      </c>
      <c r="AF118" s="9">
        <f t="shared" si="22"/>
        <v>85231980.219999999</v>
      </c>
      <c r="AG118" s="9">
        <f t="shared" si="24"/>
        <v>4261599.0109999999</v>
      </c>
      <c r="AH118" s="335">
        <f>V$56/AF118</f>
        <v>0</v>
      </c>
      <c r="AI118" s="9" t="e">
        <f>V55</f>
        <v>#REF!</v>
      </c>
      <c r="AJ118" s="335" t="e">
        <f t="shared" si="23"/>
        <v>#REF!</v>
      </c>
      <c r="AL118" s="345"/>
      <c r="AP118" s="344"/>
    </row>
    <row r="119" spans="19:65">
      <c r="S119" s="343">
        <f>+S117*S118/1000</f>
        <v>7539</v>
      </c>
      <c r="V119" s="9" t="s">
        <v>174</v>
      </c>
      <c r="W119" s="9">
        <v>99088561</v>
      </c>
      <c r="X119" s="9">
        <f t="shared" si="25"/>
        <v>7431642.0750000002</v>
      </c>
      <c r="AB119" s="338" t="s">
        <v>174</v>
      </c>
      <c r="AC119" s="9">
        <v>95398820</v>
      </c>
      <c r="AD119" s="9">
        <v>0</v>
      </c>
      <c r="AE119" s="9">
        <f>+W15</f>
        <v>7145123.7400000002</v>
      </c>
      <c r="AF119" s="9">
        <f t="shared" si="22"/>
        <v>88253696.260000005</v>
      </c>
      <c r="AG119" s="9">
        <f t="shared" si="24"/>
        <v>4412684.8130000001</v>
      </c>
      <c r="AH119" s="335">
        <f>W$56/AF119</f>
        <v>0</v>
      </c>
      <c r="AI119" s="9" t="e">
        <f>W55</f>
        <v>#REF!</v>
      </c>
      <c r="AJ119" s="335" t="e">
        <f t="shared" si="23"/>
        <v>#REF!</v>
      </c>
      <c r="AL119" s="345"/>
      <c r="AP119" s="344"/>
    </row>
    <row r="120" spans="19:65">
      <c r="S120" s="343">
        <f>+S117/S116*S115</f>
        <v>413</v>
      </c>
      <c r="V120" s="9" t="s">
        <v>175</v>
      </c>
      <c r="W120" s="9">
        <v>103946461</v>
      </c>
      <c r="X120" s="9">
        <f t="shared" si="25"/>
        <v>7795984.5749999993</v>
      </c>
      <c r="AB120" s="338" t="s">
        <v>175</v>
      </c>
      <c r="AC120" s="9">
        <v>98288271</v>
      </c>
      <c r="AD120" s="9">
        <v>0</v>
      </c>
      <c r="AE120" s="9">
        <f>+X15</f>
        <v>6795290.6999999993</v>
      </c>
      <c r="AF120" s="9">
        <f t="shared" si="22"/>
        <v>91492980.299999997</v>
      </c>
      <c r="AG120" s="9">
        <f t="shared" si="24"/>
        <v>4574649.0149999997</v>
      </c>
      <c r="AH120" s="335">
        <f>W$56/AF120</f>
        <v>0</v>
      </c>
      <c r="AI120" s="9" t="e">
        <f>X55</f>
        <v>#REF!</v>
      </c>
      <c r="AJ120" s="335" t="e">
        <f t="shared" si="23"/>
        <v>#REF!</v>
      </c>
      <c r="AL120" s="345"/>
      <c r="AP120" s="344"/>
    </row>
    <row r="121" spans="19:65">
      <c r="S121" s="346">
        <f>+S120/S119</f>
        <v>5.4781801299907153E-2</v>
      </c>
      <c r="V121" s="9" t="s">
        <v>176</v>
      </c>
      <c r="W121" s="9">
        <f>2300000+102322494</f>
        <v>104622494</v>
      </c>
      <c r="X121" s="9">
        <f t="shared" si="25"/>
        <v>7846687.0499999998</v>
      </c>
      <c r="AB121" s="338" t="s">
        <v>176</v>
      </c>
      <c r="AC121" s="9">
        <f t="shared" ref="AC121:AC138" si="26">AC120*1.03</f>
        <v>101236919.13</v>
      </c>
      <c r="AD121" s="9">
        <v>0</v>
      </c>
      <c r="AE121" s="9">
        <f>+Y15</f>
        <v>6439992.7200000007</v>
      </c>
      <c r="AF121" s="9">
        <f t="shared" si="22"/>
        <v>94796926.409999996</v>
      </c>
      <c r="AG121" s="9">
        <f t="shared" si="24"/>
        <v>4739846.3205000004</v>
      </c>
      <c r="AH121" s="335">
        <f>X$56/AF121</f>
        <v>0</v>
      </c>
      <c r="AI121" s="9" t="e">
        <f>Y55</f>
        <v>#REF!</v>
      </c>
      <c r="AJ121" s="335" t="e">
        <f t="shared" si="23"/>
        <v>#REF!</v>
      </c>
      <c r="AP121" s="344"/>
    </row>
    <row r="122" spans="19:65">
      <c r="S122" s="343"/>
      <c r="V122" s="9" t="s">
        <v>177</v>
      </c>
      <c r="W122" s="9">
        <v>107020292</v>
      </c>
      <c r="X122" s="9">
        <f t="shared" si="25"/>
        <v>8026521.8999999994</v>
      </c>
      <c r="AB122" s="338" t="s">
        <v>177</v>
      </c>
      <c r="AC122" s="9">
        <f t="shared" si="26"/>
        <v>104274026.70389999</v>
      </c>
      <c r="AD122" s="9">
        <v>0</v>
      </c>
      <c r="AE122" s="9">
        <f>+Z15</f>
        <v>6053325.1200000001</v>
      </c>
      <c r="AF122" s="9">
        <f t="shared" si="22"/>
        <v>98220701.58389999</v>
      </c>
      <c r="AG122" s="9">
        <f t="shared" si="24"/>
        <v>4911035.0791949993</v>
      </c>
      <c r="AH122" s="335">
        <f>Y$56/AF122</f>
        <v>0</v>
      </c>
      <c r="AI122" s="9" t="e">
        <f>Z55</f>
        <v>#REF!</v>
      </c>
      <c r="AJ122" s="335" t="e">
        <f t="shared" si="23"/>
        <v>#REF!</v>
      </c>
      <c r="AP122" s="344"/>
    </row>
    <row r="123" spans="19:65">
      <c r="S123" s="343"/>
      <c r="V123" s="9" t="s">
        <v>178</v>
      </c>
      <c r="W123" s="9">
        <f>2500000+106612312</f>
        <v>109112312</v>
      </c>
      <c r="X123" s="9">
        <f t="shared" si="25"/>
        <v>8183423.3999999994</v>
      </c>
      <c r="AB123" s="338" t="s">
        <v>178</v>
      </c>
      <c r="AC123" s="9">
        <f t="shared" si="26"/>
        <v>107402247.505017</v>
      </c>
      <c r="AD123" s="9">
        <v>0</v>
      </c>
      <c r="AE123" s="9">
        <f>+AA15</f>
        <v>5813185.0299999993</v>
      </c>
      <c r="AF123" s="9">
        <f t="shared" si="22"/>
        <v>101589062.475017</v>
      </c>
      <c r="AG123" s="9">
        <f t="shared" si="24"/>
        <v>5079453.1237508506</v>
      </c>
      <c r="AH123" s="335">
        <f>Z$56/AF123</f>
        <v>0</v>
      </c>
      <c r="AI123" s="9">
        <f>AA55</f>
        <v>7983203.6336274501</v>
      </c>
      <c r="AJ123" s="335">
        <f t="shared" si="23"/>
        <v>7.8583298626175399E-2</v>
      </c>
      <c r="AP123" s="344"/>
    </row>
    <row r="124" spans="19:65">
      <c r="S124" s="343"/>
      <c r="V124" s="9" t="s">
        <v>179</v>
      </c>
      <c r="W124" s="9">
        <f>2600000+109158889</f>
        <v>111758889</v>
      </c>
      <c r="X124" s="9">
        <f t="shared" si="25"/>
        <v>8381916.6749999998</v>
      </c>
      <c r="AB124" s="338" t="s">
        <v>179</v>
      </c>
      <c r="AC124" s="9">
        <f t="shared" si="26"/>
        <v>110624314.93016751</v>
      </c>
      <c r="AD124" s="9">
        <v>0</v>
      </c>
      <c r="AE124" s="9">
        <f>+AB15</f>
        <v>3806776.4499999997</v>
      </c>
      <c r="AF124" s="9">
        <f t="shared" si="22"/>
        <v>106817538.48016751</v>
      </c>
      <c r="AG124" s="9">
        <f t="shared" si="24"/>
        <v>5340876.924008376</v>
      </c>
      <c r="AH124" s="335">
        <f>AA$56/AF124</f>
        <v>0</v>
      </c>
      <c r="AI124" s="9">
        <f>AB55</f>
        <v>5707373.378333332</v>
      </c>
      <c r="AJ124" s="335">
        <f t="shared" si="23"/>
        <v>5.3431051300559626E-2</v>
      </c>
      <c r="AP124" s="344"/>
    </row>
    <row r="125" spans="19:65">
      <c r="S125" s="343"/>
      <c r="V125" s="9" t="s">
        <v>180</v>
      </c>
      <c r="W125" s="9">
        <f t="shared" ref="W125:W145" si="27">W124*1.02</f>
        <v>113994066.78</v>
      </c>
      <c r="X125" s="9">
        <f t="shared" si="25"/>
        <v>8549555.0085000005</v>
      </c>
      <c r="AB125" s="338" t="s">
        <v>180</v>
      </c>
      <c r="AC125" s="9">
        <f t="shared" si="26"/>
        <v>113943044.37807254</v>
      </c>
      <c r="AD125" s="9">
        <v>0</v>
      </c>
      <c r="AE125" s="9">
        <f>+AC15</f>
        <v>3685717.61</v>
      </c>
      <c r="AF125" s="9">
        <f t="shared" si="22"/>
        <v>110257326.76807255</v>
      </c>
      <c r="AG125" s="9">
        <f t="shared" si="24"/>
        <v>5512866.3384036273</v>
      </c>
      <c r="AH125" s="335">
        <f>AB$56/AF125</f>
        <v>0</v>
      </c>
      <c r="AI125" s="9">
        <f>AC55</f>
        <v>5586289.7383333333</v>
      </c>
      <c r="AJ125" s="335">
        <f t="shared" si="23"/>
        <v>5.066592762659803E-2</v>
      </c>
      <c r="AP125" s="344"/>
    </row>
    <row r="126" spans="19:65">
      <c r="V126" s="9" t="s">
        <v>181</v>
      </c>
      <c r="W126" s="9">
        <f t="shared" si="27"/>
        <v>116273948.1156</v>
      </c>
      <c r="X126" s="9">
        <f t="shared" si="25"/>
        <v>8720546.10867</v>
      </c>
      <c r="AB126" s="338" t="s">
        <v>181</v>
      </c>
      <c r="AC126" s="9">
        <f t="shared" si="26"/>
        <v>117361335.70941472</v>
      </c>
      <c r="AD126" s="9">
        <v>0</v>
      </c>
      <c r="AE126" s="9">
        <f>+AD15</f>
        <v>3561146.5700000003</v>
      </c>
      <c r="AF126" s="9">
        <f t="shared" si="22"/>
        <v>113800189.13941473</v>
      </c>
      <c r="AG126" s="9">
        <f t="shared" si="24"/>
        <v>5690009.4569707364</v>
      </c>
      <c r="AH126" s="335">
        <f>AC$56/AF126</f>
        <v>0</v>
      </c>
      <c r="AI126" s="9">
        <f t="shared" ref="AI126:AI138" si="28">AD55</f>
        <v>5402247.5106862765</v>
      </c>
      <c r="AJ126" s="335">
        <f t="shared" si="23"/>
        <v>4.747134035135981E-2</v>
      </c>
    </row>
    <row r="127" spans="19:65">
      <c r="V127" s="9" t="s">
        <v>182</v>
      </c>
      <c r="W127" s="9">
        <f t="shared" si="27"/>
        <v>118599427.077912</v>
      </c>
      <c r="X127" s="9">
        <f t="shared" si="25"/>
        <v>8894957.0308433995</v>
      </c>
      <c r="AB127" s="338" t="s">
        <v>182</v>
      </c>
      <c r="AC127" s="9">
        <f t="shared" si="26"/>
        <v>120882175.78069717</v>
      </c>
      <c r="AD127" s="9">
        <v>1</v>
      </c>
      <c r="AE127" s="9">
        <f>+AE15</f>
        <v>3451758.1100000003</v>
      </c>
      <c r="AF127" s="9">
        <f t="shared" si="22"/>
        <v>117430416.67069717</v>
      </c>
      <c r="AG127" s="9">
        <f t="shared" si="24"/>
        <v>5871520.8335348591</v>
      </c>
      <c r="AH127" s="335">
        <f>AD$56/AF127</f>
        <v>0</v>
      </c>
      <c r="AI127" s="9">
        <f t="shared" si="28"/>
        <v>0</v>
      </c>
      <c r="AJ127" s="335">
        <f t="shared" si="23"/>
        <v>0</v>
      </c>
    </row>
    <row r="128" spans="19:65" ht="15.75">
      <c r="V128" s="9" t="s">
        <v>183</v>
      </c>
      <c r="W128" s="9">
        <f t="shared" si="27"/>
        <v>120971415.61947024</v>
      </c>
      <c r="X128" s="9">
        <f t="shared" si="25"/>
        <v>9072856.1714602672</v>
      </c>
      <c r="AB128" s="338" t="s">
        <v>183</v>
      </c>
      <c r="AC128" s="9">
        <f t="shared" si="26"/>
        <v>124508641.05411808</v>
      </c>
      <c r="AD128" s="9">
        <v>2</v>
      </c>
      <c r="AE128" s="9">
        <f>+AF15</f>
        <v>3350173.58</v>
      </c>
      <c r="AF128" s="9">
        <f t="shared" si="22"/>
        <v>121158465.47411808</v>
      </c>
      <c r="AG128" s="9">
        <f t="shared" si="24"/>
        <v>6057923.2737059044</v>
      </c>
      <c r="AH128" s="335"/>
      <c r="AI128" s="9">
        <f t="shared" si="28"/>
        <v>8894957.0308433995</v>
      </c>
      <c r="AJ128" s="335">
        <f t="shared" si="23"/>
        <v>7.3415893772140445E-2</v>
      </c>
      <c r="BG128" s="10" t="s">
        <v>184</v>
      </c>
      <c r="BJ128" s="14"/>
      <c r="BK128" s="14"/>
      <c r="BL128" s="14"/>
      <c r="BM128" s="10" t="s">
        <v>185</v>
      </c>
    </row>
    <row r="129" spans="22:68">
      <c r="V129" s="9" t="s">
        <v>186</v>
      </c>
      <c r="W129" s="9">
        <f t="shared" si="27"/>
        <v>123390843.93185964</v>
      </c>
      <c r="X129" s="9">
        <f t="shared" si="25"/>
        <v>9254313.2948894724</v>
      </c>
      <c r="AB129" s="338" t="s">
        <v>186</v>
      </c>
      <c r="AC129" s="9">
        <f t="shared" si="26"/>
        <v>128243900.28574163</v>
      </c>
      <c r="AD129" s="9">
        <v>3</v>
      </c>
      <c r="AE129" s="9">
        <f>+AG15</f>
        <v>3242309.2199999997</v>
      </c>
      <c r="AF129" s="9">
        <f t="shared" si="22"/>
        <v>125001588.06574163</v>
      </c>
      <c r="AG129" s="9">
        <f t="shared" si="24"/>
        <v>6250079.403287082</v>
      </c>
      <c r="AH129" s="335"/>
      <c r="AI129" s="9">
        <f t="shared" si="28"/>
        <v>0</v>
      </c>
      <c r="AJ129" s="335">
        <f t="shared" si="23"/>
        <v>0</v>
      </c>
      <c r="BI129" s="11" t="s">
        <v>187</v>
      </c>
      <c r="BJ129" s="14">
        <v>6117.73</v>
      </c>
      <c r="BK129" s="14"/>
      <c r="BL129" s="14"/>
      <c r="BO129" s="11" t="s">
        <v>187</v>
      </c>
      <c r="BP129" s="14">
        <v>6117.73</v>
      </c>
    </row>
    <row r="130" spans="22:68">
      <c r="V130" s="9" t="s">
        <v>188</v>
      </c>
      <c r="W130" s="9">
        <f t="shared" si="27"/>
        <v>125858660.81049684</v>
      </c>
      <c r="X130" s="9">
        <f t="shared" si="25"/>
        <v>9439399.5607872624</v>
      </c>
      <c r="AB130" s="338" t="s">
        <v>188</v>
      </c>
      <c r="AC130" s="9">
        <f t="shared" si="26"/>
        <v>132091217.29431388</v>
      </c>
      <c r="AD130" s="9">
        <v>4</v>
      </c>
      <c r="AE130" s="9">
        <f>+AH15</f>
        <v>3064923.8499999996</v>
      </c>
      <c r="AF130" s="9">
        <f t="shared" si="22"/>
        <v>129026289.44431388</v>
      </c>
      <c r="AG130" s="9">
        <f t="shared" si="21"/>
        <v>9676971.7083235402</v>
      </c>
      <c r="AH130" s="335"/>
      <c r="AI130" s="9">
        <f t="shared" si="28"/>
        <v>3492709.520157123</v>
      </c>
      <c r="AJ130" s="335">
        <f t="shared" si="23"/>
        <v>2.7069750941450831E-2</v>
      </c>
      <c r="BG130" s="9" t="s">
        <v>189</v>
      </c>
      <c r="BJ130" s="14">
        <v>926250</v>
      </c>
      <c r="BK130" s="14" t="s">
        <v>190</v>
      </c>
      <c r="BL130" s="14"/>
      <c r="BM130" s="9" t="s">
        <v>189</v>
      </c>
      <c r="BP130" s="14"/>
    </row>
    <row r="131" spans="22:68">
      <c r="V131" s="9" t="s">
        <v>191</v>
      </c>
      <c r="W131" s="9">
        <f t="shared" si="27"/>
        <v>128375834.02670677</v>
      </c>
      <c r="X131" s="9">
        <f t="shared" si="25"/>
        <v>9628187.5520030074</v>
      </c>
      <c r="AB131" s="338" t="s">
        <v>191</v>
      </c>
      <c r="AC131" s="9">
        <f t="shared" si="26"/>
        <v>136053953.81314328</v>
      </c>
      <c r="AD131" s="9">
        <v>5</v>
      </c>
      <c r="AE131" s="9">
        <f>+AI15</f>
        <v>2084911.84</v>
      </c>
      <c r="AF131" s="9">
        <f t="shared" si="22"/>
        <v>133969036.97314328</v>
      </c>
      <c r="AG131" s="9">
        <f t="shared" si="21"/>
        <v>10047677.772985745</v>
      </c>
      <c r="AH131" s="335"/>
      <c r="AI131" s="9">
        <f t="shared" si="28"/>
        <v>0</v>
      </c>
      <c r="AJ131" s="335">
        <f t="shared" si="23"/>
        <v>0</v>
      </c>
      <c r="BG131" s="9" t="s">
        <v>192</v>
      </c>
      <c r="BJ131" s="14">
        <v>25288.25</v>
      </c>
      <c r="BK131" s="14" t="s">
        <v>193</v>
      </c>
      <c r="BL131" s="14"/>
      <c r="BM131" s="9" t="s">
        <v>194</v>
      </c>
      <c r="BP131" s="14"/>
    </row>
    <row r="132" spans="22:68">
      <c r="V132" s="9" t="s">
        <v>195</v>
      </c>
      <c r="W132" s="9">
        <f t="shared" si="27"/>
        <v>130943350.70724091</v>
      </c>
      <c r="X132" s="9">
        <f t="shared" si="25"/>
        <v>9820751.3030430675</v>
      </c>
      <c r="AB132" s="338" t="s">
        <v>195</v>
      </c>
      <c r="AC132" s="9">
        <f t="shared" si="26"/>
        <v>140135572.42753759</v>
      </c>
      <c r="AD132" s="9">
        <v>6</v>
      </c>
      <c r="AE132" s="9">
        <f>+AK15</f>
        <v>1804384.2800000003</v>
      </c>
      <c r="AF132" s="9">
        <f t="shared" si="22"/>
        <v>138331182.14753759</v>
      </c>
      <c r="AG132" s="9">
        <f t="shared" si="21"/>
        <v>10374838.66106532</v>
      </c>
      <c r="AH132" s="335"/>
      <c r="AI132" s="9">
        <f t="shared" si="28"/>
        <v>0</v>
      </c>
      <c r="AJ132" s="335">
        <f t="shared" si="23"/>
        <v>0</v>
      </c>
      <c r="BG132" s="9" t="s">
        <v>196</v>
      </c>
      <c r="BJ132" s="14">
        <v>123278</v>
      </c>
      <c r="BK132" s="14" t="s">
        <v>193</v>
      </c>
      <c r="BL132" s="14"/>
      <c r="BM132" s="9" t="s">
        <v>196</v>
      </c>
      <c r="BP132" s="14"/>
    </row>
    <row r="133" spans="22:68">
      <c r="V133" s="9" t="s">
        <v>197</v>
      </c>
      <c r="W133" s="9">
        <f t="shared" si="27"/>
        <v>133562217.72138573</v>
      </c>
      <c r="X133" s="9">
        <f t="shared" si="25"/>
        <v>10017166.32910393</v>
      </c>
      <c r="AB133" s="338" t="s">
        <v>197</v>
      </c>
      <c r="AC133" s="9">
        <f t="shared" si="26"/>
        <v>144339639.60036373</v>
      </c>
      <c r="AD133" s="9">
        <v>7</v>
      </c>
      <c r="AF133" s="9">
        <f t="shared" si="22"/>
        <v>144339632.60036373</v>
      </c>
      <c r="AG133" s="9">
        <f t="shared" si="21"/>
        <v>10825472.445027279</v>
      </c>
      <c r="AH133" s="335"/>
      <c r="AI133" s="9">
        <f t="shared" si="28"/>
        <v>0</v>
      </c>
      <c r="AJ133" s="335">
        <f t="shared" si="23"/>
        <v>0</v>
      </c>
      <c r="BG133" s="9" t="s">
        <v>198</v>
      </c>
      <c r="BJ133" s="18">
        <v>-300000</v>
      </c>
      <c r="BK133" s="14" t="s">
        <v>190</v>
      </c>
      <c r="BL133" s="14"/>
      <c r="BM133" s="9" t="s">
        <v>198</v>
      </c>
      <c r="BP133" s="18"/>
    </row>
    <row r="134" spans="22:68">
      <c r="V134" s="9" t="s">
        <v>199</v>
      </c>
      <c r="W134" s="9">
        <f t="shared" si="27"/>
        <v>136233462.07581344</v>
      </c>
      <c r="X134" s="9">
        <f t="shared" si="25"/>
        <v>10217509.655686008</v>
      </c>
      <c r="AB134" s="338" t="s">
        <v>199</v>
      </c>
      <c r="AC134" s="9">
        <f t="shared" si="26"/>
        <v>148669828.78837463</v>
      </c>
      <c r="AD134" s="9">
        <v>8</v>
      </c>
      <c r="AF134" s="9">
        <f t="shared" si="22"/>
        <v>148669820.78837463</v>
      </c>
      <c r="AG134" s="9">
        <f t="shared" si="21"/>
        <v>11150236.559128096</v>
      </c>
      <c r="AH134" s="335"/>
      <c r="AI134" s="9">
        <f t="shared" si="28"/>
        <v>0</v>
      </c>
      <c r="AJ134" s="335">
        <f t="shared" si="23"/>
        <v>0</v>
      </c>
      <c r="BI134" s="11" t="s">
        <v>200</v>
      </c>
      <c r="BJ134" s="347">
        <f>SUM(BJ129:BJ133)</f>
        <v>780933.98</v>
      </c>
      <c r="BK134" s="14"/>
      <c r="BL134" s="14"/>
      <c r="BO134" s="11" t="s">
        <v>200</v>
      </c>
      <c r="BP134" s="347">
        <f>SUM(BP129:BP133)</f>
        <v>6117.73</v>
      </c>
    </row>
    <row r="135" spans="22:68">
      <c r="V135" s="9" t="s">
        <v>201</v>
      </c>
      <c r="W135" s="9">
        <f t="shared" si="27"/>
        <v>138958131.3173297</v>
      </c>
      <c r="X135" s="9">
        <f t="shared" si="25"/>
        <v>10421859.848799728</v>
      </c>
      <c r="AB135" s="338" t="s">
        <v>201</v>
      </c>
      <c r="AC135" s="9">
        <f t="shared" si="26"/>
        <v>153129923.65202588</v>
      </c>
      <c r="AD135" s="9">
        <v>9</v>
      </c>
      <c r="AF135" s="9">
        <f t="shared" si="22"/>
        <v>153129914.65202588</v>
      </c>
      <c r="AG135" s="9">
        <f t="shared" si="21"/>
        <v>11484743.598901941</v>
      </c>
      <c r="AH135" s="335"/>
      <c r="AI135" s="9">
        <f t="shared" si="28"/>
        <v>0</v>
      </c>
      <c r="AJ135" s="335">
        <f t="shared" si="23"/>
        <v>0</v>
      </c>
      <c r="BG135" s="9" t="s">
        <v>202</v>
      </c>
      <c r="BJ135" s="14">
        <v>388000</v>
      </c>
      <c r="BK135" s="14" t="s">
        <v>193</v>
      </c>
      <c r="BL135" s="14"/>
      <c r="BM135" s="9" t="s">
        <v>203</v>
      </c>
      <c r="BP135" s="14">
        <v>926250</v>
      </c>
    </row>
    <row r="136" spans="22:68">
      <c r="V136" s="9" t="s">
        <v>204</v>
      </c>
      <c r="W136" s="9">
        <f t="shared" si="27"/>
        <v>141737293.94367629</v>
      </c>
      <c r="X136" s="9">
        <f t="shared" si="25"/>
        <v>10630297.045775721</v>
      </c>
      <c r="AB136" s="338" t="s">
        <v>204</v>
      </c>
      <c r="AC136" s="9">
        <f t="shared" si="26"/>
        <v>157723821.36158666</v>
      </c>
      <c r="AD136" s="9">
        <v>10</v>
      </c>
      <c r="AF136" s="9">
        <f t="shared" si="22"/>
        <v>157723811.36158666</v>
      </c>
      <c r="AG136" s="9">
        <f t="shared" si="21"/>
        <v>11829285.852118999</v>
      </c>
      <c r="AH136" s="335"/>
      <c r="AI136" s="9">
        <f t="shared" si="28"/>
        <v>0</v>
      </c>
      <c r="AJ136" s="335">
        <f t="shared" si="23"/>
        <v>0</v>
      </c>
      <c r="BG136" s="9" t="s">
        <v>205</v>
      </c>
      <c r="BJ136" s="14">
        <f>104002+32278</f>
        <v>136280</v>
      </c>
      <c r="BK136" s="14" t="s">
        <v>193</v>
      </c>
      <c r="BL136" s="14"/>
      <c r="BM136" s="9" t="s">
        <v>206</v>
      </c>
      <c r="BP136" s="14">
        <v>-300000</v>
      </c>
    </row>
    <row r="137" spans="22:68">
      <c r="V137" s="9" t="s">
        <v>207</v>
      </c>
      <c r="W137" s="9">
        <f t="shared" si="27"/>
        <v>144572039.82254982</v>
      </c>
      <c r="X137" s="9">
        <f t="shared" si="25"/>
        <v>10842902.986691236</v>
      </c>
      <c r="AB137" s="338" t="s">
        <v>207</v>
      </c>
      <c r="AC137" s="9">
        <f t="shared" si="26"/>
        <v>162455536.00243425</v>
      </c>
      <c r="AD137" s="9">
        <v>11</v>
      </c>
      <c r="AF137" s="9">
        <f t="shared" si="22"/>
        <v>162455525.00243425</v>
      </c>
      <c r="AG137" s="9">
        <f t="shared" si="21"/>
        <v>12184164.375182569</v>
      </c>
      <c r="AH137" s="335"/>
      <c r="AI137" s="9">
        <f t="shared" si="28"/>
        <v>0</v>
      </c>
      <c r="AJ137" s="335">
        <f t="shared" si="23"/>
        <v>0</v>
      </c>
      <c r="BG137" s="9" t="s">
        <v>208</v>
      </c>
      <c r="BJ137" s="14">
        <f>(+BJ129+BJ130)*0.03</f>
        <v>27971.031899999998</v>
      </c>
      <c r="BK137" s="14" t="s">
        <v>193</v>
      </c>
      <c r="BL137" s="14"/>
      <c r="BM137" s="9" t="s">
        <v>209</v>
      </c>
      <c r="BP137" s="14">
        <v>-599183</v>
      </c>
    </row>
    <row r="138" spans="22:68">
      <c r="V138" s="9" t="s">
        <v>210</v>
      </c>
      <c r="W138" s="9">
        <f t="shared" si="27"/>
        <v>147463480.61900082</v>
      </c>
      <c r="X138" s="9">
        <f t="shared" si="25"/>
        <v>11059761.046425061</v>
      </c>
      <c r="AB138" s="338" t="s">
        <v>210</v>
      </c>
      <c r="AC138" s="9">
        <f t="shared" si="26"/>
        <v>167329202.08250728</v>
      </c>
      <c r="AD138" s="9">
        <v>12</v>
      </c>
      <c r="AF138" s="9">
        <f t="shared" si="22"/>
        <v>167329190.08250728</v>
      </c>
      <c r="AG138" s="9">
        <f t="shared" si="21"/>
        <v>12549689.256188046</v>
      </c>
      <c r="AH138" s="335"/>
      <c r="AI138" s="9">
        <f t="shared" si="28"/>
        <v>0</v>
      </c>
      <c r="AJ138" s="335">
        <f t="shared" si="23"/>
        <v>0</v>
      </c>
      <c r="BJ138" s="14"/>
      <c r="BK138" s="14" t="s">
        <v>211</v>
      </c>
      <c r="BL138" s="14">
        <f>SUM(BJ135:BJ137)+BJ131+BJ132</f>
        <v>700817.28189999994</v>
      </c>
      <c r="BM138" s="9" t="s">
        <v>212</v>
      </c>
      <c r="BP138" s="14">
        <v>55016</v>
      </c>
    </row>
    <row r="139" spans="22:68">
      <c r="V139" s="9" t="s">
        <v>213</v>
      </c>
      <c r="W139" s="9">
        <f t="shared" si="27"/>
        <v>150412750.23138085</v>
      </c>
      <c r="X139" s="9">
        <f t="shared" si="25"/>
        <v>11280956.267353563</v>
      </c>
      <c r="AI139" s="348"/>
      <c r="BJ139" s="14"/>
      <c r="BK139" s="14"/>
      <c r="BL139" s="14"/>
      <c r="BP139" s="14"/>
    </row>
    <row r="140" spans="22:68">
      <c r="V140" s="9" t="s">
        <v>214</v>
      </c>
      <c r="W140" s="9">
        <f t="shared" si="27"/>
        <v>153421005.23600847</v>
      </c>
      <c r="X140" s="9">
        <f t="shared" si="25"/>
        <v>11506575.392700635</v>
      </c>
      <c r="AB140" s="11" t="s">
        <v>14</v>
      </c>
      <c r="AC140" s="9" t="s">
        <v>215</v>
      </c>
      <c r="AG140" s="344"/>
      <c r="AI140" s="348"/>
      <c r="BJ140" s="14"/>
      <c r="BK140" s="14"/>
      <c r="BL140" s="14"/>
      <c r="BP140" s="14"/>
    </row>
    <row r="141" spans="22:68">
      <c r="V141" s="9" t="s">
        <v>216</v>
      </c>
      <c r="W141" s="9">
        <f t="shared" si="27"/>
        <v>156489425.34072864</v>
      </c>
      <c r="X141" s="9">
        <f t="shared" si="25"/>
        <v>11736706.900554648</v>
      </c>
      <c r="AB141" s="11" t="s">
        <v>217</v>
      </c>
      <c r="AC141" s="9">
        <v>12000000</v>
      </c>
      <c r="AD141" s="11"/>
      <c r="AE141" s="342"/>
      <c r="AF141" s="342"/>
      <c r="AG141" s="344"/>
      <c r="AI141" s="348"/>
      <c r="BJ141" s="14"/>
      <c r="BK141" s="14"/>
      <c r="BL141" s="14"/>
      <c r="BP141" s="14"/>
    </row>
    <row r="142" spans="22:68">
      <c r="V142" s="9" t="s">
        <v>218</v>
      </c>
      <c r="W142" s="9">
        <f t="shared" si="27"/>
        <v>159619213.84754321</v>
      </c>
      <c r="X142" s="9">
        <f t="shared" si="25"/>
        <v>11971441.03856574</v>
      </c>
      <c r="AB142" s="11" t="s">
        <v>219</v>
      </c>
      <c r="AC142" s="9">
        <v>0</v>
      </c>
      <c r="AD142" s="11"/>
      <c r="AE142" s="342"/>
      <c r="AF142" s="342"/>
      <c r="AG142" s="344"/>
      <c r="AI142" s="348"/>
      <c r="BJ142" s="14"/>
      <c r="BK142" s="14"/>
      <c r="BL142" s="14"/>
      <c r="BP142" s="14"/>
    </row>
    <row r="143" spans="22:68">
      <c r="V143" s="9" t="s">
        <v>220</v>
      </c>
      <c r="W143" s="9">
        <f t="shared" si="27"/>
        <v>162811598.12449408</v>
      </c>
      <c r="X143" s="9">
        <f t="shared" si="25"/>
        <v>12210869.859337056</v>
      </c>
      <c r="AB143" s="11" t="s">
        <v>221</v>
      </c>
      <c r="AC143" s="9">
        <f>+AC141-AC142</f>
        <v>12000000</v>
      </c>
      <c r="AD143" s="11"/>
      <c r="AE143" s="342"/>
      <c r="AF143" s="342"/>
      <c r="AG143" s="344"/>
      <c r="AI143" s="348"/>
      <c r="BJ143" s="14"/>
      <c r="BK143" s="14"/>
      <c r="BL143" s="14"/>
      <c r="BP143" s="14"/>
    </row>
    <row r="144" spans="22:68">
      <c r="V144" s="9" t="s">
        <v>222</v>
      </c>
      <c r="W144" s="9">
        <f t="shared" si="27"/>
        <v>166067830.08698395</v>
      </c>
      <c r="X144" s="9">
        <f t="shared" si="25"/>
        <v>12455087.256523795</v>
      </c>
      <c r="AB144" s="11" t="s">
        <v>40</v>
      </c>
      <c r="AC144" s="335">
        <v>0.04</v>
      </c>
      <c r="AG144" s="344"/>
      <c r="AI144" s="348"/>
      <c r="BJ144" s="14"/>
      <c r="BK144" s="14"/>
      <c r="BL144" s="14"/>
      <c r="BP144" s="14"/>
    </row>
    <row r="145" spans="22:68">
      <c r="V145" s="9" t="s">
        <v>223</v>
      </c>
      <c r="W145" s="9">
        <f t="shared" si="27"/>
        <v>169389186.68872362</v>
      </c>
      <c r="X145" s="9">
        <f t="shared" si="25"/>
        <v>12704189.001654271</v>
      </c>
      <c r="AB145" s="11" t="s">
        <v>41</v>
      </c>
      <c r="AC145" s="9">
        <v>20</v>
      </c>
      <c r="AD145" s="335"/>
      <c r="AG145" s="344"/>
      <c r="AI145" s="348"/>
      <c r="BJ145" s="14"/>
      <c r="BK145" s="14"/>
      <c r="BL145" s="14"/>
      <c r="BP145" s="14"/>
    </row>
    <row r="146" spans="22:68">
      <c r="AB146" s="11"/>
      <c r="AC146" s="342" t="s">
        <v>43</v>
      </c>
      <c r="AD146" s="342" t="s">
        <v>44</v>
      </c>
      <c r="AE146" s="341" t="s">
        <v>45</v>
      </c>
      <c r="AF146" s="341" t="s">
        <v>46</v>
      </c>
      <c r="AI146" s="348"/>
      <c r="BJ146" s="14"/>
      <c r="BK146" s="14"/>
      <c r="BL146" s="14"/>
      <c r="BP146" s="14"/>
    </row>
    <row r="147" spans="22:68">
      <c r="AB147" s="11"/>
      <c r="AC147" s="11">
        <v>0</v>
      </c>
      <c r="AD147" s="11">
        <v>0</v>
      </c>
      <c r="AE147" s="341"/>
      <c r="AF147" s="11"/>
      <c r="AG147" s="349" t="s">
        <v>224</v>
      </c>
      <c r="AI147" s="348"/>
      <c r="BJ147" s="14"/>
      <c r="BK147" s="14"/>
      <c r="BL147" s="14"/>
      <c r="BP147" s="14"/>
    </row>
    <row r="148" spans="22:68" ht="15.75">
      <c r="AC148" s="9">
        <v>900000</v>
      </c>
      <c r="AF148" s="9">
        <f>SUM(AD147:AE148)</f>
        <v>0</v>
      </c>
      <c r="AG148" s="256" t="s">
        <v>225</v>
      </c>
      <c r="AI148" s="348"/>
      <c r="BJ148" s="14"/>
      <c r="BK148" s="14"/>
      <c r="BL148" s="14"/>
      <c r="BP148" s="14"/>
    </row>
    <row r="149" spans="22:68">
      <c r="AB149" s="11"/>
      <c r="AC149" s="266">
        <v>0</v>
      </c>
      <c r="AD149" s="266"/>
      <c r="AE149" s="266"/>
      <c r="AF149" s="350"/>
      <c r="AG149" s="349" t="s">
        <v>226</v>
      </c>
      <c r="AI149" s="348"/>
      <c r="BJ149" s="14"/>
      <c r="BK149" s="14"/>
      <c r="BL149" s="14"/>
      <c r="BP149" s="14"/>
    </row>
    <row r="150" spans="22:68" ht="15.75">
      <c r="AB150" s="11"/>
      <c r="AC150" s="9">
        <f>+AC143</f>
        <v>12000000</v>
      </c>
      <c r="AE150" s="9">
        <f>+AC148*SI</f>
        <v>9000</v>
      </c>
      <c r="AF150" s="9">
        <f>SUM(AD149:AE150)</f>
        <v>9000</v>
      </c>
      <c r="AG150" s="256" t="s">
        <v>227</v>
      </c>
      <c r="AH150" s="9">
        <v>1</v>
      </c>
      <c r="AI150" s="348"/>
      <c r="BJ150" s="14"/>
      <c r="BK150" s="14"/>
      <c r="BL150" s="14"/>
      <c r="BP150" s="14"/>
    </row>
    <row r="151" spans="22:68">
      <c r="AB151" s="11"/>
      <c r="AC151" s="266"/>
      <c r="AD151" s="266"/>
      <c r="AE151" s="266"/>
      <c r="AF151" s="350"/>
      <c r="AG151" s="349" t="s">
        <v>228</v>
      </c>
      <c r="AI151" s="348"/>
      <c r="BJ151" s="14"/>
      <c r="BK151" s="14"/>
      <c r="BL151" s="14"/>
      <c r="BP151" s="14"/>
    </row>
    <row r="152" spans="22:68" ht="15.75">
      <c r="AB152" s="11"/>
      <c r="AC152" s="9">
        <f>+AC143</f>
        <v>12000000</v>
      </c>
      <c r="AE152" s="9">
        <f>+AC150*SI</f>
        <v>120000</v>
      </c>
      <c r="AF152" s="9">
        <f>SUM(AD151:AE152)</f>
        <v>120000</v>
      </c>
      <c r="AG152" s="256" t="s">
        <v>229</v>
      </c>
      <c r="AH152" s="9">
        <f>+AH150+1</f>
        <v>2</v>
      </c>
      <c r="AI152" s="348"/>
      <c r="BJ152" s="14"/>
      <c r="BK152" s="14"/>
      <c r="BL152" s="14"/>
      <c r="BP152" s="14"/>
    </row>
    <row r="153" spans="22:68">
      <c r="AB153" s="11"/>
      <c r="AC153" s="266">
        <f>+AC152</f>
        <v>12000000</v>
      </c>
      <c r="AD153" s="266"/>
      <c r="AE153" s="266">
        <f>+AC153*LI/2</f>
        <v>240000</v>
      </c>
      <c r="AF153" s="350"/>
      <c r="AG153" s="349" t="s">
        <v>230</v>
      </c>
      <c r="AI153" s="348"/>
      <c r="BJ153" s="14"/>
      <c r="BK153" s="14"/>
      <c r="BL153" s="14"/>
      <c r="BP153" s="14"/>
    </row>
    <row r="154" spans="22:68" ht="15.75">
      <c r="AC154" s="9">
        <f>+AC152</f>
        <v>12000000</v>
      </c>
      <c r="AD154" s="9">
        <v>500000</v>
      </c>
      <c r="AE154" s="9">
        <f>+AE153</f>
        <v>240000</v>
      </c>
      <c r="AF154" s="9">
        <f>SUM(AD153:AE154)</f>
        <v>980000</v>
      </c>
      <c r="AG154" s="256" t="s">
        <v>231</v>
      </c>
      <c r="AH154" s="9">
        <f>+AH152+1</f>
        <v>3</v>
      </c>
      <c r="AI154" s="348"/>
      <c r="BJ154" s="14"/>
      <c r="BK154" s="14"/>
      <c r="BL154" s="14"/>
      <c r="BP154" s="14"/>
    </row>
    <row r="155" spans="22:68">
      <c r="AB155" s="11"/>
      <c r="AC155" s="266">
        <f t="shared" ref="AC155:AC188" si="29">AC154-AD154</f>
        <v>11500000</v>
      </c>
      <c r="AD155" s="266"/>
      <c r="AE155" s="266">
        <f>+AC155*LI/2</f>
        <v>230000</v>
      </c>
      <c r="AF155" s="350"/>
      <c r="AG155" s="349" t="s">
        <v>232</v>
      </c>
      <c r="AI155" s="348"/>
      <c r="BJ155" s="14"/>
      <c r="BK155" s="14"/>
      <c r="BL155" s="14"/>
      <c r="BP155" s="14"/>
    </row>
    <row r="156" spans="22:68" ht="15.75">
      <c r="AC156" s="9">
        <f t="shared" si="29"/>
        <v>11500000</v>
      </c>
      <c r="AD156" s="9">
        <f>+AD154</f>
        <v>500000</v>
      </c>
      <c r="AE156" s="9">
        <f>+AE155</f>
        <v>230000</v>
      </c>
      <c r="AF156" s="9">
        <f>SUM(AD155:AE156)</f>
        <v>960000</v>
      </c>
      <c r="AG156" s="256" t="s">
        <v>233</v>
      </c>
      <c r="AH156" s="9">
        <f>+AH154+1</f>
        <v>4</v>
      </c>
      <c r="AI156" s="348"/>
      <c r="BJ156" s="14"/>
      <c r="BK156" s="14"/>
      <c r="BL156" s="14"/>
      <c r="BP156" s="14"/>
    </row>
    <row r="157" spans="22:68">
      <c r="AB157" s="11"/>
      <c r="AC157" s="266">
        <f t="shared" si="29"/>
        <v>11000000</v>
      </c>
      <c r="AD157" s="266"/>
      <c r="AE157" s="266">
        <f>+AC157*LI/2</f>
        <v>220000</v>
      </c>
      <c r="AF157" s="350"/>
      <c r="AG157" s="349" t="s">
        <v>234</v>
      </c>
      <c r="AI157" s="348"/>
      <c r="BJ157" s="14"/>
      <c r="BK157" s="14"/>
      <c r="BL157" s="14"/>
      <c r="BP157" s="14"/>
    </row>
    <row r="158" spans="22:68" ht="15.75">
      <c r="AB158" s="11"/>
      <c r="AC158" s="9">
        <f t="shared" si="29"/>
        <v>11000000</v>
      </c>
      <c r="AD158" s="9">
        <f>+AD156</f>
        <v>500000</v>
      </c>
      <c r="AE158" s="9">
        <f>+AE157</f>
        <v>220000</v>
      </c>
      <c r="AF158" s="9">
        <f>SUM(AD157:AE158)-AH158</f>
        <v>939995</v>
      </c>
      <c r="AG158" s="256" t="s">
        <v>235</v>
      </c>
      <c r="AH158" s="9">
        <f>+AH156+1</f>
        <v>5</v>
      </c>
      <c r="AI158" s="348"/>
      <c r="BJ158" s="14"/>
      <c r="BK158" s="14"/>
      <c r="BL158" s="14"/>
      <c r="BP158" s="14"/>
    </row>
    <row r="159" spans="22:68">
      <c r="AC159" s="266">
        <f t="shared" si="29"/>
        <v>10500000</v>
      </c>
      <c r="AD159" s="266"/>
      <c r="AE159" s="266">
        <f>+AC159*LI/2</f>
        <v>210000</v>
      </c>
      <c r="AF159" s="350"/>
      <c r="AG159" s="349" t="s">
        <v>236</v>
      </c>
      <c r="AI159" s="348"/>
      <c r="BJ159" s="14"/>
      <c r="BK159" s="14"/>
      <c r="BL159" s="14"/>
      <c r="BP159" s="14"/>
    </row>
    <row r="160" spans="22:68" ht="15.75">
      <c r="AC160" s="9">
        <f t="shared" si="29"/>
        <v>10500000</v>
      </c>
      <c r="AD160" s="9">
        <f>+AD158</f>
        <v>500000</v>
      </c>
      <c r="AE160" s="9">
        <f>+AE159</f>
        <v>210000</v>
      </c>
      <c r="AF160" s="9">
        <f>SUM(AD159:AE160)-AH160</f>
        <v>919994</v>
      </c>
      <c r="AG160" s="256" t="s">
        <v>237</v>
      </c>
      <c r="AH160" s="9">
        <f>+AH158+1</f>
        <v>6</v>
      </c>
      <c r="AI160" s="348"/>
      <c r="BJ160" s="14"/>
      <c r="BK160" s="14"/>
      <c r="BL160" s="14"/>
      <c r="BP160" s="14"/>
    </row>
    <row r="161" spans="28:68">
      <c r="AC161" s="266">
        <f t="shared" si="29"/>
        <v>10000000</v>
      </c>
      <c r="AD161" s="266">
        <f t="shared" ref="AD161:AD171" si="30">AD159</f>
        <v>0</v>
      </c>
      <c r="AE161" s="266">
        <f>+AC161*LI/2</f>
        <v>200000</v>
      </c>
      <c r="AF161" s="350"/>
      <c r="AG161" s="349" t="s">
        <v>238</v>
      </c>
      <c r="AI161" s="348"/>
      <c r="BJ161" s="14"/>
      <c r="BK161" s="14"/>
      <c r="BL161" s="14"/>
      <c r="BP161" s="14"/>
    </row>
    <row r="162" spans="28:68" ht="15.75">
      <c r="AC162" s="9">
        <f t="shared" si="29"/>
        <v>10000000</v>
      </c>
      <c r="AD162" s="9">
        <f t="shared" si="30"/>
        <v>500000</v>
      </c>
      <c r="AE162" s="9">
        <f>+AE161</f>
        <v>200000</v>
      </c>
      <c r="AF162" s="9">
        <f>SUM(AD161:AE162)-AH162</f>
        <v>899993</v>
      </c>
      <c r="AG162" s="256" t="s">
        <v>239</v>
      </c>
      <c r="AH162" s="9">
        <f>+AH160+1</f>
        <v>7</v>
      </c>
      <c r="AI162" s="348"/>
      <c r="BJ162" s="14"/>
      <c r="BK162" s="14"/>
      <c r="BL162" s="14"/>
      <c r="BP162" s="14"/>
    </row>
    <row r="163" spans="28:68">
      <c r="AC163" s="266">
        <f t="shared" si="29"/>
        <v>9500000</v>
      </c>
      <c r="AD163" s="266">
        <f t="shared" si="30"/>
        <v>0</v>
      </c>
      <c r="AE163" s="266">
        <f>+AC163*LI/2</f>
        <v>190000</v>
      </c>
      <c r="AF163" s="350"/>
      <c r="AG163" s="349" t="s">
        <v>240</v>
      </c>
      <c r="AI163" s="348"/>
      <c r="BJ163" s="14"/>
      <c r="BK163" s="14"/>
      <c r="BL163" s="14"/>
      <c r="BP163" s="14"/>
    </row>
    <row r="164" spans="28:68" ht="15.75">
      <c r="AC164" s="9">
        <f t="shared" si="29"/>
        <v>9500000</v>
      </c>
      <c r="AD164" s="9">
        <f t="shared" si="30"/>
        <v>500000</v>
      </c>
      <c r="AE164" s="9">
        <f>+AE163</f>
        <v>190000</v>
      </c>
      <c r="AF164" s="9">
        <f>SUM(AD163:AE164)-AH164</f>
        <v>879992</v>
      </c>
      <c r="AG164" s="256" t="s">
        <v>241</v>
      </c>
      <c r="AH164" s="9">
        <f>+AH162+1</f>
        <v>8</v>
      </c>
      <c r="AI164" s="348"/>
      <c r="BJ164" s="14"/>
      <c r="BK164" s="14"/>
      <c r="BL164" s="14"/>
      <c r="BP164" s="14"/>
    </row>
    <row r="165" spans="28:68">
      <c r="AC165" s="266">
        <f t="shared" si="29"/>
        <v>9000000</v>
      </c>
      <c r="AD165" s="266">
        <f t="shared" si="30"/>
        <v>0</v>
      </c>
      <c r="AE165" s="266">
        <f>+AC165*LI/2</f>
        <v>180000</v>
      </c>
      <c r="AF165" s="350"/>
      <c r="AG165" s="349" t="s">
        <v>242</v>
      </c>
      <c r="AI165" s="348"/>
      <c r="BJ165" s="14"/>
      <c r="BK165" s="14"/>
      <c r="BL165" s="14"/>
      <c r="BP165" s="14"/>
    </row>
    <row r="166" spans="28:68" ht="15.75">
      <c r="AC166" s="9">
        <f t="shared" si="29"/>
        <v>9000000</v>
      </c>
      <c r="AD166" s="9">
        <f t="shared" si="30"/>
        <v>500000</v>
      </c>
      <c r="AE166" s="9">
        <f>+AE165</f>
        <v>180000</v>
      </c>
      <c r="AF166" s="9">
        <f>SUM(AD165:AE166)-AH166</f>
        <v>859991</v>
      </c>
      <c r="AG166" s="256" t="s">
        <v>243</v>
      </c>
      <c r="AH166" s="9">
        <f>+AH164+1</f>
        <v>9</v>
      </c>
      <c r="AI166" s="348"/>
      <c r="BJ166" s="14"/>
      <c r="BK166" s="14"/>
      <c r="BL166" s="14"/>
      <c r="BP166" s="14"/>
    </row>
    <row r="167" spans="28:68">
      <c r="AC167" s="266">
        <f t="shared" si="29"/>
        <v>8500000</v>
      </c>
      <c r="AD167" s="266">
        <f t="shared" si="30"/>
        <v>0</v>
      </c>
      <c r="AE167" s="266">
        <f>+AC167*LI/2</f>
        <v>170000</v>
      </c>
      <c r="AF167" s="350"/>
      <c r="AG167" s="349" t="s">
        <v>244</v>
      </c>
      <c r="AI167" s="348"/>
      <c r="BJ167" s="14"/>
      <c r="BK167" s="14"/>
      <c r="BL167" s="14"/>
      <c r="BP167" s="14"/>
    </row>
    <row r="168" spans="28:68" ht="15.75">
      <c r="AC168" s="9">
        <f t="shared" si="29"/>
        <v>8500000</v>
      </c>
      <c r="AD168" s="9">
        <f t="shared" si="30"/>
        <v>500000</v>
      </c>
      <c r="AE168" s="9">
        <f>+AE167</f>
        <v>170000</v>
      </c>
      <c r="AF168" s="9">
        <f>SUM(AD167:AE168)-AH168</f>
        <v>839990</v>
      </c>
      <c r="AG168" s="256" t="s">
        <v>245</v>
      </c>
      <c r="AH168" s="9">
        <f>+AH166+1</f>
        <v>10</v>
      </c>
      <c r="AI168" s="348"/>
      <c r="BJ168" s="14"/>
      <c r="BK168" s="14"/>
      <c r="BL168" s="14"/>
      <c r="BP168" s="14"/>
    </row>
    <row r="169" spans="28:68">
      <c r="AB169" s="9" t="s">
        <v>37</v>
      </c>
      <c r="AC169" s="266">
        <f t="shared" si="29"/>
        <v>8000000</v>
      </c>
      <c r="AD169" s="266">
        <f t="shared" si="30"/>
        <v>0</v>
      </c>
      <c r="AE169" s="266">
        <f>+AC169*LI/2</f>
        <v>160000</v>
      </c>
      <c r="AF169" s="350"/>
      <c r="AG169" s="349" t="s">
        <v>246</v>
      </c>
      <c r="AI169" s="348"/>
      <c r="BJ169" s="14"/>
      <c r="BK169" s="14"/>
      <c r="BL169" s="14"/>
      <c r="BP169" s="14"/>
    </row>
    <row r="170" spans="28:68" ht="15.75">
      <c r="AC170" s="9">
        <f t="shared" si="29"/>
        <v>8000000</v>
      </c>
      <c r="AD170" s="9">
        <f t="shared" si="30"/>
        <v>500000</v>
      </c>
      <c r="AE170" s="9">
        <f>+AE169</f>
        <v>160000</v>
      </c>
      <c r="AF170" s="9">
        <f>SUM(AD169:AE170)-AH170</f>
        <v>819989</v>
      </c>
      <c r="AG170" s="256" t="s">
        <v>247</v>
      </c>
      <c r="AH170" s="9">
        <f>+AH168+1</f>
        <v>11</v>
      </c>
      <c r="AI170" s="348"/>
      <c r="BJ170" s="14"/>
      <c r="BK170" s="14"/>
      <c r="BL170" s="14"/>
      <c r="BP170" s="14"/>
    </row>
    <row r="171" spans="28:68">
      <c r="AC171" s="266">
        <f t="shared" si="29"/>
        <v>7500000</v>
      </c>
      <c r="AD171" s="266">
        <f t="shared" si="30"/>
        <v>0</v>
      </c>
      <c r="AE171" s="266">
        <f>+AC171*LI/2</f>
        <v>150000</v>
      </c>
      <c r="AF171" s="350"/>
      <c r="AG171" s="349" t="s">
        <v>248</v>
      </c>
      <c r="AI171" s="348"/>
      <c r="BJ171" s="14"/>
      <c r="BK171" s="14"/>
      <c r="BL171" s="14"/>
      <c r="BP171" s="14"/>
    </row>
    <row r="172" spans="28:68" ht="15.75">
      <c r="AC172" s="9">
        <f t="shared" si="29"/>
        <v>7500000</v>
      </c>
      <c r="AD172" s="9">
        <f>+AD170</f>
        <v>500000</v>
      </c>
      <c r="AE172" s="9">
        <f>+AE171</f>
        <v>150000</v>
      </c>
      <c r="AF172" s="9">
        <f>SUM(AD171:AE172)-AH172</f>
        <v>799988</v>
      </c>
      <c r="AG172" s="256" t="s">
        <v>249</v>
      </c>
      <c r="AH172" s="9">
        <f>+AH170+1</f>
        <v>12</v>
      </c>
      <c r="AI172" s="348"/>
      <c r="BJ172" s="14"/>
      <c r="BK172" s="14"/>
      <c r="BL172" s="14"/>
      <c r="BP172" s="14"/>
    </row>
    <row r="173" spans="28:68">
      <c r="AC173" s="266">
        <f t="shared" si="29"/>
        <v>7000000</v>
      </c>
      <c r="AD173" s="266">
        <f t="shared" ref="AD173:AD187" si="31">AD171</f>
        <v>0</v>
      </c>
      <c r="AE173" s="266">
        <f>+AC173*LI/2</f>
        <v>140000</v>
      </c>
      <c r="AF173" s="350"/>
      <c r="AG173" s="349" t="s">
        <v>250</v>
      </c>
      <c r="AI173" s="348"/>
      <c r="BJ173" s="14"/>
      <c r="BK173" s="14"/>
      <c r="BL173" s="14"/>
      <c r="BP173" s="14"/>
    </row>
    <row r="174" spans="28:68" ht="15.75">
      <c r="AC174" s="9">
        <f t="shared" si="29"/>
        <v>7000000</v>
      </c>
      <c r="AD174" s="9">
        <f t="shared" si="31"/>
        <v>500000</v>
      </c>
      <c r="AE174" s="9">
        <f>+AE173</f>
        <v>140000</v>
      </c>
      <c r="AF174" s="9">
        <f>SUM(AD173:AE174)-AH174</f>
        <v>779987</v>
      </c>
      <c r="AG174" s="256" t="s">
        <v>251</v>
      </c>
      <c r="AH174" s="9">
        <f>+AH172+1</f>
        <v>13</v>
      </c>
      <c r="AI174" s="348"/>
      <c r="BJ174" s="14"/>
      <c r="BK174" s="14"/>
      <c r="BL174" s="14"/>
      <c r="BP174" s="14"/>
    </row>
    <row r="175" spans="28:68">
      <c r="AC175" s="266">
        <f t="shared" si="29"/>
        <v>6500000</v>
      </c>
      <c r="AD175" s="266">
        <f t="shared" si="31"/>
        <v>0</v>
      </c>
      <c r="AE175" s="266">
        <f>+AC175*LI/2</f>
        <v>130000</v>
      </c>
      <c r="AF175" s="350"/>
      <c r="AG175" s="349" t="s">
        <v>252</v>
      </c>
      <c r="AI175" s="348"/>
      <c r="BJ175" s="14"/>
      <c r="BK175" s="14"/>
      <c r="BL175" s="14"/>
      <c r="BP175" s="14"/>
    </row>
    <row r="176" spans="28:68" ht="15.75">
      <c r="AC176" s="9">
        <f t="shared" si="29"/>
        <v>6500000</v>
      </c>
      <c r="AD176" s="9">
        <f>+AD174</f>
        <v>500000</v>
      </c>
      <c r="AE176" s="9">
        <f>+AE175</f>
        <v>130000</v>
      </c>
      <c r="AF176" s="9">
        <f>SUM(AD175:AE176)-AH176</f>
        <v>759986</v>
      </c>
      <c r="AG176" s="256" t="s">
        <v>253</v>
      </c>
      <c r="AH176" s="9">
        <f>+AH174+1</f>
        <v>14</v>
      </c>
      <c r="AI176" s="348"/>
      <c r="BJ176" s="14"/>
      <c r="BK176" s="14"/>
      <c r="BL176" s="14"/>
      <c r="BP176" s="14"/>
    </row>
    <row r="177" spans="29:68">
      <c r="AC177" s="266">
        <f t="shared" si="29"/>
        <v>6000000</v>
      </c>
      <c r="AD177" s="266">
        <f t="shared" si="31"/>
        <v>0</v>
      </c>
      <c r="AE177" s="266">
        <f>+AC177*LI/2</f>
        <v>120000</v>
      </c>
      <c r="AF177" s="350"/>
      <c r="AG177" s="349" t="s">
        <v>254</v>
      </c>
      <c r="AI177" s="348"/>
      <c r="BJ177" s="14"/>
      <c r="BK177" s="14"/>
      <c r="BL177" s="14"/>
      <c r="BP177" s="14"/>
    </row>
    <row r="178" spans="29:68" ht="15.75">
      <c r="AC178" s="9">
        <f t="shared" si="29"/>
        <v>6000000</v>
      </c>
      <c r="AD178" s="9">
        <f t="shared" si="31"/>
        <v>500000</v>
      </c>
      <c r="AE178" s="9">
        <f>+AE177</f>
        <v>120000</v>
      </c>
      <c r="AF178" s="9">
        <f>SUM(AD177:AE178)-AH178</f>
        <v>739985</v>
      </c>
      <c r="AG178" s="256" t="s">
        <v>255</v>
      </c>
      <c r="AH178" s="9">
        <f>+AH176+1</f>
        <v>15</v>
      </c>
      <c r="AI178" s="348"/>
      <c r="BJ178" s="14"/>
      <c r="BK178" s="14"/>
      <c r="BL178" s="14"/>
      <c r="BP178" s="14"/>
    </row>
    <row r="179" spans="29:68">
      <c r="AC179" s="266">
        <f t="shared" si="29"/>
        <v>5500000</v>
      </c>
      <c r="AD179" s="266">
        <f t="shared" si="31"/>
        <v>0</v>
      </c>
      <c r="AE179" s="266">
        <f>+AC179*LI/2</f>
        <v>110000</v>
      </c>
      <c r="AF179" s="350"/>
      <c r="AG179" s="349" t="s">
        <v>256</v>
      </c>
      <c r="AI179" s="348"/>
      <c r="BJ179" s="14"/>
      <c r="BK179" s="14"/>
      <c r="BL179" s="14"/>
      <c r="BP179" s="14"/>
    </row>
    <row r="180" spans="29:68" ht="15.75">
      <c r="AC180" s="9">
        <f t="shared" si="29"/>
        <v>5500000</v>
      </c>
      <c r="AD180" s="9">
        <f t="shared" si="31"/>
        <v>500000</v>
      </c>
      <c r="AE180" s="9">
        <f>+AE179</f>
        <v>110000</v>
      </c>
      <c r="AF180" s="9">
        <f>SUM(AD179:AE180)-AH180</f>
        <v>719984</v>
      </c>
      <c r="AG180" s="256" t="s">
        <v>257</v>
      </c>
      <c r="AH180" s="9">
        <f>+AH178+1</f>
        <v>16</v>
      </c>
      <c r="AI180" s="348"/>
      <c r="BJ180" s="14"/>
      <c r="BK180" s="14"/>
      <c r="BL180" s="14"/>
      <c r="BP180" s="14"/>
    </row>
    <row r="181" spans="29:68">
      <c r="AC181" s="266">
        <f t="shared" si="29"/>
        <v>5000000</v>
      </c>
      <c r="AD181" s="266">
        <f t="shared" si="31"/>
        <v>0</v>
      </c>
      <c r="AE181" s="266">
        <f>+AC181*LI/2</f>
        <v>100000</v>
      </c>
      <c r="AF181" s="350"/>
      <c r="AG181" s="349" t="s">
        <v>258</v>
      </c>
      <c r="AI181" s="348"/>
      <c r="BJ181" s="14"/>
      <c r="BK181" s="14"/>
      <c r="BL181" s="14"/>
      <c r="BP181" s="14"/>
    </row>
    <row r="182" spans="29:68" ht="15.75">
      <c r="AC182" s="9">
        <f t="shared" si="29"/>
        <v>5000000</v>
      </c>
      <c r="AD182" s="9">
        <f t="shared" si="31"/>
        <v>500000</v>
      </c>
      <c r="AE182" s="9">
        <f>+AE181</f>
        <v>100000</v>
      </c>
      <c r="AF182" s="9">
        <f>SUM(AD181:AE182)-AH182</f>
        <v>699983</v>
      </c>
      <c r="AG182" s="256" t="s">
        <v>259</v>
      </c>
      <c r="AH182" s="9">
        <f>+AH180+1</f>
        <v>17</v>
      </c>
      <c r="AI182" s="348"/>
      <c r="BJ182" s="14"/>
      <c r="BK182" s="14"/>
      <c r="BL182" s="14"/>
      <c r="BP182" s="14"/>
    </row>
    <row r="183" spans="29:68">
      <c r="AC183" s="266">
        <f t="shared" si="29"/>
        <v>4500000</v>
      </c>
      <c r="AD183" s="266">
        <f t="shared" si="31"/>
        <v>0</v>
      </c>
      <c r="AE183" s="266">
        <f>+AC183*LI/2</f>
        <v>90000</v>
      </c>
      <c r="AF183" s="350"/>
      <c r="AG183" s="349" t="s">
        <v>260</v>
      </c>
      <c r="AI183" s="348"/>
      <c r="BJ183" s="14"/>
      <c r="BK183" s="14"/>
      <c r="BL183" s="14"/>
      <c r="BP183" s="14"/>
    </row>
    <row r="184" spans="29:68" ht="15.75">
      <c r="AC184" s="9">
        <f t="shared" si="29"/>
        <v>4500000</v>
      </c>
      <c r="AD184" s="9">
        <f t="shared" si="31"/>
        <v>500000</v>
      </c>
      <c r="AE184" s="9">
        <f>+AE183</f>
        <v>90000</v>
      </c>
      <c r="AF184" s="9">
        <f>SUM(AD183:AE184)-AH184</f>
        <v>679982</v>
      </c>
      <c r="AG184" s="256" t="s">
        <v>261</v>
      </c>
      <c r="AH184" s="9">
        <f>+AH182+1</f>
        <v>18</v>
      </c>
      <c r="AI184" s="348"/>
      <c r="BJ184" s="14"/>
      <c r="BK184" s="14"/>
      <c r="BL184" s="14"/>
      <c r="BP184" s="14"/>
    </row>
    <row r="185" spans="29:68">
      <c r="AC185" s="266">
        <f t="shared" si="29"/>
        <v>4000000</v>
      </c>
      <c r="AD185" s="266">
        <f t="shared" si="31"/>
        <v>0</v>
      </c>
      <c r="AE185" s="266">
        <f>+AC185*LI/2</f>
        <v>80000</v>
      </c>
      <c r="AF185" s="350"/>
      <c r="AG185" s="349" t="s">
        <v>262</v>
      </c>
      <c r="AI185" s="348"/>
      <c r="BJ185" s="14"/>
      <c r="BK185" s="14"/>
      <c r="BL185" s="14"/>
      <c r="BP185" s="14"/>
    </row>
    <row r="186" spans="29:68" ht="15.75">
      <c r="AC186" s="9">
        <f t="shared" si="29"/>
        <v>4000000</v>
      </c>
      <c r="AD186" s="9">
        <f t="shared" si="31"/>
        <v>500000</v>
      </c>
      <c r="AE186" s="9">
        <f>+AE185</f>
        <v>80000</v>
      </c>
      <c r="AF186" s="9">
        <f>SUM(AD185:AE186)-AH186</f>
        <v>659981</v>
      </c>
      <c r="AG186" s="256" t="s">
        <v>263</v>
      </c>
      <c r="AH186" s="9">
        <f>+AH184+1</f>
        <v>19</v>
      </c>
      <c r="AI186" s="348"/>
      <c r="BJ186" s="14"/>
      <c r="BK186" s="14"/>
      <c r="BL186" s="14"/>
      <c r="BP186" s="14"/>
    </row>
    <row r="187" spans="29:68">
      <c r="AC187" s="266">
        <f t="shared" si="29"/>
        <v>3500000</v>
      </c>
      <c r="AD187" s="266">
        <f t="shared" si="31"/>
        <v>0</v>
      </c>
      <c r="AE187" s="266">
        <f>+AC187*LI/2</f>
        <v>70000</v>
      </c>
      <c r="AF187" s="350"/>
      <c r="AG187" s="349" t="s">
        <v>264</v>
      </c>
      <c r="AI187" s="348"/>
      <c r="BJ187" s="14"/>
      <c r="BK187" s="14"/>
      <c r="BL187" s="14"/>
      <c r="BP187" s="14"/>
    </row>
    <row r="188" spans="29:68" ht="15.75">
      <c r="AC188" s="9">
        <f t="shared" si="29"/>
        <v>3500000</v>
      </c>
      <c r="AD188" s="9">
        <f>+AD186</f>
        <v>500000</v>
      </c>
      <c r="AE188" s="9">
        <f>+AE187</f>
        <v>70000</v>
      </c>
      <c r="AF188" s="9">
        <f>SUM(AD187:AE188)-AH188</f>
        <v>639980</v>
      </c>
      <c r="AG188" s="256" t="s">
        <v>265</v>
      </c>
      <c r="AH188" s="9">
        <f>+AH186+1</f>
        <v>20</v>
      </c>
      <c r="AI188" s="348"/>
      <c r="BJ188" s="14"/>
      <c r="BK188" s="14"/>
      <c r="BL188" s="14"/>
      <c r="BP188" s="14"/>
    </row>
    <row r="189" spans="29:68">
      <c r="AC189" s="266"/>
      <c r="AD189" s="266">
        <f>SUM(AD150:AD188)</f>
        <v>9000000</v>
      </c>
      <c r="AE189" s="266">
        <f>SUM(AE147:AE188)</f>
        <v>5709000</v>
      </c>
      <c r="AF189" s="266">
        <f>SUM(AF147:AF188)</f>
        <v>14708800</v>
      </c>
      <c r="AG189" s="349"/>
      <c r="AI189" s="348"/>
      <c r="BJ189" s="14"/>
      <c r="BK189" s="14"/>
      <c r="BL189" s="14"/>
      <c r="BP189" s="14"/>
    </row>
    <row r="190" spans="29:68">
      <c r="AI190" s="348"/>
      <c r="BJ190" s="14"/>
      <c r="BK190" s="14"/>
      <c r="BL190" s="14"/>
      <c r="BP190" s="14"/>
    </row>
    <row r="191" spans="29:68">
      <c r="AI191" s="348"/>
      <c r="BJ191" s="14"/>
      <c r="BK191" s="14"/>
      <c r="BL191" s="14"/>
      <c r="BP191" s="14"/>
    </row>
    <row r="192" spans="29:68">
      <c r="AH192" s="348"/>
      <c r="BG192" s="9" t="s">
        <v>212</v>
      </c>
      <c r="BJ192" s="14">
        <f>981266.02-926250</f>
        <v>55016.020000000019</v>
      </c>
      <c r="BK192" s="14"/>
      <c r="BL192" s="14"/>
      <c r="BP192" s="14"/>
    </row>
    <row r="193" spans="26:68">
      <c r="AB193" s="11" t="s">
        <v>14</v>
      </c>
      <c r="AC193" s="9" t="s">
        <v>215</v>
      </c>
      <c r="AG193" s="344"/>
      <c r="BG193" s="9" t="s">
        <v>266</v>
      </c>
      <c r="BJ193" s="14">
        <v>-1300000</v>
      </c>
      <c r="BK193" s="14"/>
      <c r="BL193" s="14"/>
      <c r="BM193" s="9" t="s">
        <v>266</v>
      </c>
      <c r="BP193" s="14"/>
    </row>
    <row r="194" spans="26:68">
      <c r="AB194" s="11" t="s">
        <v>217</v>
      </c>
      <c r="AC194" s="9">
        <v>58414481</v>
      </c>
      <c r="AD194" s="11"/>
      <c r="AE194" s="342"/>
      <c r="AF194" s="342"/>
      <c r="AG194" s="344"/>
      <c r="BJ194" s="14"/>
      <c r="BK194" s="14"/>
      <c r="BL194" s="14"/>
      <c r="BP194" s="14"/>
    </row>
    <row r="195" spans="26:68">
      <c r="AB195" s="11" t="s">
        <v>219</v>
      </c>
      <c r="AC195" s="9">
        <v>24803526</v>
      </c>
      <c r="AD195" s="351">
        <f>+AC195/AC194</f>
        <v>0.42461262302407515</v>
      </c>
      <c r="AE195" s="342"/>
      <c r="AF195" s="342"/>
      <c r="AG195" s="344"/>
      <c r="BJ195" s="14"/>
      <c r="BK195" s="14"/>
      <c r="BL195" s="14"/>
      <c r="BP195" s="14"/>
    </row>
    <row r="196" spans="26:68">
      <c r="AB196" s="11" t="s">
        <v>221</v>
      </c>
      <c r="AC196" s="9">
        <v>33610955</v>
      </c>
      <c r="AD196" s="11"/>
      <c r="AE196" s="342"/>
      <c r="AF196" s="342"/>
      <c r="AG196" s="344"/>
      <c r="BJ196" s="14"/>
      <c r="BK196" s="14"/>
      <c r="BL196" s="14"/>
      <c r="BP196" s="14"/>
    </row>
    <row r="197" spans="26:68">
      <c r="AB197" s="11" t="s">
        <v>40</v>
      </c>
      <c r="AC197" s="335">
        <v>0.02</v>
      </c>
      <c r="AD197" s="335">
        <v>2.5000000000000001E-2</v>
      </c>
      <c r="AG197" s="344"/>
      <c r="BJ197" s="14"/>
      <c r="BK197" s="14"/>
      <c r="BL197" s="14"/>
      <c r="BP197" s="14"/>
    </row>
    <row r="198" spans="26:68">
      <c r="AB198" s="11" t="s">
        <v>41</v>
      </c>
      <c r="AC198" s="9">
        <v>20</v>
      </c>
      <c r="AD198" s="335"/>
      <c r="AG198" s="344"/>
      <c r="BJ198" s="14"/>
      <c r="BK198" s="14"/>
      <c r="BL198" s="14"/>
      <c r="BP198" s="14"/>
    </row>
    <row r="199" spans="26:68">
      <c r="AB199" s="11"/>
      <c r="AC199" s="342" t="s">
        <v>43</v>
      </c>
      <c r="AD199" s="342" t="s">
        <v>44</v>
      </c>
      <c r="AE199" s="341" t="s">
        <v>45</v>
      </c>
      <c r="AF199" s="341" t="s">
        <v>46</v>
      </c>
      <c r="BJ199" s="14"/>
      <c r="BK199" s="14"/>
      <c r="BL199" s="14"/>
      <c r="BP199" s="14"/>
    </row>
    <row r="200" spans="26:68">
      <c r="AB200" s="11"/>
      <c r="AC200" s="11">
        <v>0</v>
      </c>
      <c r="AD200" s="11">
        <v>0</v>
      </c>
      <c r="AE200" s="341"/>
      <c r="AF200" s="11"/>
      <c r="AG200" s="349" t="s">
        <v>224</v>
      </c>
      <c r="BJ200" s="14"/>
      <c r="BK200" s="14"/>
      <c r="BL200" s="14"/>
      <c r="BP200" s="14"/>
    </row>
    <row r="201" spans="26:68" ht="15.75">
      <c r="AC201" s="9">
        <v>4000000</v>
      </c>
      <c r="AF201" s="9">
        <f>SUM(AD200:AE201)</f>
        <v>0</v>
      </c>
      <c r="AG201" s="256" t="s">
        <v>225</v>
      </c>
      <c r="BJ201" s="14"/>
      <c r="BK201" s="14"/>
      <c r="BL201" s="14"/>
      <c r="BP201" s="14"/>
    </row>
    <row r="202" spans="26:68">
      <c r="AB202" s="11"/>
      <c r="AC202" s="266">
        <v>0</v>
      </c>
      <c r="AD202" s="266"/>
      <c r="AE202" s="266"/>
      <c r="AF202" s="350"/>
      <c r="AG202" s="349" t="s">
        <v>226</v>
      </c>
      <c r="BJ202" s="14"/>
      <c r="BK202" s="14"/>
      <c r="BL202" s="14"/>
      <c r="BP202" s="14"/>
    </row>
    <row r="203" spans="26:68" ht="15.75">
      <c r="AB203" s="11"/>
      <c r="AC203" s="9">
        <f>+AC196</f>
        <v>33610955</v>
      </c>
      <c r="AE203" s="9">
        <f>+AC201*SI</f>
        <v>40000</v>
      </c>
      <c r="AF203" s="9">
        <f>SUM(AD202:AE203)</f>
        <v>40000</v>
      </c>
      <c r="AG203" s="256" t="s">
        <v>227</v>
      </c>
      <c r="BJ203" s="14"/>
      <c r="BK203" s="14"/>
      <c r="BL203" s="14"/>
      <c r="BP203" s="14"/>
    </row>
    <row r="204" spans="26:68">
      <c r="AB204" s="11"/>
      <c r="AC204" s="266"/>
      <c r="AD204" s="266"/>
      <c r="AE204" s="266"/>
      <c r="AF204" s="350"/>
      <c r="AG204" s="349" t="s">
        <v>228</v>
      </c>
      <c r="BJ204" s="14"/>
      <c r="BK204" s="14"/>
      <c r="BL204" s="14"/>
      <c r="BP204" s="14"/>
    </row>
    <row r="205" spans="26:68" ht="15.75">
      <c r="Z205" s="9">
        <v>61749189</v>
      </c>
      <c r="AB205" s="11"/>
      <c r="AC205" s="9">
        <f>+AC196</f>
        <v>33610955</v>
      </c>
      <c r="AE205" s="9">
        <f>+AC203*SI</f>
        <v>336109.55</v>
      </c>
      <c r="AF205" s="9">
        <f>SUM(AD204:AE205)</f>
        <v>336109.55</v>
      </c>
      <c r="AG205" s="256" t="s">
        <v>229</v>
      </c>
      <c r="BJ205" s="14"/>
      <c r="BK205" s="14"/>
      <c r="BL205" s="14"/>
      <c r="BP205" s="14"/>
    </row>
    <row r="206" spans="26:68">
      <c r="Z206" s="9">
        <v>650000</v>
      </c>
      <c r="AB206" s="11"/>
      <c r="AC206" s="266">
        <f>+AC205</f>
        <v>33610955</v>
      </c>
      <c r="AD206" s="266"/>
      <c r="AE206" s="266">
        <f>+AC206*AC197/2</f>
        <v>336109.55</v>
      </c>
      <c r="AF206" s="350"/>
      <c r="AG206" s="349" t="s">
        <v>230</v>
      </c>
      <c r="BJ206" s="14"/>
      <c r="BK206" s="14"/>
      <c r="BL206" s="14"/>
      <c r="BP206" s="14"/>
    </row>
    <row r="207" spans="26:68" ht="15.75">
      <c r="Z207" s="9">
        <v>1282880</v>
      </c>
      <c r="AC207" s="9">
        <f>+AC205</f>
        <v>33610955</v>
      </c>
      <c r="AD207" s="9">
        <v>2000000</v>
      </c>
      <c r="AE207" s="9">
        <f>+AE206</f>
        <v>336109.55</v>
      </c>
      <c r="AF207" s="9">
        <f>SUM(AD206:AE207)</f>
        <v>2672219.0999999996</v>
      </c>
      <c r="AG207" s="256" t="s">
        <v>231</v>
      </c>
      <c r="BJ207" s="14"/>
      <c r="BK207" s="14"/>
      <c r="BL207" s="14"/>
      <c r="BP207" s="14"/>
    </row>
    <row r="208" spans="26:68">
      <c r="Z208" s="9">
        <v>310200</v>
      </c>
      <c r="AB208" s="11"/>
      <c r="AC208" s="266">
        <f>32000000+233333</f>
        <v>32233333</v>
      </c>
      <c r="AD208" s="266"/>
      <c r="AE208" s="266">
        <v>0</v>
      </c>
      <c r="AF208" s="350"/>
      <c r="AG208" s="349" t="s">
        <v>267</v>
      </c>
      <c r="BJ208" s="14"/>
      <c r="BK208" s="14"/>
      <c r="BL208" s="14"/>
      <c r="BP208" s="14"/>
    </row>
    <row r="209" spans="26:68" ht="15.75">
      <c r="Z209" s="9">
        <f>+Z205-Z206-Z207-Z208</f>
        <v>59506109</v>
      </c>
      <c r="AC209" s="9">
        <f t="shared" ref="AC209:AC251" si="32">AC208-AD208</f>
        <v>32233333</v>
      </c>
      <c r="AD209" s="9">
        <f>1462688+116667</f>
        <v>1579355</v>
      </c>
      <c r="AE209" s="9">
        <f>1276670.44+11472.21</f>
        <v>1288142.6499999999</v>
      </c>
      <c r="AF209" s="9">
        <f>SUM(AD208:AE209)</f>
        <v>2867497.65</v>
      </c>
      <c r="AG209" s="256" t="s">
        <v>268</v>
      </c>
      <c r="BJ209" s="14"/>
      <c r="BK209" s="14"/>
      <c r="BL209" s="14"/>
      <c r="BP209" s="14"/>
    </row>
    <row r="210" spans="26:68">
      <c r="AB210" s="11"/>
      <c r="AC210" s="266">
        <f t="shared" si="32"/>
        <v>30653978</v>
      </c>
      <c r="AD210" s="266"/>
      <c r="AE210" s="266">
        <f>612587.26+2916.65</f>
        <v>615503.91</v>
      </c>
      <c r="AF210" s="350"/>
      <c r="AG210" s="349" t="s">
        <v>269</v>
      </c>
      <c r="BJ210" s="14"/>
      <c r="BK210" s="14"/>
      <c r="BL210" s="14"/>
      <c r="BP210" s="14"/>
    </row>
    <row r="211" spans="26:68" ht="15.75">
      <c r="AB211" s="11"/>
      <c r="AC211" s="9">
        <f t="shared" si="32"/>
        <v>30653978</v>
      </c>
      <c r="AD211" s="9">
        <f>1454023+116666</f>
        <v>1570689</v>
      </c>
      <c r="AE211" s="9">
        <f>+AE210</f>
        <v>615503.91</v>
      </c>
      <c r="AF211" s="9">
        <f>SUM(AD210:AE211)-AH211</f>
        <v>2801696.8200000003</v>
      </c>
      <c r="AG211" s="256" t="s">
        <v>270</v>
      </c>
      <c r="BJ211" s="14"/>
      <c r="BK211" s="14"/>
      <c r="BL211" s="14"/>
      <c r="BP211" s="14"/>
    </row>
    <row r="212" spans="26:68">
      <c r="AC212" s="266">
        <f t="shared" si="32"/>
        <v>29083289</v>
      </c>
      <c r="AD212" s="266"/>
      <c r="AE212" s="266">
        <v>576236.68999999994</v>
      </c>
      <c r="AF212" s="350"/>
      <c r="AG212" s="349" t="s">
        <v>271</v>
      </c>
      <c r="BJ212" s="14"/>
      <c r="BK212" s="14"/>
      <c r="BL212" s="14"/>
      <c r="BP212" s="14"/>
    </row>
    <row r="213" spans="26:68" ht="15.75">
      <c r="AC213" s="9">
        <f t="shared" si="32"/>
        <v>29083289</v>
      </c>
      <c r="AD213" s="9">
        <v>1455689</v>
      </c>
      <c r="AE213" s="9">
        <f>+AE212</f>
        <v>576236.68999999994</v>
      </c>
      <c r="AF213" s="9">
        <f>SUM(AD212:AE213)-AH213</f>
        <v>2608162.38</v>
      </c>
      <c r="AG213" s="256" t="s">
        <v>272</v>
      </c>
      <c r="BJ213" s="14"/>
      <c r="BK213" s="14"/>
      <c r="BL213" s="14"/>
      <c r="BP213" s="14"/>
    </row>
    <row r="214" spans="26:68">
      <c r="AC214" s="266">
        <f t="shared" si="32"/>
        <v>27627600</v>
      </c>
      <c r="AD214" s="266"/>
      <c r="AE214" s="266">
        <v>539844.46</v>
      </c>
      <c r="AF214" s="350"/>
      <c r="AG214" s="349" t="s">
        <v>273</v>
      </c>
      <c r="BJ214" s="14"/>
      <c r="BK214" s="14"/>
      <c r="BL214" s="14"/>
      <c r="BP214" s="14"/>
    </row>
    <row r="215" spans="26:68" ht="15.75">
      <c r="AC215" s="9">
        <f t="shared" si="32"/>
        <v>27627600</v>
      </c>
      <c r="AD215" s="9">
        <v>1455689</v>
      </c>
      <c r="AE215" s="9">
        <f>+AE214</f>
        <v>539844.46</v>
      </c>
      <c r="AF215" s="9">
        <f>SUM(AD214:AE215)-AH215</f>
        <v>2535377.9199999999</v>
      </c>
      <c r="AG215" s="256" t="s">
        <v>274</v>
      </c>
      <c r="BJ215" s="14"/>
      <c r="BK215" s="14"/>
      <c r="BL215" s="14"/>
      <c r="BP215" s="14"/>
    </row>
    <row r="216" spans="26:68">
      <c r="AC216" s="266">
        <f t="shared" si="32"/>
        <v>26171911</v>
      </c>
      <c r="AD216" s="266">
        <f t="shared" ref="AD216:AD224" si="33">AD214</f>
        <v>0</v>
      </c>
      <c r="AE216" s="266">
        <v>503452.24</v>
      </c>
      <c r="AF216" s="350"/>
      <c r="AG216" s="349" t="s">
        <v>275</v>
      </c>
      <c r="AH216" s="266"/>
      <c r="AI216" s="266"/>
      <c r="AJ216" s="266"/>
      <c r="AK216" s="350"/>
      <c r="AL216" s="349"/>
      <c r="BJ216" s="14"/>
      <c r="BK216" s="14"/>
      <c r="BL216" s="14"/>
      <c r="BP216" s="14"/>
    </row>
    <row r="217" spans="26:68" ht="15.75">
      <c r="AC217" s="9">
        <f t="shared" si="32"/>
        <v>26171911</v>
      </c>
      <c r="AD217" s="9">
        <v>1453543</v>
      </c>
      <c r="AE217" s="9">
        <f>+AE216</f>
        <v>503452.24</v>
      </c>
      <c r="AF217" s="9">
        <f>SUM(AD216:AE217)</f>
        <v>2460447.48</v>
      </c>
      <c r="AG217" s="256" t="s">
        <v>276</v>
      </c>
      <c r="AL217" s="256"/>
      <c r="BJ217" s="14"/>
      <c r="BK217" s="14"/>
      <c r="BL217" s="14"/>
      <c r="BP217" s="14"/>
    </row>
    <row r="218" spans="26:68">
      <c r="AC218" s="266">
        <f t="shared" si="32"/>
        <v>24718368</v>
      </c>
      <c r="AD218" s="266">
        <f t="shared" si="33"/>
        <v>0</v>
      </c>
      <c r="AE218" s="266">
        <v>467113.66</v>
      </c>
      <c r="AF218" s="350"/>
      <c r="AG218" s="349" t="s">
        <v>277</v>
      </c>
      <c r="AH218" s="266"/>
      <c r="AI218" s="266"/>
      <c r="AJ218" s="266"/>
      <c r="AK218" s="350"/>
      <c r="AL218" s="349"/>
      <c r="BJ218" s="14"/>
      <c r="BK218" s="14"/>
      <c r="BL218" s="14"/>
      <c r="BP218" s="14"/>
    </row>
    <row r="219" spans="26:68" ht="15.75">
      <c r="AC219" s="9">
        <f t="shared" si="32"/>
        <v>24718368</v>
      </c>
      <c r="AD219" s="9">
        <f t="shared" si="33"/>
        <v>1453543</v>
      </c>
      <c r="AE219" s="9">
        <f>+AE218</f>
        <v>467113.66</v>
      </c>
      <c r="AF219" s="9">
        <f>SUM(AD218:AE219)-AH219</f>
        <v>2387770.3199999998</v>
      </c>
      <c r="AG219" s="256" t="s">
        <v>278</v>
      </c>
      <c r="AL219" s="256"/>
      <c r="BJ219" s="14"/>
      <c r="BK219" s="14"/>
      <c r="BL219" s="14"/>
      <c r="BP219" s="14"/>
    </row>
    <row r="220" spans="26:68">
      <c r="AC220" s="266">
        <f t="shared" si="32"/>
        <v>23264825</v>
      </c>
      <c r="AD220" s="266">
        <f t="shared" si="33"/>
        <v>0</v>
      </c>
      <c r="AE220" s="266">
        <v>430775.09</v>
      </c>
      <c r="AF220" s="350"/>
      <c r="AG220" s="349" t="s">
        <v>279</v>
      </c>
      <c r="AH220" s="266"/>
      <c r="AI220" s="266"/>
      <c r="AJ220" s="266"/>
      <c r="AK220" s="350"/>
      <c r="AL220" s="349"/>
      <c r="BJ220" s="14"/>
      <c r="BK220" s="14"/>
      <c r="BL220" s="14"/>
      <c r="BP220" s="14"/>
    </row>
    <row r="221" spans="26:68" ht="15.75">
      <c r="AC221" s="9">
        <f t="shared" si="32"/>
        <v>23264825</v>
      </c>
      <c r="AD221" s="9">
        <f>AD219</f>
        <v>1453543</v>
      </c>
      <c r="AE221" s="9">
        <f>+AE220</f>
        <v>430775.09</v>
      </c>
      <c r="AF221" s="9">
        <f>SUM(AD220:AE221)-AH221</f>
        <v>2315093.1800000002</v>
      </c>
      <c r="AG221" s="256" t="s">
        <v>280</v>
      </c>
      <c r="AL221" s="256"/>
      <c r="BJ221" s="14"/>
      <c r="BK221" s="14"/>
      <c r="BL221" s="14"/>
      <c r="BP221" s="14"/>
    </row>
    <row r="222" spans="26:68">
      <c r="AB222" s="9" t="s">
        <v>37</v>
      </c>
      <c r="AC222" s="266">
        <f t="shared" si="32"/>
        <v>21811282</v>
      </c>
      <c r="AD222" s="266">
        <f t="shared" si="33"/>
        <v>0</v>
      </c>
      <c r="AE222" s="266">
        <v>394436.51</v>
      </c>
      <c r="AF222" s="350"/>
      <c r="AG222" s="349" t="s">
        <v>281</v>
      </c>
      <c r="AH222" s="266"/>
      <c r="AI222" s="266"/>
      <c r="AJ222" s="266"/>
      <c r="AK222" s="350"/>
      <c r="AL222" s="349"/>
      <c r="BJ222" s="14"/>
      <c r="BK222" s="14"/>
      <c r="BL222" s="14"/>
      <c r="BP222" s="14"/>
    </row>
    <row r="223" spans="26:68" ht="15.75">
      <c r="AC223" s="9">
        <f t="shared" si="32"/>
        <v>21811282</v>
      </c>
      <c r="AD223" s="9">
        <f t="shared" si="33"/>
        <v>1453543</v>
      </c>
      <c r="AE223" s="9">
        <f>+AE222</f>
        <v>394436.51</v>
      </c>
      <c r="AF223" s="9">
        <f>SUM(AD222:AE223)-AH223</f>
        <v>2242416.02</v>
      </c>
      <c r="AG223" s="256" t="s">
        <v>282</v>
      </c>
      <c r="AL223" s="256"/>
      <c r="BJ223" s="14"/>
      <c r="BK223" s="14"/>
      <c r="BL223" s="14"/>
      <c r="BP223" s="14"/>
    </row>
    <row r="224" spans="26:68">
      <c r="AC224" s="266">
        <f t="shared" si="32"/>
        <v>20357739</v>
      </c>
      <c r="AD224" s="266">
        <f t="shared" si="33"/>
        <v>0</v>
      </c>
      <c r="AE224" s="266">
        <v>358097.94</v>
      </c>
      <c r="AF224" s="350"/>
      <c r="AG224" s="349" t="s">
        <v>283</v>
      </c>
      <c r="AH224" s="266"/>
      <c r="AI224" s="266"/>
      <c r="AJ224" s="266"/>
      <c r="AK224" s="350"/>
      <c r="AL224" s="349"/>
      <c r="BJ224" s="14"/>
      <c r="BK224" s="14"/>
      <c r="BL224" s="14"/>
      <c r="BP224" s="14"/>
    </row>
    <row r="225" spans="29:68" ht="15.75">
      <c r="AC225" s="9">
        <f t="shared" si="32"/>
        <v>20357739</v>
      </c>
      <c r="AD225" s="9">
        <f>AD223</f>
        <v>1453543</v>
      </c>
      <c r="AE225" s="9">
        <f>+AE224</f>
        <v>358097.94</v>
      </c>
      <c r="AF225" s="9">
        <f>SUM(AD224:AE225)-AH225</f>
        <v>2169738.88</v>
      </c>
      <c r="AG225" s="256" t="s">
        <v>284</v>
      </c>
      <c r="AL225" s="256"/>
      <c r="BJ225" s="14"/>
      <c r="BK225" s="14"/>
      <c r="BL225" s="14"/>
      <c r="BP225" s="14"/>
    </row>
    <row r="226" spans="29:68">
      <c r="AC226" s="266">
        <f t="shared" si="32"/>
        <v>18904196</v>
      </c>
      <c r="AD226" s="266">
        <f t="shared" ref="AD226:AD250" si="34">AD224</f>
        <v>0</v>
      </c>
      <c r="AE226" s="266">
        <v>329027.08</v>
      </c>
      <c r="AF226" s="350"/>
      <c r="AG226" s="349" t="s">
        <v>285</v>
      </c>
      <c r="AH226" s="266"/>
      <c r="AI226" s="266"/>
      <c r="AJ226" s="266"/>
      <c r="AK226" s="350"/>
      <c r="AL226" s="349"/>
      <c r="BJ226" s="14"/>
      <c r="BK226" s="14"/>
      <c r="BL226" s="14"/>
      <c r="BP226" s="14"/>
    </row>
    <row r="227" spans="29:68" ht="15.75">
      <c r="AC227" s="9">
        <f t="shared" si="32"/>
        <v>18904196</v>
      </c>
      <c r="AD227" s="9">
        <v>1456876</v>
      </c>
      <c r="AE227" s="9">
        <f>+AE226</f>
        <v>329027.08</v>
      </c>
      <c r="AF227" s="9">
        <f>SUM(AD226:AE227)-AH227</f>
        <v>2114930.16</v>
      </c>
      <c r="AG227" s="256" t="s">
        <v>286</v>
      </c>
      <c r="AL227" s="256"/>
      <c r="BJ227" s="14"/>
      <c r="BK227" s="14"/>
      <c r="BL227" s="14"/>
      <c r="BP227" s="14"/>
    </row>
    <row r="228" spans="29:68">
      <c r="AC228" s="266">
        <f t="shared" si="32"/>
        <v>17447320</v>
      </c>
      <c r="AD228" s="266">
        <f t="shared" si="34"/>
        <v>0</v>
      </c>
      <c r="AE228" s="266">
        <v>299889.56</v>
      </c>
      <c r="AF228" s="350"/>
      <c r="AG228" s="349" t="s">
        <v>287</v>
      </c>
      <c r="AH228" s="266"/>
      <c r="AI228" s="266"/>
      <c r="AJ228" s="266"/>
      <c r="AK228" s="350"/>
      <c r="AL228" s="349"/>
      <c r="BJ228" s="14"/>
      <c r="BK228" s="14"/>
      <c r="BL228" s="14"/>
      <c r="BP228" s="14"/>
    </row>
    <row r="229" spans="29:68" ht="15.75">
      <c r="AC229" s="9">
        <f t="shared" si="32"/>
        <v>17447320</v>
      </c>
      <c r="AD229" s="9">
        <f t="shared" si="34"/>
        <v>1456876</v>
      </c>
      <c r="AE229" s="9">
        <f>+AE228</f>
        <v>299889.56</v>
      </c>
      <c r="AF229" s="9">
        <f>SUM(AD228:AE229)-AH229</f>
        <v>2056655.12</v>
      </c>
      <c r="AG229" s="256" t="s">
        <v>288</v>
      </c>
      <c r="AL229" s="256"/>
      <c r="BJ229" s="14"/>
      <c r="BK229" s="14"/>
      <c r="BL229" s="14"/>
      <c r="BP229" s="14"/>
    </row>
    <row r="230" spans="29:68">
      <c r="AC230" s="266">
        <f t="shared" si="32"/>
        <v>15990444</v>
      </c>
      <c r="AD230" s="266">
        <f t="shared" si="34"/>
        <v>0</v>
      </c>
      <c r="AE230" s="266">
        <v>270752.03999999998</v>
      </c>
      <c r="AF230" s="350"/>
      <c r="AG230" s="349" t="s">
        <v>289</v>
      </c>
      <c r="AH230" s="266"/>
      <c r="AI230" s="266"/>
      <c r="AJ230" s="266"/>
      <c r="AK230" s="350"/>
      <c r="AL230" s="349"/>
      <c r="BJ230" s="14"/>
      <c r="BK230" s="14"/>
      <c r="BL230" s="14"/>
      <c r="BP230" s="14"/>
    </row>
    <row r="231" spans="29:68" ht="15.75">
      <c r="AC231" s="9">
        <f t="shared" si="32"/>
        <v>15990444</v>
      </c>
      <c r="AD231" s="9">
        <f t="shared" si="34"/>
        <v>1456876</v>
      </c>
      <c r="AE231" s="9">
        <f>+AE230</f>
        <v>270752.03999999998</v>
      </c>
      <c r="AF231" s="9">
        <f>SUM(AD230:AE231)-AH231</f>
        <v>1998380.08</v>
      </c>
      <c r="AG231" s="256" t="s">
        <v>290</v>
      </c>
      <c r="AL231" s="256"/>
      <c r="BJ231" s="14"/>
      <c r="BK231" s="14"/>
      <c r="BL231" s="14"/>
      <c r="BP231" s="14"/>
    </row>
    <row r="232" spans="29:68">
      <c r="AC232" s="266">
        <f t="shared" si="32"/>
        <v>14533568</v>
      </c>
      <c r="AD232" s="266">
        <f t="shared" si="34"/>
        <v>0</v>
      </c>
      <c r="AE232" s="266">
        <v>241614.52</v>
      </c>
      <c r="AF232" s="350"/>
      <c r="AG232" s="349" t="s">
        <v>291</v>
      </c>
      <c r="AH232" s="266"/>
      <c r="AI232" s="266"/>
      <c r="AJ232" s="266"/>
      <c r="AK232" s="350"/>
      <c r="AL232" s="349"/>
      <c r="BJ232" s="14"/>
      <c r="BK232" s="14"/>
      <c r="BL232" s="14"/>
      <c r="BP232" s="14"/>
    </row>
    <row r="233" spans="29:68" ht="15.75">
      <c r="AC233" s="9">
        <f t="shared" si="32"/>
        <v>14533568</v>
      </c>
      <c r="AD233" s="9">
        <v>1454568</v>
      </c>
      <c r="AE233" s="9">
        <f>+AE232</f>
        <v>241614.52</v>
      </c>
      <c r="AF233" s="9">
        <f>SUM(AD232:AE233)-AH233</f>
        <v>1937797.04</v>
      </c>
      <c r="AG233" s="256" t="s">
        <v>292</v>
      </c>
      <c r="AL233" s="256"/>
      <c r="BJ233" s="14"/>
      <c r="BK233" s="14"/>
      <c r="BL233" s="14"/>
      <c r="BP233" s="14"/>
    </row>
    <row r="234" spans="29:68">
      <c r="AC234" s="266">
        <f t="shared" si="32"/>
        <v>13079000</v>
      </c>
      <c r="AD234" s="266">
        <f t="shared" si="34"/>
        <v>0</v>
      </c>
      <c r="AE234" s="266">
        <v>219796</v>
      </c>
      <c r="AF234" s="350"/>
      <c r="AG234" s="349" t="s">
        <v>293</v>
      </c>
      <c r="BJ234" s="14"/>
      <c r="BK234" s="14"/>
      <c r="BL234" s="14"/>
      <c r="BP234" s="14"/>
    </row>
    <row r="235" spans="29:68" ht="15.75">
      <c r="AC235" s="9">
        <f t="shared" si="32"/>
        <v>13079000</v>
      </c>
      <c r="AD235" s="9">
        <v>1453840</v>
      </c>
      <c r="AE235" s="9">
        <f>+AE234</f>
        <v>219796</v>
      </c>
      <c r="AF235" s="9">
        <f>SUM(AD234:AE235)-AH235</f>
        <v>1893432</v>
      </c>
      <c r="AG235" s="256" t="s">
        <v>294</v>
      </c>
      <c r="BJ235" s="14"/>
      <c r="BK235" s="14"/>
      <c r="BL235" s="14"/>
      <c r="BP235" s="14"/>
    </row>
    <row r="236" spans="29:68">
      <c r="AC236" s="266">
        <f t="shared" si="32"/>
        <v>11625160</v>
      </c>
      <c r="AD236" s="266">
        <f t="shared" si="34"/>
        <v>0</v>
      </c>
      <c r="AE236" s="266">
        <v>197988.4</v>
      </c>
      <c r="AF236" s="350"/>
      <c r="AG236" s="349" t="s">
        <v>295</v>
      </c>
      <c r="BJ236" s="14"/>
      <c r="BK236" s="14"/>
      <c r="BL236" s="14"/>
      <c r="BP236" s="14"/>
    </row>
    <row r="237" spans="29:68" ht="15.75">
      <c r="AC237" s="9">
        <f t="shared" si="32"/>
        <v>11625160</v>
      </c>
      <c r="AD237" s="9">
        <f t="shared" si="34"/>
        <v>1453840</v>
      </c>
      <c r="AE237" s="9">
        <f>+AE236</f>
        <v>197988.4</v>
      </c>
      <c r="AF237" s="9">
        <f>SUM(AD236:AE237)-AH237</f>
        <v>1849816.7999999998</v>
      </c>
      <c r="AG237" s="256" t="s">
        <v>296</v>
      </c>
      <c r="BJ237" s="14"/>
      <c r="BK237" s="14"/>
      <c r="BL237" s="14"/>
      <c r="BP237" s="14"/>
    </row>
    <row r="238" spans="29:68">
      <c r="AC238" s="266">
        <f t="shared" si="32"/>
        <v>10171320</v>
      </c>
      <c r="AD238" s="266">
        <f t="shared" si="34"/>
        <v>0</v>
      </c>
      <c r="AE238" s="266">
        <v>175272.14</v>
      </c>
      <c r="AF238" s="350"/>
      <c r="AG238" s="349" t="s">
        <v>297</v>
      </c>
      <c r="BJ238" s="14"/>
      <c r="BK238" s="14"/>
      <c r="BL238" s="14"/>
      <c r="BP238" s="14"/>
    </row>
    <row r="239" spans="29:68" ht="15.75">
      <c r="AC239" s="9">
        <f t="shared" si="32"/>
        <v>10171320</v>
      </c>
      <c r="AD239" s="9">
        <f t="shared" si="34"/>
        <v>1453840</v>
      </c>
      <c r="AE239" s="9">
        <f>+AE238</f>
        <v>175272.14</v>
      </c>
      <c r="AF239" s="9">
        <f>SUM(AD238:AE239)-AH239</f>
        <v>1804384.2800000003</v>
      </c>
      <c r="AG239" s="256" t="s">
        <v>298</v>
      </c>
      <c r="BJ239" s="14"/>
      <c r="BK239" s="14"/>
      <c r="BL239" s="14"/>
      <c r="BP239" s="14"/>
    </row>
    <row r="240" spans="29:68">
      <c r="AC240" s="266">
        <f t="shared" si="32"/>
        <v>8717480</v>
      </c>
      <c r="AD240" s="266">
        <f t="shared" si="34"/>
        <v>0</v>
      </c>
      <c r="AE240" s="266">
        <v>151647.24</v>
      </c>
      <c r="AF240" s="350"/>
      <c r="AG240" s="349" t="s">
        <v>299</v>
      </c>
      <c r="BJ240" s="14"/>
      <c r="BK240" s="14"/>
      <c r="BL240" s="14"/>
      <c r="BP240" s="14"/>
    </row>
    <row r="241" spans="28:68" ht="15.75">
      <c r="AC241" s="9">
        <f t="shared" si="32"/>
        <v>8717480</v>
      </c>
      <c r="AD241" s="9">
        <f>AD239</f>
        <v>1453840</v>
      </c>
      <c r="AE241" s="9">
        <f>+AE240</f>
        <v>151647.24</v>
      </c>
      <c r="AF241" s="9">
        <f>SUM(AD240:AE241)-AH241</f>
        <v>1757134.48</v>
      </c>
      <c r="AG241" s="256" t="s">
        <v>300</v>
      </c>
      <c r="BJ241" s="14"/>
      <c r="BK241" s="14"/>
      <c r="BL241" s="14"/>
      <c r="BP241" s="14"/>
    </row>
    <row r="242" spans="28:68">
      <c r="AC242" s="266">
        <f t="shared" si="32"/>
        <v>7263640</v>
      </c>
      <c r="AD242" s="266">
        <f t="shared" si="34"/>
        <v>0</v>
      </c>
      <c r="AE242" s="266">
        <v>127113.7</v>
      </c>
      <c r="AF242" s="350"/>
      <c r="AG242" s="349" t="s">
        <v>301</v>
      </c>
      <c r="BJ242" s="14"/>
      <c r="BK242" s="14"/>
      <c r="BL242" s="14"/>
      <c r="BP242" s="14"/>
    </row>
    <row r="243" spans="28:68" ht="15.75">
      <c r="AC243" s="9">
        <f t="shared" si="32"/>
        <v>7263640</v>
      </c>
      <c r="AD243" s="9">
        <v>1452728</v>
      </c>
      <c r="AE243" s="9">
        <f>+AE242</f>
        <v>127113.7</v>
      </c>
      <c r="AF243" s="9">
        <f>SUM(AD242:AE243)-AH243</f>
        <v>1706955.4</v>
      </c>
      <c r="AG243" s="256" t="s">
        <v>302</v>
      </c>
      <c r="BJ243" s="14"/>
      <c r="BK243" s="14"/>
      <c r="BL243" s="14"/>
      <c r="BP243" s="14"/>
    </row>
    <row r="244" spans="28:68">
      <c r="AC244" s="266">
        <f t="shared" si="32"/>
        <v>5810912</v>
      </c>
      <c r="AD244" s="266">
        <f t="shared" si="34"/>
        <v>0</v>
      </c>
      <c r="AE244" s="266">
        <v>102598.91</v>
      </c>
      <c r="AF244" s="350"/>
      <c r="AG244" s="349" t="s">
        <v>303</v>
      </c>
      <c r="BJ244" s="14"/>
      <c r="BK244" s="14"/>
      <c r="BL244" s="14"/>
      <c r="BP244" s="14"/>
    </row>
    <row r="245" spans="28:68" ht="15.75">
      <c r="AC245" s="9">
        <f t="shared" si="32"/>
        <v>5810912</v>
      </c>
      <c r="AD245" s="9">
        <f>AD243</f>
        <v>1452728</v>
      </c>
      <c r="AE245" s="9">
        <f>+AE244</f>
        <v>102598.91</v>
      </c>
      <c r="AF245" s="9">
        <f>SUM(AD244:AE245)-AH245</f>
        <v>1657925.8199999998</v>
      </c>
      <c r="AG245" s="256" t="s">
        <v>304</v>
      </c>
      <c r="BJ245" s="14"/>
      <c r="BK245" s="14"/>
      <c r="BL245" s="14"/>
      <c r="BP245" s="14"/>
    </row>
    <row r="246" spans="28:68">
      <c r="AC246" s="266">
        <f t="shared" si="32"/>
        <v>4358184</v>
      </c>
      <c r="AD246" s="266">
        <f t="shared" si="34"/>
        <v>0</v>
      </c>
      <c r="AE246" s="266">
        <v>77176.17</v>
      </c>
      <c r="AF246" s="350"/>
      <c r="AG246" s="349" t="s">
        <v>305</v>
      </c>
      <c r="BJ246" s="14"/>
      <c r="BK246" s="14"/>
      <c r="BL246" s="14"/>
      <c r="BP246" s="14"/>
    </row>
    <row r="247" spans="28:68" ht="15.75">
      <c r="AC247" s="9">
        <f t="shared" si="32"/>
        <v>4358184</v>
      </c>
      <c r="AD247" s="9">
        <f>AD245</f>
        <v>1452728</v>
      </c>
      <c r="AE247" s="9">
        <f>+AE246</f>
        <v>77176.17</v>
      </c>
      <c r="AF247" s="9">
        <f>SUM(AD246:AE247)-AH247</f>
        <v>1607080.3399999999</v>
      </c>
      <c r="AG247" s="256" t="s">
        <v>306</v>
      </c>
      <c r="BJ247" s="14"/>
      <c r="BK247" s="14"/>
      <c r="BL247" s="14"/>
      <c r="BP247" s="14"/>
    </row>
    <row r="248" spans="28:68">
      <c r="AC248" s="266">
        <f t="shared" si="32"/>
        <v>2905456</v>
      </c>
      <c r="AD248" s="266">
        <f t="shared" si="34"/>
        <v>0</v>
      </c>
      <c r="AE248" s="266">
        <v>51753.43</v>
      </c>
      <c r="AF248" s="350"/>
      <c r="AG248" s="349" t="s">
        <v>307</v>
      </c>
      <c r="BJ248" s="14"/>
      <c r="BK248" s="14"/>
      <c r="BL248" s="14"/>
      <c r="BP248" s="14"/>
    </row>
    <row r="249" spans="28:68" ht="15.75">
      <c r="AC249" s="9">
        <f t="shared" si="32"/>
        <v>2905456</v>
      </c>
      <c r="AD249" s="9">
        <f>AD247</f>
        <v>1452728</v>
      </c>
      <c r="AE249" s="9">
        <f>+AE248</f>
        <v>51753.43</v>
      </c>
      <c r="AF249" s="9">
        <f>SUM(AD248:AE249)-AH249</f>
        <v>1556234.8599999999</v>
      </c>
      <c r="AG249" s="256" t="s">
        <v>308</v>
      </c>
      <c r="BJ249" s="14"/>
      <c r="BK249" s="14"/>
      <c r="BL249" s="14"/>
      <c r="BP249" s="14"/>
    </row>
    <row r="250" spans="28:68">
      <c r="AC250" s="266">
        <f t="shared" si="32"/>
        <v>1452728</v>
      </c>
      <c r="AD250" s="266">
        <f t="shared" si="34"/>
        <v>0</v>
      </c>
      <c r="AE250" s="266">
        <v>26330.69</v>
      </c>
      <c r="AF250" s="350"/>
      <c r="AG250" s="349" t="s">
        <v>309</v>
      </c>
      <c r="BJ250" s="14"/>
      <c r="BK250" s="14"/>
      <c r="BL250" s="14"/>
      <c r="BP250" s="14"/>
    </row>
    <row r="251" spans="28:68" ht="15.75">
      <c r="AC251" s="9">
        <f t="shared" si="32"/>
        <v>1452728</v>
      </c>
      <c r="AD251" s="9">
        <f>AD249</f>
        <v>1452728</v>
      </c>
      <c r="AE251" s="9">
        <f>+AE250</f>
        <v>26330.69</v>
      </c>
      <c r="AF251" s="9">
        <f>SUM(AD250:AE251)-AH251</f>
        <v>1505389.38</v>
      </c>
      <c r="AG251" s="256" t="s">
        <v>310</v>
      </c>
      <c r="BJ251" s="14"/>
      <c r="BK251" s="14"/>
      <c r="BL251" s="14"/>
      <c r="BP251" s="14"/>
    </row>
    <row r="252" spans="28:68" ht="15.75">
      <c r="AG252" s="256"/>
      <c r="BJ252" s="14"/>
      <c r="BK252" s="14"/>
      <c r="BL252" s="14"/>
      <c r="BP252" s="14"/>
    </row>
    <row r="253" spans="28:68" ht="15.75">
      <c r="AD253" s="9">
        <f>SUM(AD208:AD251)</f>
        <v>32233333</v>
      </c>
      <c r="AE253" s="9">
        <f>SUM(AE208:AE251)</f>
        <v>13600983.409999998</v>
      </c>
      <c r="AF253" s="9">
        <f>SUM(AD253:AE253)</f>
        <v>45834316.409999996</v>
      </c>
      <c r="AG253" s="256"/>
      <c r="BJ253" s="14"/>
      <c r="BK253" s="14"/>
      <c r="BL253" s="14"/>
      <c r="BP253" s="14"/>
    </row>
    <row r="254" spans="28:68">
      <c r="AG254" s="338"/>
      <c r="BJ254" s="14"/>
      <c r="BK254" s="14"/>
      <c r="BL254" s="14"/>
      <c r="BP254" s="14"/>
    </row>
    <row r="255" spans="28:68">
      <c r="BJ255" s="14"/>
      <c r="BK255" s="14"/>
      <c r="BL255" s="14"/>
      <c r="BP255" s="14"/>
    </row>
    <row r="256" spans="28:68">
      <c r="AB256" s="11" t="s">
        <v>311</v>
      </c>
      <c r="AC256" s="9" t="s">
        <v>215</v>
      </c>
      <c r="AG256" s="344"/>
      <c r="BJ256" s="14"/>
      <c r="BK256" s="14"/>
      <c r="BL256" s="14"/>
      <c r="BP256" s="14"/>
    </row>
    <row r="257" spans="28:68">
      <c r="AB257" s="11" t="s">
        <v>217</v>
      </c>
      <c r="AC257" s="9">
        <f>600000+275000+60000</f>
        <v>935000</v>
      </c>
      <c r="AD257" s="11"/>
      <c r="AE257" s="342"/>
      <c r="AF257" s="342"/>
      <c r="AG257" s="344"/>
      <c r="BJ257" s="14"/>
      <c r="BK257" s="14"/>
      <c r="BL257" s="14"/>
      <c r="BP257" s="14"/>
    </row>
    <row r="258" spans="28:68">
      <c r="AB258" s="11" t="s">
        <v>219</v>
      </c>
      <c r="AD258" s="11"/>
      <c r="AE258" s="342"/>
      <c r="AF258" s="342"/>
      <c r="AG258" s="344"/>
      <c r="BJ258" s="14"/>
      <c r="BK258" s="14"/>
      <c r="BL258" s="14"/>
      <c r="BP258" s="14"/>
    </row>
    <row r="259" spans="28:68">
      <c r="AB259" s="11" t="s">
        <v>221</v>
      </c>
      <c r="AC259" s="9">
        <f>+AC257-AC258</f>
        <v>935000</v>
      </c>
      <c r="AD259" s="11"/>
      <c r="AE259" s="342"/>
      <c r="AF259" s="342"/>
      <c r="AG259" s="344"/>
      <c r="BJ259" s="14"/>
      <c r="BK259" s="14"/>
      <c r="BL259" s="14"/>
      <c r="BP259" s="14"/>
    </row>
    <row r="260" spans="28:68">
      <c r="AB260" s="11" t="s">
        <v>40</v>
      </c>
      <c r="AC260" s="335">
        <v>0.04</v>
      </c>
      <c r="AD260" s="335">
        <v>2.5000000000000001E-2</v>
      </c>
      <c r="AG260" s="344"/>
      <c r="BJ260" s="14"/>
      <c r="BK260" s="14"/>
      <c r="BL260" s="14"/>
      <c r="BP260" s="14"/>
    </row>
    <row r="261" spans="28:68">
      <c r="AB261" s="11" t="s">
        <v>41</v>
      </c>
      <c r="AC261" s="9">
        <v>20</v>
      </c>
      <c r="AD261" s="335"/>
      <c r="AG261" s="344"/>
      <c r="BJ261" s="14"/>
      <c r="BK261" s="14"/>
      <c r="BL261" s="14"/>
      <c r="BP261" s="14"/>
    </row>
    <row r="262" spans="28:68">
      <c r="AB262" s="11"/>
      <c r="AC262" s="342" t="s">
        <v>43</v>
      </c>
      <c r="AD262" s="342" t="s">
        <v>44</v>
      </c>
      <c r="AE262" s="341" t="s">
        <v>45</v>
      </c>
      <c r="AF262" s="341" t="s">
        <v>46</v>
      </c>
      <c r="BJ262" s="14"/>
      <c r="BK262" s="14"/>
      <c r="BL262" s="14"/>
      <c r="BP262" s="14"/>
    </row>
    <row r="263" spans="28:68">
      <c r="AB263" s="11"/>
      <c r="AC263" s="11">
        <v>0</v>
      </c>
      <c r="AD263" s="11">
        <v>0</v>
      </c>
      <c r="AE263" s="341"/>
      <c r="AF263" s="11"/>
      <c r="AG263" s="349" t="s">
        <v>224</v>
      </c>
      <c r="BJ263" s="14"/>
      <c r="BK263" s="14"/>
      <c r="BL263" s="14"/>
      <c r="BP263" s="14"/>
    </row>
    <row r="264" spans="28:68" ht="15.75">
      <c r="AC264" s="9">
        <f>+AC259</f>
        <v>935000</v>
      </c>
      <c r="AD264" s="9">
        <v>0</v>
      </c>
      <c r="AF264" s="9">
        <f>SUM(AD263:AE264)</f>
        <v>0</v>
      </c>
      <c r="AG264" s="256" t="s">
        <v>225</v>
      </c>
      <c r="AH264" s="9">
        <v>1</v>
      </c>
      <c r="BJ264" s="14"/>
      <c r="BK264" s="14"/>
      <c r="BL264" s="14"/>
      <c r="BP264" s="14"/>
    </row>
    <row r="265" spans="28:68">
      <c r="AB265" s="11"/>
      <c r="AC265" s="266">
        <f t="shared" ref="AC265:AC294" si="35">AC264-AD264</f>
        <v>935000</v>
      </c>
      <c r="AD265" s="266"/>
      <c r="AE265" s="266"/>
      <c r="AF265" s="350"/>
      <c r="AG265" s="349" t="s">
        <v>226</v>
      </c>
      <c r="BJ265" s="14"/>
      <c r="BK265" s="14"/>
      <c r="BL265" s="14"/>
      <c r="BP265" s="14"/>
    </row>
    <row r="266" spans="28:68" ht="15.75">
      <c r="AB266" s="11"/>
      <c r="AC266" s="9">
        <f t="shared" si="35"/>
        <v>935000</v>
      </c>
      <c r="AD266" s="9">
        <v>197000</v>
      </c>
      <c r="AE266" s="9">
        <f>+AC264*SI</f>
        <v>9350</v>
      </c>
      <c r="AF266" s="9">
        <f>SUM(AD265:AE266)-AH266</f>
        <v>206348</v>
      </c>
      <c r="AG266" s="256" t="s">
        <v>227</v>
      </c>
      <c r="AH266" s="9">
        <f>+AH264+1</f>
        <v>2</v>
      </c>
      <c r="BJ266" s="14"/>
      <c r="BK266" s="14"/>
      <c r="BL266" s="14"/>
      <c r="BP266" s="14"/>
    </row>
    <row r="267" spans="28:68">
      <c r="AB267" s="11"/>
      <c r="AC267" s="266">
        <f t="shared" si="35"/>
        <v>738000</v>
      </c>
      <c r="AD267" s="266">
        <f t="shared" ref="AD267:AD293" si="36">AD265</f>
        <v>0</v>
      </c>
      <c r="AE267" s="266">
        <v>0</v>
      </c>
      <c r="AF267" s="350"/>
      <c r="AG267" s="349" t="s">
        <v>228</v>
      </c>
      <c r="BJ267" s="14"/>
      <c r="BK267" s="14"/>
      <c r="BL267" s="14"/>
      <c r="BP267" s="14"/>
    </row>
    <row r="268" spans="28:68" ht="15.75">
      <c r="AB268" s="11"/>
      <c r="AC268" s="9">
        <f t="shared" si="35"/>
        <v>738000</v>
      </c>
      <c r="AD268" s="9">
        <f t="shared" si="36"/>
        <v>197000</v>
      </c>
      <c r="AE268" s="9">
        <f>+AC267*SI</f>
        <v>7380</v>
      </c>
      <c r="AF268" s="9">
        <f>SUM(AD267:AE268)-AH268</f>
        <v>204377</v>
      </c>
      <c r="AG268" s="256" t="s">
        <v>229</v>
      </c>
      <c r="AH268" s="9">
        <f>+AH266+1</f>
        <v>3</v>
      </c>
      <c r="BJ268" s="14"/>
      <c r="BK268" s="14"/>
      <c r="BL268" s="14"/>
      <c r="BP268" s="14"/>
    </row>
    <row r="269" spans="28:68">
      <c r="AB269" s="11"/>
      <c r="AC269" s="266">
        <f t="shared" si="35"/>
        <v>541000</v>
      </c>
      <c r="AD269" s="266">
        <f t="shared" si="36"/>
        <v>0</v>
      </c>
      <c r="AE269" s="266">
        <f>+AC269*LI</f>
        <v>21640</v>
      </c>
      <c r="AF269" s="350"/>
      <c r="AG269" s="349" t="s">
        <v>230</v>
      </c>
      <c r="BJ269" s="14"/>
      <c r="BK269" s="14"/>
      <c r="BL269" s="14"/>
      <c r="BP269" s="14"/>
    </row>
    <row r="270" spans="28:68" ht="15.75">
      <c r="AC270" s="9">
        <f t="shared" si="35"/>
        <v>541000</v>
      </c>
      <c r="AD270" s="9">
        <f t="shared" si="36"/>
        <v>197000</v>
      </c>
      <c r="AE270" s="9">
        <f>+AE269</f>
        <v>21640</v>
      </c>
      <c r="AF270" s="9">
        <f>SUM(AD269:AE270)-AH270</f>
        <v>240276</v>
      </c>
      <c r="AG270" s="256" t="s">
        <v>231</v>
      </c>
      <c r="AH270" s="9">
        <f>+AH268+1</f>
        <v>4</v>
      </c>
      <c r="BJ270" s="14"/>
      <c r="BK270" s="14"/>
      <c r="BL270" s="14"/>
      <c r="BP270" s="14"/>
    </row>
    <row r="271" spans="28:68">
      <c r="AB271" s="11"/>
      <c r="AC271" s="266">
        <v>812307</v>
      </c>
      <c r="AD271" s="266">
        <f t="shared" si="36"/>
        <v>0</v>
      </c>
      <c r="AE271" s="266">
        <v>0</v>
      </c>
      <c r="AF271" s="350"/>
      <c r="AG271" s="349" t="s">
        <v>267</v>
      </c>
      <c r="BJ271" s="14"/>
      <c r="BK271" s="14"/>
      <c r="BL271" s="14"/>
      <c r="BP271" s="14"/>
    </row>
    <row r="272" spans="28:68" ht="15.75">
      <c r="AC272" s="9">
        <f t="shared" si="35"/>
        <v>812307</v>
      </c>
      <c r="AD272" s="9">
        <v>67695</v>
      </c>
      <c r="AE272" s="9">
        <v>37275.879999999997</v>
      </c>
      <c r="AF272" s="9">
        <f>SUM(AD271:AE272)-AH272</f>
        <v>104970.88</v>
      </c>
      <c r="AG272" s="256" t="s">
        <v>268</v>
      </c>
      <c r="BJ272" s="14"/>
      <c r="BK272" s="14"/>
      <c r="BL272" s="14"/>
      <c r="BP272" s="14"/>
    </row>
    <row r="273" spans="28:68">
      <c r="AB273" s="11"/>
      <c r="AC273" s="266">
        <f t="shared" si="35"/>
        <v>744612</v>
      </c>
      <c r="AD273" s="266">
        <f t="shared" si="36"/>
        <v>0</v>
      </c>
      <c r="AE273" s="266">
        <v>17261.46</v>
      </c>
      <c r="AF273" s="350"/>
      <c r="AG273" s="349" t="s">
        <v>269</v>
      </c>
      <c r="BJ273" s="14"/>
      <c r="BK273" s="14"/>
      <c r="BL273" s="14"/>
      <c r="BP273" s="14"/>
    </row>
    <row r="274" spans="28:68" ht="15.75">
      <c r="AB274" s="11"/>
      <c r="AC274" s="9">
        <f t="shared" si="35"/>
        <v>744612</v>
      </c>
      <c r="AD274" s="9">
        <f>67692</f>
        <v>67692</v>
      </c>
      <c r="AE274" s="9">
        <f>+AE273</f>
        <v>17261.46</v>
      </c>
      <c r="AF274" s="9">
        <f>SUM(AD273:AE274)-AH274</f>
        <v>102214.91999999998</v>
      </c>
      <c r="AG274" s="256" t="s">
        <v>270</v>
      </c>
      <c r="BJ274" s="14"/>
      <c r="BK274" s="14"/>
      <c r="BL274" s="14"/>
      <c r="BP274" s="14"/>
    </row>
    <row r="275" spans="28:68">
      <c r="AB275" s="11"/>
      <c r="AC275" s="266">
        <f t="shared" si="35"/>
        <v>676920</v>
      </c>
      <c r="AD275" s="266">
        <f t="shared" si="36"/>
        <v>0</v>
      </c>
      <c r="AE275" s="266">
        <v>15569.16</v>
      </c>
      <c r="AF275" s="350"/>
      <c r="AG275" s="349" t="s">
        <v>271</v>
      </c>
      <c r="BJ275" s="14"/>
      <c r="BK275" s="14"/>
      <c r="BL275" s="14"/>
      <c r="BP275" s="14"/>
    </row>
    <row r="276" spans="28:68" ht="15.75">
      <c r="AB276" s="11"/>
      <c r="AC276" s="9">
        <f t="shared" si="35"/>
        <v>676920</v>
      </c>
      <c r="AD276" s="9">
        <f>67692</f>
        <v>67692</v>
      </c>
      <c r="AE276" s="9">
        <f>+AE275</f>
        <v>15569.16</v>
      </c>
      <c r="AF276" s="9">
        <f>SUM(AD275:AE276)-AH276</f>
        <v>98830.32</v>
      </c>
      <c r="AG276" s="256" t="s">
        <v>272</v>
      </c>
      <c r="BJ276" s="14"/>
      <c r="BK276" s="14"/>
      <c r="BL276" s="14"/>
      <c r="BP276" s="14"/>
    </row>
    <row r="277" spans="28:68">
      <c r="AB277" s="11"/>
      <c r="AC277" s="266">
        <f t="shared" si="35"/>
        <v>609228</v>
      </c>
      <c r="AD277" s="266">
        <f t="shared" si="36"/>
        <v>0</v>
      </c>
      <c r="AE277" s="266">
        <v>13876.86</v>
      </c>
      <c r="AF277" s="350"/>
      <c r="AG277" s="349" t="s">
        <v>273</v>
      </c>
      <c r="BJ277" s="14"/>
      <c r="BK277" s="14"/>
      <c r="BL277" s="14"/>
      <c r="BP277" s="14"/>
    </row>
    <row r="278" spans="28:68" ht="15.75">
      <c r="AB278" s="11"/>
      <c r="AC278" s="9">
        <f t="shared" si="35"/>
        <v>609228</v>
      </c>
      <c r="AD278" s="9">
        <f>67692</f>
        <v>67692</v>
      </c>
      <c r="AE278" s="9">
        <f>+AE277</f>
        <v>13876.86</v>
      </c>
      <c r="AF278" s="9">
        <f>SUM(AD277:AE278)-AH278</f>
        <v>95445.72</v>
      </c>
      <c r="AG278" s="256" t="s">
        <v>274</v>
      </c>
      <c r="BJ278" s="14"/>
      <c r="BK278" s="14"/>
      <c r="BL278" s="14"/>
      <c r="BP278" s="14"/>
    </row>
    <row r="279" spans="28:68">
      <c r="AB279" s="11"/>
      <c r="AC279" s="266">
        <f t="shared" si="35"/>
        <v>541536</v>
      </c>
      <c r="AD279" s="266">
        <f t="shared" si="36"/>
        <v>0</v>
      </c>
      <c r="AE279" s="266">
        <v>12184.56</v>
      </c>
      <c r="AF279" s="350"/>
      <c r="AG279" s="349" t="s">
        <v>275</v>
      </c>
      <c r="BJ279" s="14"/>
      <c r="BK279" s="14"/>
      <c r="BL279" s="14"/>
      <c r="BP279" s="14"/>
    </row>
    <row r="280" spans="28:68" ht="15.75">
      <c r="AB280" s="11"/>
      <c r="AC280" s="9">
        <f t="shared" si="35"/>
        <v>541536</v>
      </c>
      <c r="AD280" s="9">
        <f>67692</f>
        <v>67692</v>
      </c>
      <c r="AE280" s="9">
        <f>+AE279</f>
        <v>12184.56</v>
      </c>
      <c r="AF280" s="9">
        <f>SUM(AD279:AE280)-AH280</f>
        <v>92061.119999999995</v>
      </c>
      <c r="AG280" s="256" t="s">
        <v>276</v>
      </c>
      <c r="BJ280" s="14"/>
      <c r="BK280" s="14"/>
      <c r="BL280" s="14"/>
      <c r="BP280" s="14"/>
    </row>
    <row r="281" spans="28:68">
      <c r="AB281" s="11"/>
      <c r="AC281" s="266">
        <f t="shared" si="35"/>
        <v>473844</v>
      </c>
      <c r="AD281" s="266">
        <f t="shared" si="36"/>
        <v>0</v>
      </c>
      <c r="AE281" s="266">
        <v>10492.26</v>
      </c>
      <c r="AF281" s="350"/>
      <c r="AG281" s="349" t="s">
        <v>277</v>
      </c>
      <c r="BJ281" s="14"/>
      <c r="BK281" s="14"/>
      <c r="BL281" s="14"/>
      <c r="BP281" s="14"/>
    </row>
    <row r="282" spans="28:68" ht="15.75">
      <c r="AB282" s="11"/>
      <c r="AC282" s="9">
        <f t="shared" si="35"/>
        <v>473844</v>
      </c>
      <c r="AD282" s="9">
        <f>67692</f>
        <v>67692</v>
      </c>
      <c r="AE282" s="9">
        <f>+AE281</f>
        <v>10492.26</v>
      </c>
      <c r="AF282" s="9">
        <f>SUM(AD281:AE282)-AH282</f>
        <v>88676.51999999999</v>
      </c>
      <c r="AG282" s="256" t="s">
        <v>278</v>
      </c>
      <c r="BJ282" s="14"/>
      <c r="BK282" s="14"/>
      <c r="BL282" s="14"/>
      <c r="BP282" s="14"/>
    </row>
    <row r="283" spans="28:68">
      <c r="AB283" s="11"/>
      <c r="AC283" s="266">
        <f t="shared" si="35"/>
        <v>406152</v>
      </c>
      <c r="AD283" s="266">
        <f t="shared" si="36"/>
        <v>0</v>
      </c>
      <c r="AE283" s="266">
        <v>8799.9599999999991</v>
      </c>
      <c r="AF283" s="350"/>
      <c r="AG283" s="349" t="s">
        <v>279</v>
      </c>
      <c r="BJ283" s="14"/>
      <c r="BK283" s="14"/>
      <c r="BL283" s="14"/>
      <c r="BP283" s="14"/>
    </row>
    <row r="284" spans="28:68" ht="15.75">
      <c r="AB284" s="11"/>
      <c r="AC284" s="9">
        <f t="shared" si="35"/>
        <v>406152</v>
      </c>
      <c r="AD284" s="9">
        <f>67692</f>
        <v>67692</v>
      </c>
      <c r="AE284" s="9">
        <f>+AE283</f>
        <v>8799.9599999999991</v>
      </c>
      <c r="AF284" s="9">
        <f>SUM(AD283:AE284)-AH284</f>
        <v>85291.919999999984</v>
      </c>
      <c r="AG284" s="256" t="s">
        <v>280</v>
      </c>
      <c r="BJ284" s="14"/>
      <c r="BK284" s="14"/>
      <c r="BL284" s="14"/>
      <c r="BP284" s="14"/>
    </row>
    <row r="285" spans="28:68">
      <c r="AB285" s="11"/>
      <c r="AC285" s="266">
        <f t="shared" si="35"/>
        <v>338460</v>
      </c>
      <c r="AD285" s="266">
        <f t="shared" si="36"/>
        <v>0</v>
      </c>
      <c r="AE285" s="266">
        <v>7107.66</v>
      </c>
      <c r="AF285" s="350"/>
      <c r="AG285" s="349" t="s">
        <v>281</v>
      </c>
      <c r="BJ285" s="14"/>
      <c r="BK285" s="14"/>
      <c r="BL285" s="14"/>
      <c r="BP285" s="14"/>
    </row>
    <row r="286" spans="28:68" ht="15.75">
      <c r="AB286" s="11"/>
      <c r="AC286" s="9">
        <f t="shared" si="35"/>
        <v>338460</v>
      </c>
      <c r="AD286" s="9">
        <f>67692</f>
        <v>67692</v>
      </c>
      <c r="AE286" s="9">
        <f>+AE285</f>
        <v>7107.66</v>
      </c>
      <c r="AF286" s="9">
        <f>SUM(AD285:AE286)-AH286</f>
        <v>81907.320000000007</v>
      </c>
      <c r="AG286" s="256" t="s">
        <v>282</v>
      </c>
      <c r="BJ286" s="14"/>
      <c r="BK286" s="14"/>
      <c r="BL286" s="14"/>
      <c r="BP286" s="14"/>
    </row>
    <row r="287" spans="28:68">
      <c r="AB287" s="11"/>
      <c r="AC287" s="266">
        <f t="shared" si="35"/>
        <v>270768</v>
      </c>
      <c r="AD287" s="266">
        <f t="shared" si="36"/>
        <v>0</v>
      </c>
      <c r="AE287" s="266">
        <v>5415.36</v>
      </c>
      <c r="AF287" s="350"/>
      <c r="AG287" s="349" t="s">
        <v>283</v>
      </c>
      <c r="BJ287" s="14"/>
      <c r="BK287" s="14"/>
      <c r="BL287" s="14"/>
      <c r="BP287" s="14"/>
    </row>
    <row r="288" spans="28:68" ht="15.75">
      <c r="AB288" s="11"/>
      <c r="AC288" s="9">
        <f t="shared" si="35"/>
        <v>270768</v>
      </c>
      <c r="AD288" s="9">
        <f>67692</f>
        <v>67692</v>
      </c>
      <c r="AE288" s="9">
        <f>+AE287</f>
        <v>5415.36</v>
      </c>
      <c r="AF288" s="9">
        <f>SUM(AD287:AE288)-AH288</f>
        <v>78522.720000000001</v>
      </c>
      <c r="AG288" s="256" t="s">
        <v>284</v>
      </c>
      <c r="BJ288" s="14"/>
      <c r="BK288" s="14"/>
      <c r="BL288" s="14"/>
      <c r="BP288" s="14"/>
    </row>
    <row r="289" spans="1:68">
      <c r="AB289" s="11"/>
      <c r="AC289" s="266">
        <f t="shared" si="35"/>
        <v>203076</v>
      </c>
      <c r="AD289" s="266">
        <f t="shared" si="36"/>
        <v>0</v>
      </c>
      <c r="AE289" s="266">
        <v>4061.52</v>
      </c>
      <c r="AF289" s="350"/>
      <c r="AG289" s="349" t="s">
        <v>285</v>
      </c>
      <c r="BJ289" s="14"/>
      <c r="BK289" s="14"/>
      <c r="BL289" s="14"/>
      <c r="BP289" s="14"/>
    </row>
    <row r="290" spans="1:68" ht="15.75">
      <c r="AB290" s="11"/>
      <c r="AC290" s="9">
        <f t="shared" si="35"/>
        <v>203076</v>
      </c>
      <c r="AD290" s="9">
        <f>67692</f>
        <v>67692</v>
      </c>
      <c r="AE290" s="9">
        <f>+AE289</f>
        <v>4061.52</v>
      </c>
      <c r="AF290" s="9">
        <f>SUM(AD289:AE290)-AH290</f>
        <v>75815.040000000008</v>
      </c>
      <c r="AG290" s="256" t="s">
        <v>286</v>
      </c>
      <c r="BJ290" s="14"/>
      <c r="BK290" s="14"/>
      <c r="BL290" s="14"/>
      <c r="BP290" s="14"/>
    </row>
    <row r="291" spans="1:68">
      <c r="AB291" s="11"/>
      <c r="AC291" s="266">
        <f t="shared" si="35"/>
        <v>135384</v>
      </c>
      <c r="AD291" s="266">
        <f t="shared" si="36"/>
        <v>0</v>
      </c>
      <c r="AE291" s="266">
        <v>2707.68</v>
      </c>
      <c r="AF291" s="350"/>
      <c r="AG291" s="349" t="s">
        <v>287</v>
      </c>
      <c r="BJ291" s="14"/>
      <c r="BK291" s="14"/>
      <c r="BL291" s="14"/>
      <c r="BP291" s="14"/>
    </row>
    <row r="292" spans="1:68" ht="15.75">
      <c r="AB292" s="11"/>
      <c r="AC292" s="9">
        <f t="shared" si="35"/>
        <v>135384</v>
      </c>
      <c r="AD292" s="9">
        <f>67692</f>
        <v>67692</v>
      </c>
      <c r="AE292" s="9">
        <f>+AE291</f>
        <v>2707.68</v>
      </c>
      <c r="AF292" s="9">
        <f>SUM(AD291:AE292)-AH292</f>
        <v>73107.359999999986</v>
      </c>
      <c r="AG292" s="256" t="s">
        <v>288</v>
      </c>
      <c r="BJ292" s="14"/>
      <c r="BK292" s="14"/>
      <c r="BL292" s="14"/>
      <c r="BP292" s="14"/>
    </row>
    <row r="293" spans="1:68">
      <c r="AB293" s="11"/>
      <c r="AC293" s="266">
        <f t="shared" si="35"/>
        <v>67692</v>
      </c>
      <c r="AD293" s="266">
        <f t="shared" si="36"/>
        <v>0</v>
      </c>
      <c r="AE293" s="266">
        <v>1353.84</v>
      </c>
      <c r="AF293" s="350"/>
      <c r="AG293" s="349" t="s">
        <v>289</v>
      </c>
      <c r="BJ293" s="14"/>
      <c r="BK293" s="14"/>
      <c r="BL293" s="14"/>
      <c r="BP293" s="14"/>
    </row>
    <row r="294" spans="1:68" ht="15.75">
      <c r="AB294" s="11"/>
      <c r="AC294" s="9">
        <f t="shared" si="35"/>
        <v>67692</v>
      </c>
      <c r="AD294" s="9">
        <f>67692</f>
        <v>67692</v>
      </c>
      <c r="AE294" s="9">
        <f>+AE293</f>
        <v>1353.84</v>
      </c>
      <c r="AF294" s="9">
        <f>SUM(AD293:AE294)-AH294</f>
        <v>70399.679999999993</v>
      </c>
      <c r="AG294" s="256" t="s">
        <v>290</v>
      </c>
      <c r="BJ294" s="14"/>
      <c r="BK294" s="14"/>
      <c r="BL294" s="14"/>
      <c r="BP294" s="14"/>
    </row>
    <row r="295" spans="1:68">
      <c r="A295" s="9">
        <v>3</v>
      </c>
      <c r="B295" s="9" t="e">
        <f>#REF!</f>
        <v>#REF!</v>
      </c>
      <c r="J295" s="298" t="e">
        <f t="shared" ref="J295:J302" si="37">(+B295/(3897620840))*10000</f>
        <v>#REF!</v>
      </c>
      <c r="K295" s="9">
        <v>110000</v>
      </c>
      <c r="L295" s="9" t="e">
        <f t="shared" ref="L295:L307" si="38">B295-K295</f>
        <v>#REF!</v>
      </c>
      <c r="AC295" s="266"/>
      <c r="AD295" s="266">
        <f>SUM(AD271:AD294)</f>
        <v>812307</v>
      </c>
      <c r="AE295" s="266">
        <f>SUM(AE271:AE294)</f>
        <v>234936.51999999993</v>
      </c>
      <c r="AF295" s="266">
        <f>SUM(AF271:AF294)</f>
        <v>1047243.52</v>
      </c>
      <c r="AG295" s="349"/>
      <c r="BG295" s="9" t="s">
        <v>312</v>
      </c>
      <c r="BJ295" s="14" t="e">
        <f>#REF!*0.04</f>
        <v>#REF!</v>
      </c>
      <c r="BK295" s="14"/>
      <c r="BL295" s="14"/>
      <c r="BP295" s="14"/>
    </row>
    <row r="296" spans="1:68">
      <c r="A296" s="9">
        <v>4</v>
      </c>
      <c r="B296" s="9" t="e">
        <f t="shared" ref="B296:B307" si="39">L295</f>
        <v>#REF!</v>
      </c>
      <c r="J296" s="298" t="e">
        <f t="shared" si="37"/>
        <v>#REF!</v>
      </c>
      <c r="K296" s="9">
        <f t="shared" ref="K296:K307" si="40">K295</f>
        <v>110000</v>
      </c>
      <c r="L296" s="9" t="e">
        <f t="shared" si="38"/>
        <v>#REF!</v>
      </c>
      <c r="BG296" s="9" t="s">
        <v>313</v>
      </c>
      <c r="BJ296" s="14">
        <v>-200000</v>
      </c>
      <c r="BK296" s="14" t="s">
        <v>314</v>
      </c>
      <c r="BL296" s="14"/>
      <c r="BP296" s="14"/>
    </row>
    <row r="297" spans="1:68">
      <c r="A297" s="9">
        <v>5</v>
      </c>
      <c r="B297" s="9" t="e">
        <f t="shared" si="39"/>
        <v>#REF!</v>
      </c>
      <c r="J297" s="298" t="e">
        <f t="shared" si="37"/>
        <v>#REF!</v>
      </c>
      <c r="K297" s="9">
        <f t="shared" si="40"/>
        <v>110000</v>
      </c>
      <c r="L297" s="9" t="e">
        <f t="shared" si="38"/>
        <v>#REF!</v>
      </c>
      <c r="BI297" s="11" t="s">
        <v>315</v>
      </c>
      <c r="BJ297" s="347" t="e">
        <f>SUM(BJ295:BJ296)</f>
        <v>#REF!</v>
      </c>
      <c r="BK297" s="14"/>
      <c r="BL297" s="14"/>
      <c r="BO297" s="11"/>
      <c r="BP297" s="347"/>
    </row>
    <row r="298" spans="1:68">
      <c r="A298" s="9">
        <v>6</v>
      </c>
      <c r="B298" s="9" t="e">
        <f t="shared" si="39"/>
        <v>#REF!</v>
      </c>
      <c r="J298" s="298" t="e">
        <f t="shared" si="37"/>
        <v>#REF!</v>
      </c>
      <c r="K298" s="9">
        <f t="shared" si="40"/>
        <v>110000</v>
      </c>
      <c r="L298" s="9" t="e">
        <f t="shared" si="38"/>
        <v>#REF!</v>
      </c>
      <c r="BG298" s="9" t="s">
        <v>316</v>
      </c>
      <c r="BJ298" s="14" t="e">
        <f>BJ297*0.04</f>
        <v>#REF!</v>
      </c>
      <c r="BK298" s="14"/>
      <c r="BL298" s="14"/>
      <c r="BP298" s="14"/>
    </row>
    <row r="299" spans="1:68">
      <c r="A299" s="9">
        <v>7</v>
      </c>
      <c r="B299" s="9" t="e">
        <f t="shared" si="39"/>
        <v>#REF!</v>
      </c>
      <c r="J299" s="298" t="e">
        <f t="shared" si="37"/>
        <v>#REF!</v>
      </c>
      <c r="K299" s="9">
        <f t="shared" si="40"/>
        <v>110000</v>
      </c>
      <c r="L299" s="9" t="e">
        <f t="shared" si="38"/>
        <v>#REF!</v>
      </c>
      <c r="BJ299" s="14">
        <v>-100000</v>
      </c>
      <c r="BK299" s="14" t="s">
        <v>314</v>
      </c>
      <c r="BL299" s="14"/>
      <c r="BP299" s="14"/>
    </row>
    <row r="300" spans="1:68">
      <c r="A300" s="9">
        <v>8</v>
      </c>
      <c r="B300" s="9" t="e">
        <f t="shared" si="39"/>
        <v>#REF!</v>
      </c>
      <c r="J300" s="298" t="e">
        <f t="shared" si="37"/>
        <v>#REF!</v>
      </c>
      <c r="K300" s="9">
        <f t="shared" si="40"/>
        <v>110000</v>
      </c>
      <c r="L300" s="9" t="e">
        <f t="shared" si="38"/>
        <v>#REF!</v>
      </c>
      <c r="BI300" s="11" t="s">
        <v>317</v>
      </c>
      <c r="BJ300" s="347" t="e">
        <f>SUM(BJ297:BJ299)</f>
        <v>#REF!</v>
      </c>
      <c r="BK300" s="14"/>
      <c r="BL300" s="14"/>
      <c r="BO300" s="11"/>
      <c r="BP300" s="347"/>
    </row>
    <row r="301" spans="1:68">
      <c r="A301" s="9">
        <v>9</v>
      </c>
      <c r="B301" s="9" t="e">
        <f t="shared" si="39"/>
        <v>#REF!</v>
      </c>
      <c r="J301" s="298" t="e">
        <f t="shared" si="37"/>
        <v>#REF!</v>
      </c>
      <c r="K301" s="9">
        <f t="shared" si="40"/>
        <v>110000</v>
      </c>
      <c r="L301" s="9" t="e">
        <f t="shared" si="38"/>
        <v>#REF!</v>
      </c>
      <c r="BG301" s="9" t="s">
        <v>318</v>
      </c>
      <c r="BJ301" s="14" t="e">
        <f>BJ300*0.04</f>
        <v>#REF!</v>
      </c>
      <c r="BK301" s="14"/>
      <c r="BL301" s="14"/>
      <c r="BP301" s="14"/>
    </row>
    <row r="302" spans="1:68">
      <c r="A302" s="9">
        <v>10</v>
      </c>
      <c r="B302" s="9" t="e">
        <f t="shared" si="39"/>
        <v>#REF!</v>
      </c>
      <c r="J302" s="298" t="e">
        <f t="shared" si="37"/>
        <v>#REF!</v>
      </c>
      <c r="K302" s="9">
        <f t="shared" si="40"/>
        <v>110000</v>
      </c>
      <c r="L302" s="9" t="e">
        <f t="shared" si="38"/>
        <v>#REF!</v>
      </c>
      <c r="AH302" s="14"/>
      <c r="BJ302" s="14"/>
      <c r="BK302" s="14"/>
      <c r="BL302" s="14"/>
      <c r="BP302" s="14"/>
    </row>
    <row r="303" spans="1:68">
      <c r="A303" s="9">
        <v>11</v>
      </c>
      <c r="B303" s="9" t="e">
        <f t="shared" si="39"/>
        <v>#REF!</v>
      </c>
      <c r="J303" s="298"/>
      <c r="K303" s="9">
        <f t="shared" si="40"/>
        <v>110000</v>
      </c>
      <c r="L303" s="9" t="e">
        <f t="shared" si="38"/>
        <v>#REF!</v>
      </c>
      <c r="BI303" s="11" t="s">
        <v>319</v>
      </c>
      <c r="BJ303" s="347" t="e">
        <f>SUM(BJ300:BJ302)</f>
        <v>#REF!</v>
      </c>
      <c r="BK303" s="14"/>
      <c r="BL303" s="14"/>
      <c r="BO303" s="11"/>
      <c r="BP303" s="347"/>
    </row>
    <row r="304" spans="1:68">
      <c r="A304" s="9">
        <v>12</v>
      </c>
      <c r="B304" s="9" t="e">
        <f t="shared" si="39"/>
        <v>#REF!</v>
      </c>
      <c r="K304" s="9">
        <f t="shared" si="40"/>
        <v>110000</v>
      </c>
      <c r="L304" s="9" t="e">
        <f t="shared" si="38"/>
        <v>#REF!</v>
      </c>
      <c r="AH304" s="14"/>
      <c r="BG304" s="9" t="s">
        <v>320</v>
      </c>
      <c r="BJ304" s="14" t="e">
        <f>BJ303*0.04</f>
        <v>#REF!</v>
      </c>
      <c r="BK304" s="14"/>
      <c r="BL304" s="14"/>
      <c r="BP304" s="14"/>
    </row>
    <row r="305" spans="1:68">
      <c r="A305" s="9">
        <v>13</v>
      </c>
      <c r="B305" s="9" t="e">
        <f t="shared" si="39"/>
        <v>#REF!</v>
      </c>
      <c r="K305" s="9">
        <f t="shared" si="40"/>
        <v>110000</v>
      </c>
      <c r="L305" s="9" t="e">
        <f t="shared" si="38"/>
        <v>#REF!</v>
      </c>
      <c r="AH305" s="14"/>
      <c r="BJ305" s="14"/>
      <c r="BK305" s="14"/>
      <c r="BL305" s="14"/>
      <c r="BP305" s="14"/>
    </row>
    <row r="306" spans="1:68">
      <c r="A306" s="9">
        <v>14</v>
      </c>
      <c r="B306" s="9" t="e">
        <f t="shared" si="39"/>
        <v>#REF!</v>
      </c>
      <c r="K306" s="9">
        <f t="shared" si="40"/>
        <v>110000</v>
      </c>
      <c r="L306" s="9" t="e">
        <f t="shared" si="38"/>
        <v>#REF!</v>
      </c>
      <c r="AH306" s="14"/>
      <c r="BI306" s="11" t="s">
        <v>321</v>
      </c>
      <c r="BJ306" s="347" t="e">
        <f>SUM(BJ303:BJ305)</f>
        <v>#REF!</v>
      </c>
      <c r="BK306" s="14"/>
      <c r="BL306" s="14"/>
      <c r="BO306" s="11"/>
      <c r="BP306" s="347"/>
    </row>
    <row r="307" spans="1:68">
      <c r="A307" s="9">
        <v>15</v>
      </c>
      <c r="B307" s="9" t="e">
        <f t="shared" si="39"/>
        <v>#REF!</v>
      </c>
      <c r="K307" s="9">
        <f t="shared" si="40"/>
        <v>110000</v>
      </c>
      <c r="L307" s="9" t="e">
        <f t="shared" si="38"/>
        <v>#REF!</v>
      </c>
      <c r="AA307" s="9">
        <f>+AA308+AA309</f>
        <v>59524</v>
      </c>
      <c r="AC307" s="352"/>
      <c r="AD307" s="11"/>
      <c r="AE307" s="14"/>
      <c r="AF307" s="14"/>
      <c r="AG307" s="14"/>
    </row>
    <row r="308" spans="1:68">
      <c r="AA308" s="9">
        <v>29762</v>
      </c>
      <c r="AD308" s="11"/>
      <c r="AE308" s="14"/>
      <c r="AF308" s="14"/>
      <c r="AG308" s="14"/>
    </row>
    <row r="309" spans="1:68">
      <c r="AA309" s="9">
        <v>29762</v>
      </c>
      <c r="AD309" s="11"/>
      <c r="AE309" s="14"/>
      <c r="AF309" s="14"/>
      <c r="AG309" s="14"/>
    </row>
    <row r="310" spans="1:68">
      <c r="AA310" s="9">
        <v>1405000</v>
      </c>
      <c r="AB310" s="353" t="s">
        <v>322</v>
      </c>
      <c r="AE310" s="298"/>
      <c r="AF310" s="298"/>
      <c r="AG310" s="344"/>
    </row>
    <row r="311" spans="1:68">
      <c r="AA311" s="9">
        <f>+AA310+AA309+AA308</f>
        <v>1464524</v>
      </c>
      <c r="AB311" s="11" t="s">
        <v>39</v>
      </c>
      <c r="AC311" s="9">
        <f>+AA325</f>
        <v>23388524</v>
      </c>
      <c r="AD311" s="342"/>
      <c r="AE311" s="342"/>
      <c r="AF311" s="342"/>
      <c r="AG311" s="344"/>
    </row>
    <row r="312" spans="1:68">
      <c r="A312" s="9" t="s">
        <v>23</v>
      </c>
      <c r="AB312" s="11" t="s">
        <v>40</v>
      </c>
      <c r="AC312" s="335">
        <v>4.4999999999999998E-2</v>
      </c>
      <c r="AG312" s="344"/>
    </row>
    <row r="313" spans="1:68">
      <c r="A313" s="9" t="s">
        <v>323</v>
      </c>
      <c r="AA313" s="9">
        <v>1700000</v>
      </c>
      <c r="AB313" s="11" t="s">
        <v>41</v>
      </c>
      <c r="AC313" s="9">
        <v>17</v>
      </c>
      <c r="AD313" s="335"/>
      <c r="AG313" s="344"/>
      <c r="AI313" s="9" t="s">
        <v>42</v>
      </c>
      <c r="AJ313" s="9" t="s">
        <v>324</v>
      </c>
    </row>
    <row r="314" spans="1:68">
      <c r="A314" s="9">
        <v>0</v>
      </c>
      <c r="AA314" s="9">
        <f>+AA317+AA323+AA324-7000000</f>
        <v>1464524</v>
      </c>
      <c r="AB314" s="11"/>
      <c r="AC314" s="342" t="s">
        <v>43</v>
      </c>
      <c r="AD314" s="342" t="s">
        <v>44</v>
      </c>
      <c r="AE314" s="341" t="s">
        <v>45</v>
      </c>
      <c r="AF314" s="341" t="s">
        <v>46</v>
      </c>
      <c r="AI314" s="9" t="s">
        <v>325</v>
      </c>
      <c r="AJ314" s="259" t="s">
        <v>326</v>
      </c>
    </row>
    <row r="315" spans="1:68" ht="15.75">
      <c r="A315" s="9">
        <v>0</v>
      </c>
      <c r="AA315" s="9">
        <f>+AA313-AA314</f>
        <v>235476</v>
      </c>
      <c r="AB315" s="11"/>
      <c r="AC315" s="9">
        <f>1405000+1400000</f>
        <v>2805000</v>
      </c>
      <c r="AF315" s="9">
        <f>AE315</f>
        <v>0</v>
      </c>
      <c r="AG315" s="338" t="s">
        <v>327</v>
      </c>
      <c r="AH315" s="338"/>
      <c r="AI315" s="338"/>
      <c r="AJ315" s="256">
        <f>(+AF315/(1960987552))*229000</f>
        <v>0</v>
      </c>
    </row>
    <row r="316" spans="1:68">
      <c r="A316" s="9">
        <v>0</v>
      </c>
      <c r="X316" s="354"/>
      <c r="Z316" s="11" t="s">
        <v>328</v>
      </c>
      <c r="AA316" s="9">
        <v>25160000</v>
      </c>
      <c r="AB316" s="11"/>
      <c r="AC316" s="266">
        <f>16000000+700000</f>
        <v>16700000</v>
      </c>
      <c r="AD316" s="266"/>
      <c r="AE316" s="266"/>
      <c r="AF316" s="350"/>
      <c r="AG316" s="349" t="s">
        <v>329</v>
      </c>
      <c r="AH316" s="266"/>
      <c r="AI316" s="266"/>
      <c r="AJ316" s="349"/>
    </row>
    <row r="317" spans="1:68" ht="15.75">
      <c r="A317" s="9">
        <v>0</v>
      </c>
      <c r="Z317" s="11" t="s">
        <v>330</v>
      </c>
      <c r="AA317" s="259">
        <v>1405000</v>
      </c>
      <c r="AC317" s="9">
        <f>+AC315+AC316</f>
        <v>19505000</v>
      </c>
      <c r="AE317" s="9">
        <f>+AC315*0.025</f>
        <v>70125</v>
      </c>
      <c r="AF317" s="9">
        <f>SUM(AD316:AE317)</f>
        <v>70125</v>
      </c>
      <c r="AG317" s="256" t="s">
        <v>331</v>
      </c>
      <c r="AI317" s="256">
        <v>1</v>
      </c>
      <c r="AJ317" s="256">
        <f>(+AF317/(1960987552))*229000</f>
        <v>8.1890499425261005</v>
      </c>
    </row>
    <row r="318" spans="1:68">
      <c r="Z318" s="11" t="s">
        <v>332</v>
      </c>
      <c r="AA318" s="9">
        <f>+AA317+AA316</f>
        <v>26565000</v>
      </c>
      <c r="AC318" s="266">
        <v>23698960</v>
      </c>
      <c r="AD318" s="266"/>
      <c r="AE318" s="266">
        <f>+AC316*0.025+(AC315*0.025)/2</f>
        <v>452562.5</v>
      </c>
      <c r="AF318" s="350"/>
      <c r="AG318" s="349" t="s">
        <v>333</v>
      </c>
      <c r="AH318" s="350"/>
      <c r="AI318" s="349"/>
      <c r="AJ318" s="349"/>
    </row>
    <row r="319" spans="1:68" ht="15.75">
      <c r="Z319" s="11" t="s">
        <v>334</v>
      </c>
      <c r="AA319" s="9">
        <v>-10370000</v>
      </c>
      <c r="AC319" s="9">
        <f>AC318-AD318</f>
        <v>23698960</v>
      </c>
      <c r="AD319" s="9">
        <v>1350000</v>
      </c>
      <c r="AE319" s="9">
        <f>+AC319*LI/2</f>
        <v>473979.2</v>
      </c>
      <c r="AF319" s="9">
        <f>SUM(AD318:AE319)</f>
        <v>2276541.7000000002</v>
      </c>
      <c r="AG319" s="256" t="s">
        <v>335</v>
      </c>
      <c r="AH319" s="9">
        <f>+AF319-$AD$358</f>
        <v>2276541.7000000002</v>
      </c>
      <c r="AI319" s="256">
        <f>AI317+1</f>
        <v>2</v>
      </c>
      <c r="AJ319" s="256">
        <f>(+AF319/(1960987552))*229000</f>
        <v>265.84974941238181</v>
      </c>
    </row>
    <row r="320" spans="1:68">
      <c r="Z320" s="11" t="s">
        <v>336</v>
      </c>
      <c r="AA320" s="9">
        <v>-500000</v>
      </c>
      <c r="AB320" s="11"/>
      <c r="AC320" s="266">
        <f>+AC319-AD319</f>
        <v>22348960</v>
      </c>
      <c r="AD320" s="266"/>
      <c r="AE320" s="266">
        <f t="shared" ref="AE320:AE327" si="41">+AC320*LI/2</f>
        <v>446979.2</v>
      </c>
      <c r="AF320" s="350"/>
      <c r="AG320" s="349" t="s">
        <v>337</v>
      </c>
      <c r="AH320" s="350"/>
      <c r="AI320" s="349"/>
      <c r="AJ320" s="349"/>
      <c r="AK320" s="339"/>
    </row>
    <row r="321" spans="7:36" ht="15.75">
      <c r="Z321" s="11" t="s">
        <v>338</v>
      </c>
      <c r="AA321" s="9">
        <f>SUM(AA318:AA320)</f>
        <v>15695000</v>
      </c>
      <c r="AB321" s="11"/>
      <c r="AC321" s="9">
        <f>+AC320-AD320</f>
        <v>22348960</v>
      </c>
      <c r="AD321" s="9">
        <f>+AD319</f>
        <v>1350000</v>
      </c>
      <c r="AE321" s="9">
        <f t="shared" si="41"/>
        <v>446979.2</v>
      </c>
      <c r="AF321" s="9">
        <f>SUM(AD320:AE321)</f>
        <v>2243958.4</v>
      </c>
      <c r="AG321" s="256" t="s">
        <v>339</v>
      </c>
      <c r="AH321" s="9">
        <f>+AF321-$AD$358</f>
        <v>2243958.4</v>
      </c>
      <c r="AI321" s="256">
        <f>AI319+1</f>
        <v>3</v>
      </c>
      <c r="AJ321" s="256">
        <f>(+AF321/(1960987552))*229000</f>
        <v>262.04474020037026</v>
      </c>
    </row>
    <row r="322" spans="7:36">
      <c r="Z322" s="11" t="s">
        <v>340</v>
      </c>
      <c r="AA322" s="9">
        <v>634000</v>
      </c>
      <c r="AB322" s="11"/>
      <c r="AC322" s="266">
        <f>+AC321-AD321</f>
        <v>20998960</v>
      </c>
      <c r="AD322" s="266"/>
      <c r="AE322" s="266">
        <f t="shared" si="41"/>
        <v>419979.2</v>
      </c>
      <c r="AF322" s="350"/>
      <c r="AG322" s="349" t="s">
        <v>341</v>
      </c>
      <c r="AH322" s="350"/>
      <c r="AI322" s="349"/>
      <c r="AJ322" s="349"/>
    </row>
    <row r="323" spans="7:36" ht="15.75">
      <c r="Z323" s="11" t="s">
        <v>342</v>
      </c>
      <c r="AA323" s="9">
        <f>3500000+29762</f>
        <v>3529762</v>
      </c>
      <c r="AC323" s="9">
        <f>+AC322-AD322</f>
        <v>20998960</v>
      </c>
      <c r="AD323" s="9">
        <f>+AD321</f>
        <v>1350000</v>
      </c>
      <c r="AE323" s="9">
        <f t="shared" si="41"/>
        <v>419979.2</v>
      </c>
      <c r="AF323" s="9">
        <f>SUM(AD322:AE323)</f>
        <v>2189958.4</v>
      </c>
      <c r="AG323" s="256" t="s">
        <v>343</v>
      </c>
      <c r="AH323" s="9">
        <f>+AF323-$AD$358</f>
        <v>2189958.4</v>
      </c>
      <c r="AI323" s="256">
        <f>AI321+1</f>
        <v>4</v>
      </c>
      <c r="AJ323" s="256">
        <f>(+AF323/(1960987552))*229000</f>
        <v>255.73873382751589</v>
      </c>
    </row>
    <row r="324" spans="7:36">
      <c r="Z324" s="11" t="s">
        <v>344</v>
      </c>
      <c r="AA324" s="259">
        <f>3500000+29762</f>
        <v>3529762</v>
      </c>
      <c r="AB324" s="11"/>
      <c r="AC324" s="266">
        <f>AC323-AD323</f>
        <v>19648960</v>
      </c>
      <c r="AD324" s="266"/>
      <c r="AE324" s="266">
        <f t="shared" si="41"/>
        <v>392979.20000000001</v>
      </c>
      <c r="AF324" s="350"/>
      <c r="AG324" s="349" t="s">
        <v>345</v>
      </c>
      <c r="AH324" s="350"/>
      <c r="AI324" s="349"/>
      <c r="AJ324" s="349"/>
    </row>
    <row r="325" spans="7:36" ht="15.75">
      <c r="Z325" s="11" t="s">
        <v>346</v>
      </c>
      <c r="AA325" s="9">
        <f>SUM(AA321:AA324)</f>
        <v>23388524</v>
      </c>
      <c r="AC325" s="9">
        <f>AC324-AD324</f>
        <v>19648960</v>
      </c>
      <c r="AD325" s="9">
        <f>+AD323</f>
        <v>1350000</v>
      </c>
      <c r="AE325" s="9">
        <f t="shared" si="41"/>
        <v>392979.20000000001</v>
      </c>
      <c r="AF325" s="9">
        <f>SUM(AD324:AE325)</f>
        <v>2135958.4</v>
      </c>
      <c r="AG325" s="256" t="s">
        <v>347</v>
      </c>
      <c r="AH325" s="9">
        <f>+AF325-$AD$358</f>
        <v>2135958.4</v>
      </c>
      <c r="AI325" s="256">
        <f>AI323+1</f>
        <v>5</v>
      </c>
      <c r="AJ325" s="256">
        <f>(+AF325/(1960987552))*229000</f>
        <v>249.43272745466155</v>
      </c>
    </row>
    <row r="326" spans="7:36">
      <c r="Z326" s="11" t="s">
        <v>348</v>
      </c>
      <c r="AA326" s="9">
        <v>6787467</v>
      </c>
      <c r="AC326" s="266">
        <f>AC325-AD325</f>
        <v>18298960</v>
      </c>
      <c r="AD326" s="266"/>
      <c r="AE326" s="266">
        <f t="shared" si="41"/>
        <v>365979.2</v>
      </c>
      <c r="AF326" s="350"/>
      <c r="AG326" s="349" t="s">
        <v>349</v>
      </c>
      <c r="AH326" s="350"/>
      <c r="AI326" s="349"/>
      <c r="AJ326" s="349"/>
    </row>
    <row r="327" spans="7:36" ht="15.75">
      <c r="Z327" s="11" t="s">
        <v>350</v>
      </c>
      <c r="AA327" s="9">
        <v>6700000</v>
      </c>
      <c r="AC327" s="9">
        <f>AC326-AD326</f>
        <v>18298960</v>
      </c>
      <c r="AD327" s="9">
        <f>+AD325</f>
        <v>1350000</v>
      </c>
      <c r="AE327" s="9">
        <f t="shared" si="41"/>
        <v>365979.2</v>
      </c>
      <c r="AF327" s="9">
        <f>SUM(AD326:AE327)</f>
        <v>2081958.4</v>
      </c>
      <c r="AG327" s="256" t="s">
        <v>351</v>
      </c>
      <c r="AH327" s="9">
        <f>+AF327-$AD$358</f>
        <v>2081958.4</v>
      </c>
      <c r="AI327" s="256">
        <f>AI325+1</f>
        <v>6</v>
      </c>
      <c r="AJ327" s="256">
        <f>(+AF327/(1960987552))*229000</f>
        <v>243.12672108180726</v>
      </c>
    </row>
    <row r="328" spans="7:36">
      <c r="Z328" s="11" t="s">
        <v>352</v>
      </c>
      <c r="AA328" s="9">
        <v>1450000</v>
      </c>
      <c r="AC328" s="266">
        <f>+AC327-AD327</f>
        <v>16948960</v>
      </c>
      <c r="AD328" s="266"/>
      <c r="AE328" s="266">
        <f t="shared" ref="AE328:AE351" si="42">+AC328*LI/2</f>
        <v>338979.2</v>
      </c>
      <c r="AF328" s="350"/>
      <c r="AG328" s="349" t="s">
        <v>353</v>
      </c>
      <c r="AH328" s="350"/>
      <c r="AI328" s="349"/>
      <c r="AJ328" s="349"/>
    </row>
    <row r="329" spans="7:36" ht="15.75">
      <c r="Z329" s="11" t="s">
        <v>354</v>
      </c>
      <c r="AA329" s="9">
        <f>125000+150000</f>
        <v>275000</v>
      </c>
      <c r="AC329" s="9">
        <f>+AC328-AD328</f>
        <v>16948960</v>
      </c>
      <c r="AD329" s="9">
        <f>+AD327</f>
        <v>1350000</v>
      </c>
      <c r="AE329" s="9">
        <f t="shared" si="42"/>
        <v>338979.2</v>
      </c>
      <c r="AF329" s="9">
        <f>SUM(AD328:AE329)</f>
        <v>2027958.4</v>
      </c>
      <c r="AG329" s="256" t="s">
        <v>355</v>
      </c>
      <c r="AH329" s="9">
        <f>+AF329-$AD$358</f>
        <v>2027958.4</v>
      </c>
      <c r="AI329" s="256">
        <f>AI327+1</f>
        <v>7</v>
      </c>
      <c r="AJ329" s="256">
        <f>(+AF329/(1960987552))*229000</f>
        <v>236.82071470895292</v>
      </c>
    </row>
    <row r="330" spans="7:36">
      <c r="AA330" s="9">
        <f>SUM(AA325:AA329)</f>
        <v>38600991</v>
      </c>
      <c r="AC330" s="266">
        <f>+AC329-AD329</f>
        <v>15598960</v>
      </c>
      <c r="AD330" s="266"/>
      <c r="AE330" s="266">
        <f t="shared" si="42"/>
        <v>311979.2</v>
      </c>
      <c r="AF330" s="350"/>
      <c r="AG330" s="349" t="s">
        <v>356</v>
      </c>
      <c r="AH330" s="350"/>
      <c r="AI330" s="349"/>
      <c r="AJ330" s="349"/>
    </row>
    <row r="331" spans="7:36" ht="15.75">
      <c r="G331" s="9">
        <v>40000</v>
      </c>
      <c r="AC331" s="9">
        <f>+AC330-AD330</f>
        <v>15598960</v>
      </c>
      <c r="AD331" s="9">
        <f>+AD329</f>
        <v>1350000</v>
      </c>
      <c r="AE331" s="9">
        <f t="shared" si="42"/>
        <v>311979.2</v>
      </c>
      <c r="AF331" s="9">
        <f>SUM(AD330:AE331)</f>
        <v>1973958.4</v>
      </c>
      <c r="AG331" s="256" t="s">
        <v>357</v>
      </c>
      <c r="AH331" s="9">
        <f>+AF331-$AD$358</f>
        <v>1973958.4</v>
      </c>
      <c r="AI331" s="256">
        <f>AI329+1</f>
        <v>8</v>
      </c>
      <c r="AJ331" s="256">
        <f>(+AF331/(1960987552))*229000</f>
        <v>230.51470833609861</v>
      </c>
    </row>
    <row r="332" spans="7:36">
      <c r="G332" s="9">
        <f>G331*0.3</f>
        <v>12000</v>
      </c>
      <c r="AC332" s="266">
        <f>AC331-AD331</f>
        <v>14248960</v>
      </c>
      <c r="AD332" s="266"/>
      <c r="AE332" s="266">
        <f t="shared" si="42"/>
        <v>284979.20000000001</v>
      </c>
      <c r="AF332" s="350"/>
      <c r="AG332" s="349" t="s">
        <v>358</v>
      </c>
      <c r="AH332" s="350"/>
      <c r="AI332" s="349"/>
      <c r="AJ332" s="349"/>
    </row>
    <row r="333" spans="7:36" ht="15.75">
      <c r="G333" s="9">
        <f>G332*0.15</f>
        <v>1800</v>
      </c>
      <c r="Z333" s="11" t="s">
        <v>342</v>
      </c>
      <c r="AA333" s="9">
        <v>29762</v>
      </c>
      <c r="AC333" s="9">
        <f>AC332-AD332</f>
        <v>14248960</v>
      </c>
      <c r="AD333" s="9">
        <f>+AD331</f>
        <v>1350000</v>
      </c>
      <c r="AE333" s="9">
        <f t="shared" si="42"/>
        <v>284979.20000000001</v>
      </c>
      <c r="AF333" s="9">
        <f>SUM(AD332:AE333)</f>
        <v>1919958.4</v>
      </c>
      <c r="AG333" s="256" t="s">
        <v>359</v>
      </c>
      <c r="AH333" s="9">
        <f>+AF333-$AD$358</f>
        <v>1919958.4</v>
      </c>
      <c r="AI333" s="256">
        <f>AI331+1</f>
        <v>9</v>
      </c>
      <c r="AJ333" s="256">
        <f>(+AF333/(1960987552))*229000</f>
        <v>224.20870196324427</v>
      </c>
    </row>
    <row r="334" spans="7:36">
      <c r="G334" s="9">
        <f>G333+G332</f>
        <v>13800</v>
      </c>
      <c r="Z334" s="11" t="s">
        <v>344</v>
      </c>
      <c r="AA334" s="9">
        <v>29762</v>
      </c>
      <c r="AC334" s="266">
        <f>AC333-AD333</f>
        <v>12898960</v>
      </c>
      <c r="AD334" s="266"/>
      <c r="AE334" s="266">
        <f t="shared" si="42"/>
        <v>257979.2</v>
      </c>
      <c r="AF334" s="350"/>
      <c r="AG334" s="349" t="s">
        <v>360</v>
      </c>
      <c r="AH334" s="350"/>
      <c r="AI334" s="349"/>
      <c r="AJ334" s="349"/>
    </row>
    <row r="335" spans="7:36" ht="15.75">
      <c r="G335" s="9">
        <v>110000</v>
      </c>
      <c r="Z335" s="11" t="s">
        <v>361</v>
      </c>
      <c r="AA335" s="9">
        <v>357476</v>
      </c>
      <c r="AC335" s="9">
        <f>AC334-AD334</f>
        <v>12898960</v>
      </c>
      <c r="AD335" s="9">
        <f>+AD333</f>
        <v>1350000</v>
      </c>
      <c r="AE335" s="9">
        <f t="shared" si="42"/>
        <v>257979.2</v>
      </c>
      <c r="AF335" s="9">
        <f>SUM(AD334:AE335)</f>
        <v>1865958.3999999999</v>
      </c>
      <c r="AG335" s="256" t="s">
        <v>362</v>
      </c>
      <c r="AH335" s="9">
        <f>+AF335-$AD$358</f>
        <v>1865958.3999999999</v>
      </c>
      <c r="AI335" s="256">
        <f>AI333+1</f>
        <v>10</v>
      </c>
      <c r="AJ335" s="256">
        <f>(+AF335/(1960987552))*229000</f>
        <v>217.90269559038995</v>
      </c>
    </row>
    <row r="336" spans="7:36">
      <c r="G336" s="9">
        <f>G335/0.93</f>
        <v>118279.56989247311</v>
      </c>
      <c r="Z336" s="11" t="s">
        <v>328</v>
      </c>
      <c r="AA336" s="9">
        <v>1283000</v>
      </c>
      <c r="AC336" s="266">
        <f>+AC335-AD335</f>
        <v>11548960</v>
      </c>
      <c r="AD336" s="266"/>
      <c r="AE336" s="266">
        <f t="shared" si="42"/>
        <v>230979.20000000001</v>
      </c>
      <c r="AF336" s="350"/>
      <c r="AG336" s="349" t="s">
        <v>363</v>
      </c>
      <c r="AH336" s="350"/>
      <c r="AI336" s="349"/>
      <c r="AJ336" s="349"/>
    </row>
    <row r="337" spans="24:36" ht="15.75">
      <c r="AA337" s="9">
        <f>+AA336+AA335+AA334+AA333</f>
        <v>1700000</v>
      </c>
      <c r="AC337" s="9">
        <f>+AC336-AD336</f>
        <v>11548960</v>
      </c>
      <c r="AD337" s="9">
        <f>+AD335</f>
        <v>1350000</v>
      </c>
      <c r="AE337" s="9">
        <f t="shared" si="42"/>
        <v>230979.20000000001</v>
      </c>
      <c r="AF337" s="9">
        <f>SUM(AD336:AE337)</f>
        <v>1811958.4</v>
      </c>
      <c r="AG337" s="256" t="s">
        <v>364</v>
      </c>
      <c r="AH337" s="9">
        <f>+AF337-$AD$358</f>
        <v>1811958.4</v>
      </c>
      <c r="AI337" s="256">
        <f>AI335+1</f>
        <v>11</v>
      </c>
      <c r="AJ337" s="256">
        <f>(+AF337/(1960987552))*229000</f>
        <v>211.59668921753561</v>
      </c>
    </row>
    <row r="338" spans="24:36">
      <c r="Z338" s="11" t="s">
        <v>348</v>
      </c>
      <c r="AA338" s="9">
        <v>2000000</v>
      </c>
      <c r="AC338" s="266">
        <f>+AC337-AD337</f>
        <v>10198960</v>
      </c>
      <c r="AD338" s="266"/>
      <c r="AE338" s="266">
        <f t="shared" si="42"/>
        <v>203979.2</v>
      </c>
      <c r="AF338" s="350"/>
      <c r="AG338" s="349" t="s">
        <v>363</v>
      </c>
      <c r="AH338" s="350"/>
      <c r="AI338" s="349"/>
      <c r="AJ338" s="349"/>
    </row>
    <row r="339" spans="24:36" ht="15.75">
      <c r="X339" s="343"/>
      <c r="Z339" s="11" t="str">
        <f>+Z336</f>
        <v>New Elementary School</v>
      </c>
      <c r="AA339" s="9">
        <v>1400000</v>
      </c>
      <c r="AC339" s="9">
        <f>+AC338-AD338</f>
        <v>10198960</v>
      </c>
      <c r="AD339" s="9">
        <f>+AD337</f>
        <v>1350000</v>
      </c>
      <c r="AE339" s="9">
        <f t="shared" si="42"/>
        <v>203979.2</v>
      </c>
      <c r="AF339" s="9">
        <f>SUM(AD338:AE339)</f>
        <v>1757958.4</v>
      </c>
      <c r="AG339" s="256" t="s">
        <v>364</v>
      </c>
      <c r="AH339" s="9">
        <f>+AF339-$AD$358</f>
        <v>1757958.4</v>
      </c>
      <c r="AI339" s="256">
        <f>AI337+1</f>
        <v>12</v>
      </c>
      <c r="AJ339" s="256">
        <f>(+AF339/(1960987552))*229000</f>
        <v>205.2906828446813</v>
      </c>
    </row>
    <row r="340" spans="24:36">
      <c r="X340" s="343"/>
      <c r="Z340" s="11" t="str">
        <f>+Z323</f>
        <v xml:space="preserve">PRS </v>
      </c>
      <c r="AA340" s="9">
        <v>3500000</v>
      </c>
      <c r="AC340" s="266">
        <f>AC339-AD339</f>
        <v>8848960</v>
      </c>
      <c r="AD340" s="266"/>
      <c r="AE340" s="266">
        <f t="shared" si="42"/>
        <v>176979.20000000001</v>
      </c>
      <c r="AF340" s="350"/>
      <c r="AG340" s="349" t="s">
        <v>365</v>
      </c>
      <c r="AH340" s="350"/>
      <c r="AI340" s="349"/>
      <c r="AJ340" s="349"/>
    </row>
    <row r="341" spans="24:36" ht="15.75">
      <c r="X341" s="343"/>
      <c r="Z341" s="11" t="str">
        <f>+Z324</f>
        <v>Foster</v>
      </c>
      <c r="AA341" s="9">
        <v>3500000</v>
      </c>
      <c r="AC341" s="9">
        <f>AC340-AD340</f>
        <v>8848960</v>
      </c>
      <c r="AD341" s="9">
        <f>+AD339</f>
        <v>1350000</v>
      </c>
      <c r="AE341" s="9">
        <f t="shared" si="42"/>
        <v>176979.20000000001</v>
      </c>
      <c r="AF341" s="9">
        <f>SUM(AD340:AE341)</f>
        <v>1703958.4</v>
      </c>
      <c r="AG341" s="256" t="s">
        <v>366</v>
      </c>
      <c r="AH341" s="9">
        <f>+AF341-$AD$358</f>
        <v>1703958.4</v>
      </c>
      <c r="AI341" s="256">
        <f>AI339+1</f>
        <v>13</v>
      </c>
      <c r="AJ341" s="256">
        <f>(+AF341/(1960987552))*229000</f>
        <v>198.98467647182699</v>
      </c>
    </row>
    <row r="342" spans="24:36">
      <c r="X342" s="343"/>
      <c r="AC342" s="266">
        <f>AC341-AD341</f>
        <v>7498960</v>
      </c>
      <c r="AD342" s="266"/>
      <c r="AE342" s="266">
        <f t="shared" si="42"/>
        <v>149979.20000000001</v>
      </c>
      <c r="AF342" s="350"/>
      <c r="AG342" s="349" t="s">
        <v>367</v>
      </c>
      <c r="AH342" s="350"/>
      <c r="AI342" s="349"/>
      <c r="AJ342" s="349"/>
    </row>
    <row r="343" spans="24:36" ht="15.75">
      <c r="X343" s="343"/>
      <c r="AA343" s="9">
        <f>SUM(AA337:AA342)</f>
        <v>12100000</v>
      </c>
      <c r="AC343" s="9">
        <f>AC342-AD342</f>
        <v>7498960</v>
      </c>
      <c r="AD343" s="9">
        <f>+AD341</f>
        <v>1350000</v>
      </c>
      <c r="AE343" s="9">
        <f t="shared" si="42"/>
        <v>149979.20000000001</v>
      </c>
      <c r="AF343" s="9">
        <f>SUM(AD342:AE343)</f>
        <v>1649958.4</v>
      </c>
      <c r="AG343" s="256" t="s">
        <v>368</v>
      </c>
      <c r="AH343" s="9">
        <f>+AF343-$AD$358</f>
        <v>1649958.4</v>
      </c>
      <c r="AI343" s="256">
        <f>AI341+1</f>
        <v>14</v>
      </c>
      <c r="AJ343" s="256">
        <f>(+AF343/(1960987552))*229000</f>
        <v>192.67867009897265</v>
      </c>
    </row>
    <row r="344" spans="24:36">
      <c r="X344" s="343"/>
      <c r="AC344" s="266">
        <f>+AC343-AD343</f>
        <v>6148960</v>
      </c>
      <c r="AD344" s="266"/>
      <c r="AE344" s="266">
        <f t="shared" si="42"/>
        <v>122979.2</v>
      </c>
      <c r="AF344" s="350"/>
      <c r="AG344" s="349" t="s">
        <v>369</v>
      </c>
      <c r="AH344" s="350"/>
      <c r="AI344" s="349"/>
      <c r="AJ344" s="349"/>
    </row>
    <row r="345" spans="24:36" ht="15.75">
      <c r="X345" s="343"/>
      <c r="AC345" s="9">
        <f>+AC344-AD344</f>
        <v>6148960</v>
      </c>
      <c r="AD345" s="9">
        <f>+AD343</f>
        <v>1350000</v>
      </c>
      <c r="AE345" s="9">
        <f t="shared" si="42"/>
        <v>122979.2</v>
      </c>
      <c r="AF345" s="9">
        <f>SUM(AD344:AE345)</f>
        <v>1595958.4</v>
      </c>
      <c r="AG345" s="256" t="s">
        <v>370</v>
      </c>
      <c r="AH345" s="9">
        <f>+AF345-$AD$358</f>
        <v>1595958.4</v>
      </c>
      <c r="AI345" s="256">
        <f>AI343+1</f>
        <v>15</v>
      </c>
      <c r="AJ345" s="256">
        <f>(+AF345/(1960987552))*229000</f>
        <v>186.3726637261183</v>
      </c>
    </row>
    <row r="346" spans="24:36">
      <c r="X346" s="343"/>
      <c r="AC346" s="266">
        <f>+AC345-AD345</f>
        <v>4798960</v>
      </c>
      <c r="AD346" s="266"/>
      <c r="AE346" s="266">
        <f t="shared" si="42"/>
        <v>95979.199999999997</v>
      </c>
      <c r="AF346" s="350"/>
      <c r="AG346" s="349" t="s">
        <v>371</v>
      </c>
      <c r="AH346" s="350"/>
      <c r="AI346" s="349"/>
      <c r="AJ346" s="349"/>
    </row>
    <row r="347" spans="24:36" ht="15.75">
      <c r="X347" s="343"/>
      <c r="Y347" s="9" t="s">
        <v>372</v>
      </c>
      <c r="Z347" s="11" t="s">
        <v>361</v>
      </c>
      <c r="AA347" s="9">
        <v>133000</v>
      </c>
      <c r="AC347" s="9">
        <f>+AC346-AD346</f>
        <v>4798960</v>
      </c>
      <c r="AD347" s="9">
        <f>+AD345</f>
        <v>1350000</v>
      </c>
      <c r="AE347" s="9">
        <f t="shared" si="42"/>
        <v>95979.199999999997</v>
      </c>
      <c r="AF347" s="9">
        <f>SUM(AD346:AE347)</f>
        <v>1541958.4</v>
      </c>
      <c r="AG347" s="256" t="s">
        <v>373</v>
      </c>
      <c r="AH347" s="9">
        <f>+AF347-$AD$358</f>
        <v>1541958.4</v>
      </c>
      <c r="AI347" s="256">
        <f>AI345+1</f>
        <v>16</v>
      </c>
      <c r="AJ347" s="256">
        <f>(+AF347/(1960987552))*229000</f>
        <v>180.06665735326399</v>
      </c>
    </row>
    <row r="348" spans="24:36">
      <c r="X348" s="343"/>
      <c r="Y348" s="9" t="s">
        <v>372</v>
      </c>
      <c r="Z348" s="11" t="s">
        <v>374</v>
      </c>
      <c r="AA348" s="9">
        <f>255000-AA347</f>
        <v>122000</v>
      </c>
      <c r="AC348" s="266">
        <f>AC347-AD347</f>
        <v>3448960</v>
      </c>
      <c r="AD348" s="266"/>
      <c r="AE348" s="266">
        <f t="shared" si="42"/>
        <v>68979.199999999997</v>
      </c>
      <c r="AF348" s="350"/>
      <c r="AG348" s="349" t="s">
        <v>375</v>
      </c>
      <c r="AH348" s="350"/>
      <c r="AI348" s="349"/>
      <c r="AJ348" s="349"/>
    </row>
    <row r="349" spans="24:36" ht="15.75">
      <c r="X349" s="343"/>
      <c r="Z349" s="11" t="s">
        <v>332</v>
      </c>
      <c r="AA349" s="9">
        <f>+AA348+AA347</f>
        <v>255000</v>
      </c>
      <c r="AC349" s="9">
        <f>AC348-AD348</f>
        <v>3448960</v>
      </c>
      <c r="AD349" s="9">
        <f>+AD347</f>
        <v>1350000</v>
      </c>
      <c r="AE349" s="9">
        <f t="shared" si="42"/>
        <v>68979.199999999997</v>
      </c>
      <c r="AF349" s="9">
        <f>SUM(AD348:AE349)</f>
        <v>1487958.4</v>
      </c>
      <c r="AG349" s="256" t="s">
        <v>376</v>
      </c>
      <c r="AH349" s="9">
        <f>+AF349-$AD$358</f>
        <v>1487958.4</v>
      </c>
      <c r="AI349" s="256">
        <f>AI347+1</f>
        <v>17</v>
      </c>
      <c r="AJ349" s="256">
        <f>(+AF349/(1960987552))*229000</f>
        <v>173.76065098040968</v>
      </c>
    </row>
    <row r="350" spans="24:36">
      <c r="X350" s="343"/>
      <c r="AC350" s="266">
        <f>AC349-AD349</f>
        <v>2098960</v>
      </c>
      <c r="AD350" s="266"/>
      <c r="AE350" s="266">
        <f t="shared" si="42"/>
        <v>41979.200000000004</v>
      </c>
      <c r="AF350" s="350"/>
      <c r="AG350" s="349" t="s">
        <v>377</v>
      </c>
      <c r="AH350" s="350"/>
      <c r="AI350" s="349"/>
      <c r="AJ350" s="349"/>
    </row>
    <row r="351" spans="24:36" ht="15.75">
      <c r="X351" s="343"/>
      <c r="AC351" s="9">
        <f>AC350-AD350</f>
        <v>2098960</v>
      </c>
      <c r="AD351" s="9">
        <f>+AD349</f>
        <v>1350000</v>
      </c>
      <c r="AE351" s="9">
        <f t="shared" si="42"/>
        <v>41979.200000000004</v>
      </c>
      <c r="AF351" s="9">
        <f>SUM(AD350:AE351)</f>
        <v>1433958.3999999999</v>
      </c>
      <c r="AG351" s="256" t="s">
        <v>378</v>
      </c>
      <c r="AH351" s="9">
        <f>+AF351-$AD$358</f>
        <v>1433958.3999999999</v>
      </c>
      <c r="AI351" s="256">
        <f>AI349+1</f>
        <v>18</v>
      </c>
      <c r="AJ351" s="256">
        <f>(+AF351/(1960987552))*229000</f>
        <v>167.45464460755537</v>
      </c>
    </row>
    <row r="352" spans="24:36">
      <c r="X352" s="343"/>
      <c r="AC352" s="266">
        <f>+AC351-AD351</f>
        <v>748960</v>
      </c>
      <c r="AD352" s="266"/>
      <c r="AE352" s="266">
        <f>+AC352*LI/2</f>
        <v>14979.2</v>
      </c>
      <c r="AF352" s="350"/>
      <c r="AG352" s="349" t="s">
        <v>379</v>
      </c>
      <c r="AH352" s="350"/>
      <c r="AI352" s="349"/>
      <c r="AJ352" s="349"/>
    </row>
    <row r="353" spans="24:36" ht="15.75">
      <c r="X353" s="343"/>
      <c r="AC353" s="9">
        <f>+AC352-AD352</f>
        <v>748960</v>
      </c>
      <c r="AD353" s="9">
        <v>748960</v>
      </c>
      <c r="AE353" s="9">
        <f>+AC353*LI/2</f>
        <v>14979.2</v>
      </c>
      <c r="AF353" s="9">
        <f>SUM(AD352:AE353)</f>
        <v>778918.39999999991</v>
      </c>
      <c r="AG353" s="256" t="s">
        <v>380</v>
      </c>
      <c r="AH353" s="9">
        <f>+AF353-$AD$358</f>
        <v>778918.39999999991</v>
      </c>
      <c r="AI353" s="256">
        <f>AI351+1</f>
        <v>19</v>
      </c>
      <c r="AJ353" s="256">
        <f>(+AF353/(1960987552))*229000</f>
        <v>90.960451746916533</v>
      </c>
    </row>
    <row r="354" spans="24:36">
      <c r="X354" s="343"/>
      <c r="AC354" s="266"/>
      <c r="AD354" s="266">
        <f>SUM(AD315:AD353)</f>
        <v>23698960</v>
      </c>
      <c r="AE354" s="266">
        <f>SUM(AE315:AE353)</f>
        <v>8849959.4999999981</v>
      </c>
      <c r="AF354" s="266"/>
      <c r="AG354" s="266"/>
      <c r="AH354" s="266">
        <f>SUM(AH319:AH353)</f>
        <v>32478794.499999985</v>
      </c>
      <c r="AJ354" s="349"/>
    </row>
    <row r="355" spans="24:36">
      <c r="AE355" s="9">
        <f>+AE354+AD354</f>
        <v>32548919.5</v>
      </c>
      <c r="AH355" s="335"/>
    </row>
    <row r="356" spans="24:36">
      <c r="AE356" s="9">
        <v>36066894.560000002</v>
      </c>
      <c r="AF356" s="298"/>
      <c r="AG356" s="344"/>
    </row>
    <row r="357" spans="24:36">
      <c r="AE357" s="9">
        <f>+AE356-AE355</f>
        <v>3517975.0600000024</v>
      </c>
      <c r="AF357" s="298"/>
      <c r="AG357" s="344"/>
    </row>
    <row r="358" spans="24:36">
      <c r="AE358" s="298"/>
      <c r="AF358" s="298"/>
      <c r="AG358" s="344"/>
    </row>
    <row r="359" spans="24:36">
      <c r="AE359" s="298"/>
      <c r="AF359" s="298"/>
      <c r="AG359" s="344"/>
    </row>
    <row r="360" spans="24:36">
      <c r="AE360" s="298"/>
      <c r="AF360" s="298"/>
      <c r="AG360" s="344"/>
    </row>
    <row r="361" spans="24:36">
      <c r="AE361" s="298"/>
      <c r="AF361" s="298"/>
      <c r="AG361" s="344"/>
    </row>
    <row r="362" spans="24:36">
      <c r="AE362" s="298"/>
      <c r="AF362" s="298"/>
      <c r="AG362" s="344"/>
    </row>
    <row r="363" spans="24:36">
      <c r="AE363" s="298"/>
      <c r="AF363" s="298"/>
      <c r="AG363" s="344"/>
    </row>
    <row r="364" spans="24:36">
      <c r="AB364" s="11" t="s">
        <v>381</v>
      </c>
      <c r="AE364" s="298"/>
      <c r="AF364" s="298"/>
      <c r="AG364" s="344"/>
    </row>
    <row r="365" spans="24:36">
      <c r="AB365" s="11" t="s">
        <v>39</v>
      </c>
      <c r="AC365" s="9">
        <v>4120000</v>
      </c>
      <c r="AD365" s="342"/>
      <c r="AE365" s="342"/>
      <c r="AF365" s="342"/>
      <c r="AG365" s="344"/>
    </row>
    <row r="366" spans="24:36">
      <c r="AB366" s="11" t="s">
        <v>40</v>
      </c>
      <c r="AC366" s="335">
        <v>4.4999999999999998E-2</v>
      </c>
      <c r="AG366" s="344"/>
    </row>
    <row r="367" spans="24:36">
      <c r="AB367" s="11" t="s">
        <v>41</v>
      </c>
      <c r="AC367" s="9">
        <v>17</v>
      </c>
      <c r="AD367" s="335"/>
      <c r="AG367" s="344"/>
      <c r="AH367" s="9" t="s">
        <v>382</v>
      </c>
      <c r="AI367" s="9" t="s">
        <v>42</v>
      </c>
      <c r="AJ367" s="9" t="s">
        <v>324</v>
      </c>
    </row>
    <row r="368" spans="24:36">
      <c r="AB368" s="11"/>
      <c r="AC368" s="342" t="s">
        <v>43</v>
      </c>
      <c r="AD368" s="342" t="s">
        <v>44</v>
      </c>
      <c r="AE368" s="341" t="s">
        <v>45</v>
      </c>
      <c r="AF368" s="341" t="s">
        <v>46</v>
      </c>
      <c r="AH368" s="9" t="s">
        <v>383</v>
      </c>
      <c r="AI368" s="9" t="s">
        <v>325</v>
      </c>
      <c r="AJ368" s="259" t="s">
        <v>326</v>
      </c>
    </row>
    <row r="369" spans="28:37" ht="15.75">
      <c r="AB369" s="11" t="s">
        <v>384</v>
      </c>
      <c r="AC369" s="9">
        <v>4000000</v>
      </c>
      <c r="AE369" s="9">
        <v>74564.69</v>
      </c>
      <c r="AF369" s="9">
        <f>AE369</f>
        <v>74564.69</v>
      </c>
      <c r="AG369" s="338" t="s">
        <v>385</v>
      </c>
      <c r="AH369" s="338"/>
      <c r="AI369" s="338"/>
      <c r="AJ369" s="256">
        <f>(+AF369/(1960987552))*229000</f>
        <v>8.7075075987019819</v>
      </c>
    </row>
    <row r="370" spans="28:37">
      <c r="AB370" s="11" t="s">
        <v>386</v>
      </c>
      <c r="AC370" s="266">
        <f t="shared" ref="AC370:AC413" si="43">AC369-AD369</f>
        <v>4000000</v>
      </c>
      <c r="AD370" s="266"/>
      <c r="AE370" s="266">
        <v>159515.68</v>
      </c>
      <c r="AF370" s="350"/>
      <c r="AG370" s="349" t="s">
        <v>387</v>
      </c>
      <c r="AH370" s="266"/>
      <c r="AI370" s="266"/>
      <c r="AJ370" s="349"/>
    </row>
    <row r="371" spans="28:37" ht="15.75">
      <c r="AC371" s="9">
        <f t="shared" si="43"/>
        <v>4000000</v>
      </c>
      <c r="AF371" s="9">
        <f>SUM(AD370:AE371)</f>
        <v>159515.68</v>
      </c>
      <c r="AG371" s="256" t="s">
        <v>388</v>
      </c>
      <c r="AI371" s="256"/>
      <c r="AJ371" s="256">
        <f>(+AF371/(1960987552))*229000</f>
        <v>18.627905456485017</v>
      </c>
    </row>
    <row r="372" spans="28:37">
      <c r="AB372" s="11" t="s">
        <v>389</v>
      </c>
      <c r="AC372" s="266">
        <f t="shared" si="43"/>
        <v>4000000</v>
      </c>
      <c r="AD372" s="266"/>
      <c r="AE372" s="266">
        <f>AC372*0.04*(311/360)</f>
        <v>138222.22222222222</v>
      </c>
      <c r="AF372" s="350"/>
      <c r="AG372" s="349" t="s">
        <v>390</v>
      </c>
      <c r="AH372" s="350"/>
      <c r="AI372" s="349"/>
      <c r="AJ372" s="349"/>
    </row>
    <row r="373" spans="28:37" ht="15.75">
      <c r="AC373" s="9">
        <f t="shared" si="43"/>
        <v>4000000</v>
      </c>
      <c r="AE373" s="9">
        <v>82600</v>
      </c>
      <c r="AF373" s="9">
        <f>SUM(AD372:AE373)</f>
        <v>220822.22222222222</v>
      </c>
      <c r="AG373" s="256" t="s">
        <v>391</v>
      </c>
      <c r="AI373" s="256"/>
      <c r="AJ373" s="256">
        <f>(+AF373/(1960987552))*229000</f>
        <v>25.787154455577536</v>
      </c>
    </row>
    <row r="374" spans="28:37">
      <c r="AC374" s="266">
        <f t="shared" si="43"/>
        <v>4000000</v>
      </c>
      <c r="AD374" s="266">
        <v>200000</v>
      </c>
      <c r="AE374" s="266">
        <v>82600</v>
      </c>
      <c r="AF374" s="350"/>
      <c r="AG374" s="349" t="s">
        <v>392</v>
      </c>
      <c r="AH374" s="350"/>
      <c r="AI374" s="349"/>
      <c r="AJ374" s="349"/>
      <c r="AK374" s="339"/>
    </row>
    <row r="375" spans="28:37" ht="15.75">
      <c r="AB375" s="11"/>
      <c r="AC375" s="9">
        <f t="shared" si="43"/>
        <v>3800000</v>
      </c>
      <c r="AE375" s="9">
        <v>77100</v>
      </c>
      <c r="AF375" s="9">
        <f>SUM(AD374:AE375)</f>
        <v>359700</v>
      </c>
      <c r="AG375" s="256" t="s">
        <v>393</v>
      </c>
      <c r="AH375" s="9">
        <v>239800</v>
      </c>
      <c r="AI375" s="256">
        <v>1</v>
      </c>
      <c r="AJ375" s="256">
        <f>(+AF375/(1960987552))*229000</f>
        <v>42.00500911695741</v>
      </c>
      <c r="AK375" s="9">
        <f t="shared" ref="AK375:AK413" si="44">AH375+AF375</f>
        <v>599500</v>
      </c>
    </row>
    <row r="376" spans="28:37">
      <c r="AB376" s="11"/>
      <c r="AC376" s="266">
        <f t="shared" si="43"/>
        <v>3800000</v>
      </c>
      <c r="AD376" s="266">
        <f>AD374</f>
        <v>200000</v>
      </c>
      <c r="AE376" s="266">
        <f>AE375</f>
        <v>77100</v>
      </c>
      <c r="AF376" s="350"/>
      <c r="AG376" s="349" t="s">
        <v>394</v>
      </c>
      <c r="AH376" s="350"/>
      <c r="AI376" s="349"/>
      <c r="AJ376" s="349"/>
      <c r="AK376" s="9">
        <f t="shared" si="44"/>
        <v>0</v>
      </c>
    </row>
    <row r="377" spans="28:37" ht="15.75">
      <c r="AC377" s="9">
        <f t="shared" si="43"/>
        <v>3600000</v>
      </c>
      <c r="AE377" s="9">
        <v>71600</v>
      </c>
      <c r="AF377" s="9">
        <f>SUM(AD376:AE377)</f>
        <v>348700</v>
      </c>
      <c r="AG377" s="256" t="s">
        <v>395</v>
      </c>
      <c r="AH377" s="9">
        <v>239800</v>
      </c>
      <c r="AI377" s="256">
        <f>AI375+1</f>
        <v>2</v>
      </c>
      <c r="AJ377" s="256">
        <f>(+AF377/(1960987552))*229000</f>
        <v>40.720452263227827</v>
      </c>
      <c r="AK377" s="9">
        <f t="shared" si="44"/>
        <v>588500</v>
      </c>
    </row>
    <row r="378" spans="28:37">
      <c r="AC378" s="266">
        <f t="shared" si="43"/>
        <v>3600000</v>
      </c>
      <c r="AD378" s="266">
        <f>AD376</f>
        <v>200000</v>
      </c>
      <c r="AE378" s="266">
        <f>AE377</f>
        <v>71600</v>
      </c>
      <c r="AF378" s="350"/>
      <c r="AG378" s="349" t="s">
        <v>396</v>
      </c>
      <c r="AH378" s="350"/>
      <c r="AI378" s="349"/>
      <c r="AJ378" s="349"/>
      <c r="AK378" s="9">
        <f t="shared" si="44"/>
        <v>0</v>
      </c>
    </row>
    <row r="379" spans="28:37" ht="15.75">
      <c r="AC379" s="9">
        <f t="shared" si="43"/>
        <v>3400000</v>
      </c>
      <c r="AE379" s="9">
        <v>67600</v>
      </c>
      <c r="AF379" s="9">
        <f>SUM(AD378:AE379)</f>
        <v>339200</v>
      </c>
      <c r="AG379" s="256" t="s">
        <v>397</v>
      </c>
      <c r="AH379" s="9">
        <v>239800</v>
      </c>
      <c r="AI379" s="256">
        <f>AI377+1</f>
        <v>3</v>
      </c>
      <c r="AJ379" s="256">
        <f>(+AF379/(1960987552))*229000</f>
        <v>39.611062253188642</v>
      </c>
      <c r="AK379" s="9">
        <f t="shared" si="44"/>
        <v>579000</v>
      </c>
    </row>
    <row r="380" spans="28:37">
      <c r="AC380" s="266">
        <f t="shared" si="43"/>
        <v>3400000</v>
      </c>
      <c r="AD380" s="266">
        <f>AD378</f>
        <v>200000</v>
      </c>
      <c r="AE380" s="266">
        <f>AE379</f>
        <v>67600</v>
      </c>
      <c r="AF380" s="350"/>
      <c r="AG380" s="349" t="s">
        <v>398</v>
      </c>
      <c r="AH380" s="350"/>
      <c r="AI380" s="349"/>
      <c r="AJ380" s="349"/>
      <c r="AK380" s="9">
        <f t="shared" si="44"/>
        <v>0</v>
      </c>
    </row>
    <row r="381" spans="28:37" ht="15.75">
      <c r="AC381" s="9">
        <f t="shared" si="43"/>
        <v>3200000</v>
      </c>
      <c r="AE381" s="9">
        <v>64200</v>
      </c>
      <c r="AF381" s="9">
        <f>SUM(AD380:AE381)</f>
        <v>331800</v>
      </c>
      <c r="AG381" s="256" t="s">
        <v>399</v>
      </c>
      <c r="AH381" s="9">
        <v>239800</v>
      </c>
      <c r="AI381" s="256">
        <f>AI379+1</f>
        <v>4</v>
      </c>
      <c r="AJ381" s="256">
        <f>(+AF381/(1960987552))*229000</f>
        <v>38.746905824316016</v>
      </c>
      <c r="AK381" s="9">
        <f t="shared" si="44"/>
        <v>571600</v>
      </c>
    </row>
    <row r="382" spans="28:37">
      <c r="AC382" s="266">
        <f t="shared" si="43"/>
        <v>3200000</v>
      </c>
      <c r="AD382" s="266">
        <f>AD380</f>
        <v>200000</v>
      </c>
      <c r="AE382" s="266">
        <f>AE381</f>
        <v>64200</v>
      </c>
      <c r="AF382" s="350"/>
      <c r="AG382" s="349" t="s">
        <v>400</v>
      </c>
      <c r="AH382" s="350"/>
      <c r="AI382" s="349"/>
      <c r="AJ382" s="349"/>
      <c r="AK382" s="9">
        <f t="shared" si="44"/>
        <v>0</v>
      </c>
    </row>
    <row r="383" spans="28:37" ht="15.75">
      <c r="AC383" s="9">
        <f t="shared" si="43"/>
        <v>3000000</v>
      </c>
      <c r="AE383" s="9">
        <v>60750</v>
      </c>
      <c r="AF383" s="9">
        <f>SUM(AD382:AE383)</f>
        <v>324950</v>
      </c>
      <c r="AG383" s="256" t="s">
        <v>401</v>
      </c>
      <c r="AH383" s="9">
        <v>239800</v>
      </c>
      <c r="AI383" s="256">
        <f>AI381+1</f>
        <v>5</v>
      </c>
      <c r="AJ383" s="256">
        <f>(+AF383/(1960987552))*229000</f>
        <v>37.946977238129861</v>
      </c>
      <c r="AK383" s="9">
        <f t="shared" si="44"/>
        <v>564750</v>
      </c>
    </row>
    <row r="384" spans="28:37">
      <c r="AC384" s="266">
        <f t="shared" si="43"/>
        <v>3000000</v>
      </c>
      <c r="AD384" s="266">
        <f>AD382</f>
        <v>200000</v>
      </c>
      <c r="AE384" s="266">
        <f>AE383</f>
        <v>60750</v>
      </c>
      <c r="AF384" s="350"/>
      <c r="AG384" s="349" t="s">
        <v>402</v>
      </c>
      <c r="AH384" s="350"/>
      <c r="AI384" s="349"/>
      <c r="AJ384" s="349"/>
      <c r="AK384" s="9">
        <f t="shared" si="44"/>
        <v>0</v>
      </c>
    </row>
    <row r="385" spans="29:37" ht="15.75">
      <c r="AC385" s="9">
        <f t="shared" si="43"/>
        <v>2800000</v>
      </c>
      <c r="AE385" s="9">
        <v>57250</v>
      </c>
      <c r="AF385" s="9">
        <f>SUM(AD384:AE385)</f>
        <v>318000</v>
      </c>
      <c r="AG385" s="256" t="s">
        <v>403</v>
      </c>
      <c r="AH385" s="9">
        <v>239800</v>
      </c>
      <c r="AI385" s="256">
        <f>AI383+1</f>
        <v>6</v>
      </c>
      <c r="AJ385" s="256">
        <f>(+AF385/(1960987552))*229000</f>
        <v>37.135370862364354</v>
      </c>
      <c r="AK385" s="9">
        <f t="shared" si="44"/>
        <v>557800</v>
      </c>
    </row>
    <row r="386" spans="29:37">
      <c r="AC386" s="266">
        <f t="shared" si="43"/>
        <v>2800000</v>
      </c>
      <c r="AD386" s="266">
        <f>AD384</f>
        <v>200000</v>
      </c>
      <c r="AE386" s="266">
        <f>AE385</f>
        <v>57250</v>
      </c>
      <c r="AF386" s="350"/>
      <c r="AG386" s="349" t="s">
        <v>404</v>
      </c>
      <c r="AH386" s="350"/>
      <c r="AI386" s="349"/>
      <c r="AJ386" s="349"/>
      <c r="AK386" s="9">
        <f t="shared" si="44"/>
        <v>0</v>
      </c>
    </row>
    <row r="387" spans="29:37" ht="15.75">
      <c r="AC387" s="9">
        <f t="shared" si="43"/>
        <v>2600000</v>
      </c>
      <c r="AE387" s="9">
        <v>53700</v>
      </c>
      <c r="AF387" s="9">
        <f>SUM(AD386:AE387)</f>
        <v>310950</v>
      </c>
      <c r="AG387" s="256" t="s">
        <v>405</v>
      </c>
      <c r="AH387" s="9">
        <v>239800</v>
      </c>
      <c r="AI387" s="256">
        <f>AI385+1</f>
        <v>7</v>
      </c>
      <c r="AJ387" s="256">
        <f>(+AF387/(1960987552))*229000</f>
        <v>36.312086697019481</v>
      </c>
      <c r="AK387" s="9">
        <f t="shared" si="44"/>
        <v>550750</v>
      </c>
    </row>
    <row r="388" spans="29:37">
      <c r="AC388" s="266">
        <f t="shared" si="43"/>
        <v>2600000</v>
      </c>
      <c r="AD388" s="266">
        <f>AD386</f>
        <v>200000</v>
      </c>
      <c r="AE388" s="266">
        <f>AE387</f>
        <v>53700</v>
      </c>
      <c r="AF388" s="350"/>
      <c r="AG388" s="349" t="s">
        <v>406</v>
      </c>
      <c r="AH388" s="350"/>
      <c r="AI388" s="349"/>
      <c r="AJ388" s="349"/>
      <c r="AK388" s="9">
        <f t="shared" si="44"/>
        <v>0</v>
      </c>
    </row>
    <row r="389" spans="29:37" ht="15.75">
      <c r="AC389" s="9">
        <f t="shared" si="43"/>
        <v>2400000</v>
      </c>
      <c r="AE389" s="9">
        <v>50100</v>
      </c>
      <c r="AF389" s="9">
        <f>SUM(AD388:AE389)</f>
        <v>303800</v>
      </c>
      <c r="AG389" s="256" t="s">
        <v>407</v>
      </c>
      <c r="AH389" s="9">
        <v>239800</v>
      </c>
      <c r="AI389" s="256">
        <f>AI387+1</f>
        <v>8</v>
      </c>
      <c r="AJ389" s="256">
        <f>(+AF389/(1960987552))*229000</f>
        <v>35.477124742095249</v>
      </c>
      <c r="AK389" s="9">
        <f t="shared" si="44"/>
        <v>543600</v>
      </c>
    </row>
    <row r="390" spans="29:37">
      <c r="AC390" s="266">
        <f t="shared" si="43"/>
        <v>2400000</v>
      </c>
      <c r="AD390" s="266">
        <f>AD388</f>
        <v>200000</v>
      </c>
      <c r="AE390" s="266">
        <f>AE389</f>
        <v>50100</v>
      </c>
      <c r="AF390" s="350"/>
      <c r="AG390" s="349" t="s">
        <v>408</v>
      </c>
      <c r="AH390" s="350"/>
      <c r="AI390" s="349"/>
      <c r="AJ390" s="349"/>
      <c r="AK390" s="9">
        <f t="shared" si="44"/>
        <v>0</v>
      </c>
    </row>
    <row r="391" spans="29:37" ht="15.75">
      <c r="AC391" s="9">
        <f t="shared" si="43"/>
        <v>2200000</v>
      </c>
      <c r="AE391" s="9">
        <v>46450</v>
      </c>
      <c r="AF391" s="9">
        <f>SUM(AD390:AE391)</f>
        <v>296550</v>
      </c>
      <c r="AG391" s="256" t="s">
        <v>327</v>
      </c>
      <c r="AH391" s="9">
        <v>239800</v>
      </c>
      <c r="AI391" s="256">
        <f>AI389+1</f>
        <v>9</v>
      </c>
      <c r="AJ391" s="256">
        <f>(+AF391/(1960987552))*229000</f>
        <v>34.630484997591658</v>
      </c>
      <c r="AK391" s="9">
        <f t="shared" si="44"/>
        <v>536350</v>
      </c>
    </row>
    <row r="392" spans="29:37">
      <c r="AC392" s="266">
        <f t="shared" si="43"/>
        <v>2200000</v>
      </c>
      <c r="AD392" s="266">
        <f>AD390</f>
        <v>200000</v>
      </c>
      <c r="AE392" s="266">
        <f>AE391</f>
        <v>46450</v>
      </c>
      <c r="AF392" s="350"/>
      <c r="AG392" s="349" t="s">
        <v>329</v>
      </c>
      <c r="AH392" s="350"/>
      <c r="AI392" s="349"/>
      <c r="AJ392" s="349"/>
      <c r="AK392" s="9">
        <f t="shared" si="44"/>
        <v>0</v>
      </c>
    </row>
    <row r="393" spans="29:37" ht="15.75">
      <c r="AC393" s="9">
        <f t="shared" si="43"/>
        <v>2000000</v>
      </c>
      <c r="AE393" s="9">
        <v>42700</v>
      </c>
      <c r="AF393" s="9">
        <f>SUM(AD392:AE393)</f>
        <v>289150</v>
      </c>
      <c r="AG393" s="256" t="s">
        <v>331</v>
      </c>
      <c r="AH393" s="9">
        <v>239800</v>
      </c>
      <c r="AI393" s="256">
        <f>AI391+1</f>
        <v>10</v>
      </c>
      <c r="AJ393" s="256">
        <f>(+AF393/(1960987552))*229000</f>
        <v>33.766328568719032</v>
      </c>
      <c r="AK393" s="9">
        <f t="shared" si="44"/>
        <v>528950</v>
      </c>
    </row>
    <row r="394" spans="29:37">
      <c r="AC394" s="266">
        <f t="shared" si="43"/>
        <v>2000000</v>
      </c>
      <c r="AD394" s="266">
        <f>AD392</f>
        <v>200000</v>
      </c>
      <c r="AE394" s="266">
        <f>AE393</f>
        <v>42700</v>
      </c>
      <c r="AF394" s="350"/>
      <c r="AG394" s="349" t="s">
        <v>333</v>
      </c>
      <c r="AH394" s="350"/>
      <c r="AI394" s="349"/>
      <c r="AJ394" s="349"/>
      <c r="AK394" s="9">
        <f t="shared" si="44"/>
        <v>0</v>
      </c>
    </row>
    <row r="395" spans="29:37" ht="15.75">
      <c r="AC395" s="9">
        <f t="shared" si="43"/>
        <v>1800000</v>
      </c>
      <c r="AE395" s="9">
        <v>38800</v>
      </c>
      <c r="AF395" s="9">
        <f>SUM(AD394:AE395)</f>
        <v>281500</v>
      </c>
      <c r="AG395" s="256" t="s">
        <v>335</v>
      </c>
      <c r="AH395" s="9">
        <v>239800</v>
      </c>
      <c r="AI395" s="256">
        <f>AI393+1</f>
        <v>11</v>
      </c>
      <c r="AJ395" s="256">
        <f>(+AF395/(1960987552))*229000</f>
        <v>32.872977665898006</v>
      </c>
      <c r="AK395" s="9">
        <f t="shared" si="44"/>
        <v>521300</v>
      </c>
    </row>
    <row r="396" spans="29:37">
      <c r="AC396" s="266">
        <f t="shared" si="43"/>
        <v>1800000</v>
      </c>
      <c r="AD396" s="266">
        <f>AD394</f>
        <v>200000</v>
      </c>
      <c r="AE396" s="266">
        <f>AE395</f>
        <v>38800</v>
      </c>
      <c r="AF396" s="350"/>
      <c r="AG396" s="349" t="s">
        <v>337</v>
      </c>
      <c r="AH396" s="350"/>
      <c r="AI396" s="349"/>
      <c r="AJ396" s="349"/>
      <c r="AK396" s="9">
        <f t="shared" si="44"/>
        <v>0</v>
      </c>
    </row>
    <row r="397" spans="29:37" ht="15.75">
      <c r="AC397" s="9">
        <f t="shared" si="43"/>
        <v>1600000</v>
      </c>
      <c r="AE397" s="9">
        <v>34800</v>
      </c>
      <c r="AF397" s="9">
        <f>SUM(AD396:AE397)</f>
        <v>273600</v>
      </c>
      <c r="AG397" s="256" t="s">
        <v>339</v>
      </c>
      <c r="AH397" s="9">
        <v>239800</v>
      </c>
      <c r="AI397" s="256">
        <f>AI395+1</f>
        <v>12</v>
      </c>
      <c r="AJ397" s="256">
        <f>(+AF397/(1960987552))*229000</f>
        <v>31.950432289128578</v>
      </c>
      <c r="AK397" s="9">
        <f t="shared" si="44"/>
        <v>513400</v>
      </c>
    </row>
    <row r="398" spans="29:37">
      <c r="AC398" s="266">
        <f t="shared" si="43"/>
        <v>1600000</v>
      </c>
      <c r="AD398" s="266">
        <f>AD396</f>
        <v>200000</v>
      </c>
      <c r="AE398" s="266">
        <f>AE397</f>
        <v>34800</v>
      </c>
      <c r="AF398" s="350"/>
      <c r="AG398" s="349" t="s">
        <v>341</v>
      </c>
      <c r="AH398" s="350"/>
      <c r="AI398" s="349"/>
      <c r="AJ398" s="349"/>
      <c r="AK398" s="9">
        <f t="shared" si="44"/>
        <v>0</v>
      </c>
    </row>
    <row r="399" spans="29:37" ht="15.75">
      <c r="AC399" s="9">
        <f t="shared" si="43"/>
        <v>1400000</v>
      </c>
      <c r="AE399" s="9">
        <v>30700</v>
      </c>
      <c r="AF399" s="9">
        <f>SUM(AD398:AE399)</f>
        <v>265500</v>
      </c>
      <c r="AG399" s="256" t="s">
        <v>343</v>
      </c>
      <c r="AH399" s="9">
        <v>239800</v>
      </c>
      <c r="AI399" s="256">
        <f>AI397+1</f>
        <v>13</v>
      </c>
      <c r="AJ399" s="256">
        <f>(+AF399/(1960987552))*229000</f>
        <v>31.004531333200426</v>
      </c>
      <c r="AK399" s="9">
        <f t="shared" si="44"/>
        <v>505300</v>
      </c>
    </row>
    <row r="400" spans="29:37">
      <c r="AC400" s="266">
        <f t="shared" si="43"/>
        <v>1400000</v>
      </c>
      <c r="AD400" s="266">
        <f>AD398</f>
        <v>200000</v>
      </c>
      <c r="AE400" s="266">
        <f>AE399</f>
        <v>30700</v>
      </c>
      <c r="AF400" s="350"/>
      <c r="AG400" s="349" t="s">
        <v>345</v>
      </c>
      <c r="AH400" s="350"/>
      <c r="AI400" s="349"/>
      <c r="AJ400" s="349"/>
      <c r="AK400" s="9">
        <f t="shared" si="44"/>
        <v>0</v>
      </c>
    </row>
    <row r="401" spans="28:37" ht="15.75">
      <c r="AC401" s="9">
        <f t="shared" si="43"/>
        <v>1200000</v>
      </c>
      <c r="AE401" s="9">
        <v>26500</v>
      </c>
      <c r="AF401" s="9">
        <f>SUM(AD400:AE401)</f>
        <v>257200</v>
      </c>
      <c r="AG401" s="256" t="s">
        <v>347</v>
      </c>
      <c r="AH401" s="9">
        <v>239800</v>
      </c>
      <c r="AI401" s="256">
        <f>AI399+1</f>
        <v>14</v>
      </c>
      <c r="AJ401" s="256">
        <f>(+AF401/(1960987552))*229000</f>
        <v>30.035274798113559</v>
      </c>
      <c r="AK401" s="9">
        <f t="shared" si="44"/>
        <v>497000</v>
      </c>
    </row>
    <row r="402" spans="28:37">
      <c r="AC402" s="266">
        <f t="shared" si="43"/>
        <v>1200000</v>
      </c>
      <c r="AD402" s="266">
        <f>AD400</f>
        <v>200000</v>
      </c>
      <c r="AE402" s="266">
        <f>AE401</f>
        <v>26500</v>
      </c>
      <c r="AF402" s="350"/>
      <c r="AG402" s="349" t="s">
        <v>349</v>
      </c>
      <c r="AH402" s="350"/>
      <c r="AI402" s="349"/>
      <c r="AJ402" s="349"/>
      <c r="AK402" s="9">
        <f t="shared" si="44"/>
        <v>0</v>
      </c>
    </row>
    <row r="403" spans="28:37" ht="15.75">
      <c r="AC403" s="9">
        <f t="shared" si="43"/>
        <v>1000000</v>
      </c>
      <c r="AE403" s="9">
        <v>22200</v>
      </c>
      <c r="AF403" s="9">
        <f>SUM(AD402:AE403)</f>
        <v>248700</v>
      </c>
      <c r="AG403" s="256" t="s">
        <v>351</v>
      </c>
      <c r="AH403" s="9">
        <v>239800</v>
      </c>
      <c r="AI403" s="256">
        <f>AI401+1</f>
        <v>15</v>
      </c>
      <c r="AJ403" s="256">
        <f>(+AF403/(1960987552))*229000</f>
        <v>29.04266268386797</v>
      </c>
      <c r="AK403" s="9">
        <f t="shared" si="44"/>
        <v>488500</v>
      </c>
    </row>
    <row r="404" spans="28:37">
      <c r="AC404" s="266">
        <f t="shared" si="43"/>
        <v>1000000</v>
      </c>
      <c r="AD404" s="266">
        <f>AD402</f>
        <v>200000</v>
      </c>
      <c r="AE404" s="266">
        <f>AE403</f>
        <v>22200</v>
      </c>
      <c r="AF404" s="350"/>
      <c r="AG404" s="349" t="s">
        <v>353</v>
      </c>
      <c r="AH404" s="350"/>
      <c r="AI404" s="349"/>
      <c r="AJ404" s="349"/>
      <c r="AK404" s="9">
        <f t="shared" si="44"/>
        <v>0</v>
      </c>
    </row>
    <row r="405" spans="28:37" ht="15.75">
      <c r="AC405" s="9">
        <f t="shared" si="43"/>
        <v>800000</v>
      </c>
      <c r="AE405" s="9">
        <v>17800</v>
      </c>
      <c r="AF405" s="9">
        <f>SUM(AD404:AE405)</f>
        <v>240000</v>
      </c>
      <c r="AG405" s="256" t="s">
        <v>355</v>
      </c>
      <c r="AH405" s="9">
        <v>239800</v>
      </c>
      <c r="AI405" s="256">
        <f>AI403+1</f>
        <v>16</v>
      </c>
      <c r="AJ405" s="256">
        <f>(+AF405/(1960987552))*229000</f>
        <v>28.026694990463664</v>
      </c>
      <c r="AK405" s="9">
        <f t="shared" si="44"/>
        <v>479800</v>
      </c>
    </row>
    <row r="406" spans="28:37">
      <c r="AC406" s="266">
        <f t="shared" si="43"/>
        <v>800000</v>
      </c>
      <c r="AD406" s="266">
        <f>AD404</f>
        <v>200000</v>
      </c>
      <c r="AE406" s="266">
        <f>AE405</f>
        <v>17800</v>
      </c>
      <c r="AF406" s="350"/>
      <c r="AG406" s="349" t="s">
        <v>356</v>
      </c>
      <c r="AH406" s="350"/>
      <c r="AI406" s="349"/>
      <c r="AJ406" s="349"/>
      <c r="AK406" s="9">
        <f t="shared" si="44"/>
        <v>0</v>
      </c>
    </row>
    <row r="407" spans="28:37" ht="15.75">
      <c r="AC407" s="9">
        <f t="shared" si="43"/>
        <v>600000</v>
      </c>
      <c r="AE407" s="9">
        <v>13400</v>
      </c>
      <c r="AF407" s="9">
        <f>SUM(AD406:AE407)</f>
        <v>231200</v>
      </c>
      <c r="AG407" s="256" t="s">
        <v>357</v>
      </c>
      <c r="AH407" s="9">
        <v>239800</v>
      </c>
      <c r="AI407" s="256">
        <f>AI405+1</f>
        <v>17</v>
      </c>
      <c r="AJ407" s="256">
        <f>(+AF407/(1960987552))*229000</f>
        <v>26.999049507479995</v>
      </c>
      <c r="AK407" s="9">
        <f t="shared" si="44"/>
        <v>471000</v>
      </c>
    </row>
    <row r="408" spans="28:37">
      <c r="AC408" s="266">
        <f t="shared" si="43"/>
        <v>600000</v>
      </c>
      <c r="AD408" s="266">
        <f>AD406</f>
        <v>200000</v>
      </c>
      <c r="AE408" s="266">
        <f>AE407</f>
        <v>13400</v>
      </c>
      <c r="AF408" s="350"/>
      <c r="AG408" s="349" t="s">
        <v>358</v>
      </c>
      <c r="AH408" s="350"/>
      <c r="AI408" s="349"/>
      <c r="AJ408" s="349"/>
      <c r="AK408" s="9">
        <f t="shared" si="44"/>
        <v>0</v>
      </c>
    </row>
    <row r="409" spans="28:37" ht="15.75">
      <c r="AC409" s="9">
        <f t="shared" si="43"/>
        <v>400000</v>
      </c>
      <c r="AE409" s="9">
        <v>9000</v>
      </c>
      <c r="AF409" s="9">
        <f>SUM(AD408:AE409)</f>
        <v>222400</v>
      </c>
      <c r="AG409" s="256" t="s">
        <v>359</v>
      </c>
      <c r="AH409" s="9">
        <v>239800</v>
      </c>
      <c r="AI409" s="256">
        <f>AI407+1</f>
        <v>18</v>
      </c>
      <c r="AJ409" s="256">
        <f>(+AF409/(1960987552))*229000</f>
        <v>25.971404024496326</v>
      </c>
      <c r="AK409" s="9">
        <f t="shared" si="44"/>
        <v>462200</v>
      </c>
    </row>
    <row r="410" spans="28:37">
      <c r="AC410" s="266">
        <f t="shared" si="43"/>
        <v>400000</v>
      </c>
      <c r="AD410" s="266">
        <f>AD408</f>
        <v>200000</v>
      </c>
      <c r="AE410" s="266">
        <f>AE409</f>
        <v>9000</v>
      </c>
      <c r="AF410" s="350"/>
      <c r="AG410" s="349" t="s">
        <v>360</v>
      </c>
      <c r="AH410" s="350"/>
      <c r="AI410" s="349"/>
      <c r="AJ410" s="349"/>
      <c r="AK410" s="9">
        <f t="shared" si="44"/>
        <v>0</v>
      </c>
    </row>
    <row r="411" spans="28:37" ht="15.75">
      <c r="AC411" s="9">
        <f t="shared" si="43"/>
        <v>200000</v>
      </c>
      <c r="AE411" s="9">
        <f>AC411*$AC$366/2</f>
        <v>4500</v>
      </c>
      <c r="AF411" s="9">
        <f>SUM(AD410:AE411)</f>
        <v>213500</v>
      </c>
      <c r="AG411" s="256" t="s">
        <v>362</v>
      </c>
      <c r="AH411" s="9">
        <v>239800</v>
      </c>
      <c r="AI411" s="256">
        <f>AI409+1</f>
        <v>19</v>
      </c>
      <c r="AJ411" s="256">
        <f>(+AF411/(1960987552))*229000</f>
        <v>24.932080751933299</v>
      </c>
      <c r="AK411" s="9">
        <f t="shared" si="44"/>
        <v>453300</v>
      </c>
    </row>
    <row r="412" spans="28:37">
      <c r="AC412" s="266">
        <f t="shared" si="43"/>
        <v>200000</v>
      </c>
      <c r="AD412" s="266">
        <f>AD410</f>
        <v>200000</v>
      </c>
      <c r="AE412" s="266">
        <f>AE411</f>
        <v>4500</v>
      </c>
      <c r="AF412" s="350"/>
      <c r="AG412" s="349" t="s">
        <v>363</v>
      </c>
      <c r="AH412" s="350"/>
      <c r="AI412" s="349"/>
      <c r="AJ412" s="349"/>
      <c r="AK412" s="9">
        <f t="shared" si="44"/>
        <v>0</v>
      </c>
    </row>
    <row r="413" spans="28:37" ht="15.75">
      <c r="AC413" s="9">
        <f t="shared" si="43"/>
        <v>0</v>
      </c>
      <c r="AE413" s="9">
        <f>AC413*$AC$366/2</f>
        <v>0</v>
      </c>
      <c r="AF413" s="9">
        <f>SUM(AD412:AE413)</f>
        <v>204500</v>
      </c>
      <c r="AG413" s="256" t="s">
        <v>364</v>
      </c>
      <c r="AH413" s="9">
        <v>239800</v>
      </c>
      <c r="AI413" s="256">
        <f>AI411+1</f>
        <v>20</v>
      </c>
      <c r="AJ413" s="256">
        <f>(+AF413/(1960987552))*229000</f>
        <v>23.881079689790912</v>
      </c>
      <c r="AK413" s="9">
        <f t="shared" si="44"/>
        <v>444300</v>
      </c>
    </row>
    <row r="414" spans="28:37">
      <c r="AC414" s="266"/>
      <c r="AD414" s="266">
        <f>SUM(AD369:AD413)</f>
        <v>4000000</v>
      </c>
      <c r="AE414" s="266">
        <f>SUM(AE369:AE413)</f>
        <v>2115802.5922222221</v>
      </c>
      <c r="AF414" s="266"/>
      <c r="AG414" s="266"/>
      <c r="AH414" s="266">
        <f>SUM(AH375:AH413)</f>
        <v>4796000</v>
      </c>
      <c r="AI414" s="266"/>
      <c r="AJ414" s="349"/>
    </row>
    <row r="415" spans="28:37">
      <c r="AE415" s="9">
        <f>AE414+AD414+1200000</f>
        <v>7315802.5922222221</v>
      </c>
      <c r="AF415" s="9">
        <f>AE415*0.61</f>
        <v>4462639.5812555552</v>
      </c>
      <c r="AH415" s="335"/>
    </row>
    <row r="416" spans="28:37">
      <c r="AB416" s="11" t="s">
        <v>9</v>
      </c>
      <c r="AG416" s="344"/>
    </row>
    <row r="417" spans="28:36">
      <c r="AB417" s="11" t="s">
        <v>39</v>
      </c>
      <c r="AC417" s="9">
        <f>5680000-300000</f>
        <v>5380000</v>
      </c>
      <c r="AD417" s="342"/>
      <c r="AE417" s="342"/>
      <c r="AF417" s="342"/>
      <c r="AG417" s="344"/>
    </row>
    <row r="418" spans="28:36">
      <c r="AB418" s="11" t="s">
        <v>40</v>
      </c>
      <c r="AC418" s="355">
        <v>4.5284573000000002E-2</v>
      </c>
      <c r="AG418" s="344"/>
    </row>
    <row r="419" spans="28:36">
      <c r="AB419" s="11" t="s">
        <v>41</v>
      </c>
      <c r="AC419" s="9">
        <v>20</v>
      </c>
      <c r="AD419" s="335"/>
      <c r="AG419" s="344"/>
      <c r="AJ419" s="9" t="s">
        <v>324</v>
      </c>
    </row>
    <row r="420" spans="28:36">
      <c r="AB420" s="11"/>
      <c r="AC420" s="342" t="s">
        <v>43</v>
      </c>
      <c r="AD420" s="342" t="s">
        <v>44</v>
      </c>
      <c r="AE420" s="341" t="s">
        <v>45</v>
      </c>
      <c r="AF420" s="341" t="s">
        <v>46</v>
      </c>
      <c r="AJ420" s="259" t="s">
        <v>326</v>
      </c>
    </row>
    <row r="421" spans="28:36">
      <c r="AB421" s="11" t="s">
        <v>409</v>
      </c>
      <c r="AC421" s="11">
        <v>0</v>
      </c>
      <c r="AD421" s="11">
        <v>630000</v>
      </c>
      <c r="AE421" s="341"/>
      <c r="AF421" s="11"/>
      <c r="AG421" s="356">
        <v>35414</v>
      </c>
      <c r="AJ421" s="338"/>
    </row>
    <row r="422" spans="28:36" ht="15.75">
      <c r="AC422" s="9">
        <v>0</v>
      </c>
      <c r="AE422" s="9">
        <v>0</v>
      </c>
      <c r="AF422" s="9">
        <f>SUM(AD421:AE422)</f>
        <v>630000</v>
      </c>
      <c r="AG422" s="356">
        <v>35596</v>
      </c>
      <c r="AJ422" s="256">
        <f>(+AF422/(1960987552))*229000</f>
        <v>73.570074349967115</v>
      </c>
    </row>
    <row r="423" spans="28:36">
      <c r="AB423" s="11" t="s">
        <v>410</v>
      </c>
      <c r="AC423" s="266"/>
      <c r="AD423" s="266">
        <v>430073</v>
      </c>
      <c r="AE423" s="266">
        <v>2000</v>
      </c>
      <c r="AF423" s="350"/>
      <c r="AG423" s="357">
        <v>35827</v>
      </c>
      <c r="AJ423" s="349"/>
    </row>
    <row r="424" spans="28:36" ht="15.75">
      <c r="AB424" s="11" t="s">
        <v>411</v>
      </c>
      <c r="AC424" s="9">
        <v>4321000</v>
      </c>
      <c r="AF424" s="9">
        <f>SUM(AD423:AE424)</f>
        <v>432073</v>
      </c>
      <c r="AG424" s="356">
        <v>35827</v>
      </c>
      <c r="AJ424" s="256">
        <f>(+AF424/(1960987552))*229000</f>
        <v>50.45657576922752</v>
      </c>
    </row>
    <row r="425" spans="28:36">
      <c r="AC425" s="266">
        <f t="shared" ref="AC425:AC464" si="45">AC424-AD424</f>
        <v>4321000</v>
      </c>
      <c r="AD425" s="266"/>
      <c r="AE425" s="266">
        <v>99996.25</v>
      </c>
      <c r="AF425" s="350"/>
      <c r="AG425" s="357">
        <v>36022</v>
      </c>
      <c r="AJ425" s="349"/>
    </row>
    <row r="426" spans="28:36" ht="15.75">
      <c r="AC426" s="9">
        <f t="shared" si="45"/>
        <v>4321000</v>
      </c>
      <c r="AD426" s="9">
        <v>221000</v>
      </c>
      <c r="AE426" s="9">
        <f>AE425</f>
        <v>99996.25</v>
      </c>
      <c r="AF426" s="9">
        <f>SUM(AD425:AE426)</f>
        <v>420992.5</v>
      </c>
      <c r="AG426" s="356">
        <v>36206</v>
      </c>
      <c r="AJ426" s="256">
        <f>(+AF426/(1960987552))*229000</f>
        <v>49.162618294886556</v>
      </c>
    </row>
    <row r="427" spans="28:36">
      <c r="AC427" s="266">
        <f t="shared" si="45"/>
        <v>4100000</v>
      </c>
      <c r="AD427" s="266"/>
      <c r="AE427" s="266">
        <v>93366.25</v>
      </c>
      <c r="AF427" s="350"/>
      <c r="AG427" s="357">
        <v>36387</v>
      </c>
      <c r="AJ427" s="349"/>
    </row>
    <row r="428" spans="28:36" ht="15.75">
      <c r="AB428" s="11"/>
      <c r="AC428" s="9">
        <f t="shared" si="45"/>
        <v>4100000</v>
      </c>
      <c r="AD428" s="9">
        <v>225000</v>
      </c>
      <c r="AE428" s="9">
        <f>AE427</f>
        <v>93366.25</v>
      </c>
      <c r="AF428" s="9">
        <f>SUM(AD427:AE428)</f>
        <v>411732.5</v>
      </c>
      <c r="AG428" s="356">
        <v>36571</v>
      </c>
      <c r="AJ428" s="256">
        <f>(+AF428/(1960987552))*229000</f>
        <v>48.081254979837837</v>
      </c>
    </row>
    <row r="429" spans="28:36">
      <c r="AC429" s="266">
        <f t="shared" si="45"/>
        <v>3875000</v>
      </c>
      <c r="AD429" s="266"/>
      <c r="AE429" s="266">
        <v>86616.25</v>
      </c>
      <c r="AF429" s="350"/>
      <c r="AG429" s="357">
        <v>36753</v>
      </c>
      <c r="AJ429" s="349"/>
    </row>
    <row r="430" spans="28:36" ht="15.75">
      <c r="AC430" s="9">
        <f t="shared" si="45"/>
        <v>3875000</v>
      </c>
      <c r="AD430" s="9">
        <f>AD428</f>
        <v>225000</v>
      </c>
      <c r="AE430" s="9">
        <f>AE429</f>
        <v>86616.25</v>
      </c>
      <c r="AF430" s="9">
        <f>SUM(AD429:AE430)</f>
        <v>398232.5</v>
      </c>
      <c r="AG430" s="356">
        <v>36937</v>
      </c>
      <c r="AJ430" s="256">
        <f>(+AF430/(1960987552))*229000</f>
        <v>46.504753386624252</v>
      </c>
    </row>
    <row r="431" spans="28:36">
      <c r="AC431" s="266">
        <f t="shared" si="45"/>
        <v>3650000</v>
      </c>
      <c r="AD431" s="266"/>
      <c r="AE431" s="266">
        <v>80091.25</v>
      </c>
      <c r="AF431" s="350"/>
      <c r="AG431" s="357">
        <v>37118</v>
      </c>
      <c r="AJ431" s="349"/>
    </row>
    <row r="432" spans="28:36" ht="15.75">
      <c r="AC432" s="9">
        <f t="shared" si="45"/>
        <v>3650000</v>
      </c>
      <c r="AD432" s="9">
        <f>AD430</f>
        <v>225000</v>
      </c>
      <c r="AE432" s="9">
        <f>AE431</f>
        <v>80091.25</v>
      </c>
      <c r="AF432" s="9">
        <f>SUM(AD431:AE432)-AH432</f>
        <v>385182.5</v>
      </c>
      <c r="AG432" s="356">
        <v>37302</v>
      </c>
      <c r="AJ432" s="256">
        <f>(+AF432/(1960987552))*229000</f>
        <v>44.980801846517792</v>
      </c>
    </row>
    <row r="433" spans="29:36">
      <c r="AC433" s="266">
        <f t="shared" si="45"/>
        <v>3425000</v>
      </c>
      <c r="AD433" s="266"/>
      <c r="AE433" s="266">
        <v>75028.75</v>
      </c>
      <c r="AF433" s="350"/>
      <c r="AG433" s="357">
        <v>37483</v>
      </c>
      <c r="AJ433" s="349"/>
    </row>
    <row r="434" spans="29:36" ht="15.75">
      <c r="AC434" s="9">
        <f t="shared" si="45"/>
        <v>3425000</v>
      </c>
      <c r="AD434" s="9">
        <v>215000</v>
      </c>
      <c r="AE434" s="9">
        <f>AE433</f>
        <v>75028.75</v>
      </c>
      <c r="AF434" s="9">
        <f>SUM(AD433:AE434)-AH434</f>
        <v>365057.5</v>
      </c>
      <c r="AG434" s="356">
        <v>37667</v>
      </c>
      <c r="AJ434" s="256">
        <f>(+AF434/(1960987552))*229000</f>
        <v>42.630646693671615</v>
      </c>
    </row>
    <row r="435" spans="29:36">
      <c r="AC435" s="266">
        <f t="shared" si="45"/>
        <v>3210000</v>
      </c>
      <c r="AD435" s="266"/>
      <c r="AE435" s="266">
        <v>70782.5</v>
      </c>
      <c r="AF435" s="350"/>
      <c r="AG435" s="357">
        <v>37848</v>
      </c>
      <c r="AJ435" s="349"/>
    </row>
    <row r="436" spans="29:36" ht="15.75">
      <c r="AC436" s="9">
        <f t="shared" si="45"/>
        <v>3210000</v>
      </c>
      <c r="AD436" s="9">
        <v>215000</v>
      </c>
      <c r="AE436" s="9">
        <f>AE435</f>
        <v>70782.5</v>
      </c>
      <c r="AF436" s="9">
        <f>SUM(AD435:AE436)-AH436</f>
        <v>356565</v>
      </c>
      <c r="AG436" s="356">
        <v>38032</v>
      </c>
      <c r="AJ436" s="256">
        <f>(+AF436/(1960987552))*229000</f>
        <v>41.638910413644481</v>
      </c>
    </row>
    <row r="437" spans="29:36">
      <c r="AC437" s="266">
        <f t="shared" si="45"/>
        <v>2995000</v>
      </c>
      <c r="AD437" s="266"/>
      <c r="AE437" s="266">
        <v>66482.5</v>
      </c>
      <c r="AF437" s="350"/>
      <c r="AG437" s="357">
        <v>38214</v>
      </c>
      <c r="AJ437" s="349"/>
    </row>
    <row r="438" spans="29:36" ht="15.75">
      <c r="AC438" s="9">
        <f t="shared" si="45"/>
        <v>2995000</v>
      </c>
      <c r="AD438" s="9">
        <v>220000</v>
      </c>
      <c r="AE438" s="9">
        <f>AE437</f>
        <v>66482.5</v>
      </c>
      <c r="AF438" s="9">
        <f>SUM(AD437:AE438)-AH438</f>
        <v>352965</v>
      </c>
      <c r="AG438" s="356">
        <v>38398</v>
      </c>
      <c r="AJ438" s="256">
        <f>(+AF438/(1960987552))*229000</f>
        <v>41.218509988787524</v>
      </c>
    </row>
    <row r="439" spans="29:36">
      <c r="AC439" s="266">
        <f t="shared" si="45"/>
        <v>2775000</v>
      </c>
      <c r="AD439" s="266"/>
      <c r="AE439" s="266">
        <v>62027.5</v>
      </c>
      <c r="AF439" s="350"/>
      <c r="AG439" s="357">
        <v>38579</v>
      </c>
      <c r="AJ439" s="349"/>
    </row>
    <row r="440" spans="29:36" ht="15.75">
      <c r="AC440" s="9">
        <f t="shared" si="45"/>
        <v>2775000</v>
      </c>
      <c r="AD440" s="9">
        <v>240000</v>
      </c>
      <c r="AE440" s="9">
        <f>AE439</f>
        <v>62027.5</v>
      </c>
      <c r="AF440" s="9">
        <f>SUM(AD439:AE440)-AH440</f>
        <v>364055</v>
      </c>
      <c r="AG440" s="356">
        <v>38763</v>
      </c>
      <c r="AJ440" s="256">
        <f>(+AF440/(1960987552))*229000</f>
        <v>42.513576853138531</v>
      </c>
    </row>
    <row r="441" spans="29:36">
      <c r="AC441" s="266">
        <f t="shared" si="45"/>
        <v>2535000</v>
      </c>
      <c r="AD441" s="266"/>
      <c r="AE441" s="266">
        <v>57107.5</v>
      </c>
      <c r="AF441" s="350"/>
      <c r="AG441" s="357">
        <v>38944</v>
      </c>
      <c r="AJ441" s="349"/>
    </row>
    <row r="442" spans="29:36" ht="15.75">
      <c r="AC442" s="9">
        <f t="shared" si="45"/>
        <v>2535000</v>
      </c>
      <c r="AD442" s="9">
        <v>230000</v>
      </c>
      <c r="AE442" s="9">
        <f>AE441</f>
        <v>57107.5</v>
      </c>
      <c r="AF442" s="9">
        <f>SUM(AD441:AE442)-AH442</f>
        <v>344215</v>
      </c>
      <c r="AG442" s="356">
        <v>39128</v>
      </c>
      <c r="AJ442" s="256">
        <f>(+AF442/(1960987552))*229000</f>
        <v>40.196703400593542</v>
      </c>
    </row>
    <row r="443" spans="29:36">
      <c r="AC443" s="266">
        <f t="shared" si="45"/>
        <v>2305000</v>
      </c>
      <c r="AD443" s="266"/>
      <c r="AE443" s="266">
        <v>52335</v>
      </c>
      <c r="AF443" s="350"/>
      <c r="AG443" s="357">
        <v>39309</v>
      </c>
      <c r="AJ443" s="349"/>
    </row>
    <row r="444" spans="29:36" ht="15.75">
      <c r="AC444" s="9">
        <f t="shared" si="45"/>
        <v>2305000</v>
      </c>
      <c r="AD444" s="9">
        <v>225000</v>
      </c>
      <c r="AE444" s="9">
        <f>AE443</f>
        <v>52335</v>
      </c>
      <c r="AF444" s="9">
        <f>SUM(AD443:AE444)-AH444</f>
        <v>329670</v>
      </c>
      <c r="AG444" s="356">
        <v>39493</v>
      </c>
      <c r="AJ444" s="256">
        <f>(+AF444/(1960987552))*229000</f>
        <v>38.498168906275652</v>
      </c>
    </row>
    <row r="445" spans="29:36">
      <c r="AC445" s="266">
        <f t="shared" si="45"/>
        <v>2080000</v>
      </c>
      <c r="AD445" s="266"/>
      <c r="AE445" s="266">
        <v>47610</v>
      </c>
      <c r="AF445" s="350"/>
      <c r="AG445" s="357">
        <v>39675</v>
      </c>
      <c r="AJ445" s="349"/>
    </row>
    <row r="446" spans="29:36" ht="15.75">
      <c r="AC446" s="9">
        <f t="shared" si="45"/>
        <v>2080000</v>
      </c>
      <c r="AD446" s="9">
        <v>220000</v>
      </c>
      <c r="AE446" s="9">
        <f>AE445</f>
        <v>47610</v>
      </c>
      <c r="AF446" s="9">
        <f>SUM(AD445:AE446)-AH446</f>
        <v>0</v>
      </c>
      <c r="AG446" s="356">
        <v>39859</v>
      </c>
      <c r="AH446" s="9">
        <f>+AD446+AE446+AE445</f>
        <v>315220</v>
      </c>
      <c r="AJ446" s="256">
        <f>(+AF446/(1960987552))*229000</f>
        <v>0</v>
      </c>
    </row>
    <row r="447" spans="29:36">
      <c r="AC447" s="266">
        <f t="shared" si="45"/>
        <v>1860000</v>
      </c>
      <c r="AD447" s="266"/>
      <c r="AE447" s="266">
        <v>42880</v>
      </c>
      <c r="AF447" s="350"/>
      <c r="AG447" s="357">
        <v>40040</v>
      </c>
      <c r="AJ447" s="349"/>
    </row>
    <row r="448" spans="29:36" ht="15.75">
      <c r="AC448" s="9">
        <f t="shared" si="45"/>
        <v>1860000</v>
      </c>
      <c r="AD448" s="9">
        <f>AD446</f>
        <v>220000</v>
      </c>
      <c r="AE448" s="9">
        <f>AE447</f>
        <v>42880</v>
      </c>
      <c r="AF448" s="9">
        <f>SUM(AD447:AE448)-AH448</f>
        <v>305760</v>
      </c>
      <c r="AG448" s="356">
        <v>40224</v>
      </c>
      <c r="AJ448" s="256">
        <f>(+AF448/(1960987552))*229000</f>
        <v>35.706009417850709</v>
      </c>
    </row>
    <row r="449" spans="4:36">
      <c r="D449" s="358"/>
      <c r="E449" s="358"/>
      <c r="F449" s="339"/>
      <c r="G449" s="358"/>
      <c r="H449" s="358"/>
      <c r="AC449" s="266">
        <f t="shared" si="45"/>
        <v>1640000</v>
      </c>
      <c r="AD449" s="266"/>
      <c r="AE449" s="266">
        <v>38040</v>
      </c>
      <c r="AF449" s="350"/>
      <c r="AG449" s="357">
        <v>40405</v>
      </c>
      <c r="AJ449" s="349"/>
    </row>
    <row r="450" spans="4:36" ht="15.75">
      <c r="D450" s="358"/>
      <c r="E450" s="339"/>
      <c r="F450" s="339"/>
      <c r="G450" s="358"/>
      <c r="H450" s="339"/>
      <c r="AC450" s="9">
        <f t="shared" si="45"/>
        <v>1640000</v>
      </c>
      <c r="AD450" s="9">
        <v>220000</v>
      </c>
      <c r="AE450" s="9">
        <f>AE449</f>
        <v>38040</v>
      </c>
      <c r="AF450" s="9">
        <f>SUM(AD449:AE450)-AH450</f>
        <v>296080</v>
      </c>
      <c r="AG450" s="356">
        <v>40589</v>
      </c>
      <c r="AJ450" s="256">
        <f>(+AF450/(1960987552))*229000</f>
        <v>34.575599386568669</v>
      </c>
    </row>
    <row r="451" spans="4:36">
      <c r="D451" s="358"/>
      <c r="E451" s="339"/>
      <c r="F451" s="339"/>
      <c r="G451" s="358"/>
      <c r="H451" s="339"/>
      <c r="AC451" s="266">
        <f t="shared" si="45"/>
        <v>1420000</v>
      </c>
      <c r="AD451" s="266"/>
      <c r="AE451" s="266">
        <v>33200</v>
      </c>
      <c r="AF451" s="350"/>
      <c r="AG451" s="357">
        <v>40770</v>
      </c>
      <c r="AJ451" s="349"/>
    </row>
    <row r="452" spans="4:36" ht="15.75">
      <c r="E452" s="339"/>
      <c r="F452" s="339"/>
      <c r="H452" s="339"/>
      <c r="AC452" s="9">
        <f t="shared" si="45"/>
        <v>1420000</v>
      </c>
      <c r="AD452" s="9">
        <f>AD450</f>
        <v>220000</v>
      </c>
      <c r="AE452" s="9">
        <f>AE451</f>
        <v>33200</v>
      </c>
      <c r="AF452" s="9">
        <f>SUM(AD451:AE452)-AH452</f>
        <v>286400</v>
      </c>
      <c r="AG452" s="356">
        <v>40954</v>
      </c>
      <c r="AJ452" s="256">
        <f>(+AF452/(1960987552))*229000</f>
        <v>33.445189355286637</v>
      </c>
    </row>
    <row r="453" spans="4:36">
      <c r="E453" s="339"/>
      <c r="F453" s="339"/>
      <c r="AC453" s="266">
        <f t="shared" si="45"/>
        <v>1200000</v>
      </c>
      <c r="AD453" s="266"/>
      <c r="AE453" s="266">
        <v>28250</v>
      </c>
      <c r="AF453" s="350"/>
      <c r="AG453" s="357">
        <v>41136</v>
      </c>
      <c r="AJ453" s="349"/>
    </row>
    <row r="454" spans="4:36" ht="15.75">
      <c r="E454" s="339"/>
      <c r="F454" s="339"/>
      <c r="AC454" s="9">
        <f t="shared" si="45"/>
        <v>1200000</v>
      </c>
      <c r="AD454" s="9">
        <v>200000</v>
      </c>
      <c r="AE454" s="9">
        <f>AE453</f>
        <v>28250</v>
      </c>
      <c r="AF454" s="9">
        <f>SUM(AD453:AE454)-AH454</f>
        <v>256500</v>
      </c>
      <c r="AG454" s="356">
        <v>41320</v>
      </c>
      <c r="AJ454" s="256">
        <f>(+AF454/(1960987552))*229000</f>
        <v>29.953530271058035</v>
      </c>
    </row>
    <row r="455" spans="4:36">
      <c r="E455" s="339"/>
      <c r="F455" s="339"/>
      <c r="AC455" s="266">
        <f t="shared" si="45"/>
        <v>1000000</v>
      </c>
      <c r="AD455" s="266"/>
      <c r="AE455" s="266">
        <v>23650</v>
      </c>
      <c r="AF455" s="350"/>
      <c r="AG455" s="357">
        <v>41501</v>
      </c>
      <c r="AJ455" s="349"/>
    </row>
    <row r="456" spans="4:36" ht="15.75">
      <c r="E456" s="339"/>
      <c r="F456" s="339"/>
      <c r="AC456" s="9">
        <f t="shared" si="45"/>
        <v>1000000</v>
      </c>
      <c r="AD456" s="9">
        <f>AD454</f>
        <v>200000</v>
      </c>
      <c r="AE456" s="9">
        <f>AE455</f>
        <v>23650</v>
      </c>
      <c r="AF456" s="9">
        <f>SUM(AD455:AE456)-AH456</f>
        <v>247300</v>
      </c>
      <c r="AG456" s="356">
        <v>41685</v>
      </c>
      <c r="AJ456" s="256">
        <f>(+AF456/(1960987552))*229000</f>
        <v>28.879173629756934</v>
      </c>
    </row>
    <row r="457" spans="4:36">
      <c r="D457" s="14"/>
      <c r="E457" s="14"/>
      <c r="F457" s="14"/>
      <c r="AC457" s="266">
        <f t="shared" si="45"/>
        <v>800000</v>
      </c>
      <c r="AD457" s="266"/>
      <c r="AE457" s="266">
        <v>19000</v>
      </c>
      <c r="AF457" s="350"/>
      <c r="AG457" s="357">
        <v>41866</v>
      </c>
      <c r="AJ457" s="349"/>
    </row>
    <row r="458" spans="4:36" ht="15.75">
      <c r="D458" s="14"/>
      <c r="E458" s="14"/>
      <c r="F458" s="14"/>
      <c r="G458" s="339"/>
      <c r="AC458" s="9">
        <f t="shared" si="45"/>
        <v>800000</v>
      </c>
      <c r="AD458" s="9">
        <f>AD456</f>
        <v>200000</v>
      </c>
      <c r="AE458" s="9">
        <f>AE457</f>
        <v>19000</v>
      </c>
      <c r="AF458" s="9">
        <f>SUM(AD457:AE458)-AH458</f>
        <v>238000</v>
      </c>
      <c r="AG458" s="356">
        <v>42050</v>
      </c>
      <c r="AJ458" s="256">
        <f>(+AF458/(1960987552))*229000</f>
        <v>27.793139198876464</v>
      </c>
    </row>
    <row r="459" spans="4:36">
      <c r="D459" s="14"/>
      <c r="E459" s="14"/>
      <c r="F459" s="14"/>
      <c r="G459" s="339"/>
      <c r="AC459" s="266">
        <f t="shared" si="45"/>
        <v>600000</v>
      </c>
      <c r="AD459" s="266"/>
      <c r="AE459" s="266">
        <v>14300</v>
      </c>
      <c r="AF459" s="350"/>
      <c r="AG459" s="357">
        <v>42231</v>
      </c>
      <c r="AJ459" s="349"/>
    </row>
    <row r="460" spans="4:36" ht="15.75">
      <c r="D460" s="14"/>
      <c r="E460" s="14"/>
      <c r="F460" s="14"/>
      <c r="G460" s="339"/>
      <c r="AC460" s="9">
        <f t="shared" si="45"/>
        <v>600000</v>
      </c>
      <c r="AD460" s="9">
        <f>AD458</f>
        <v>200000</v>
      </c>
      <c r="AE460" s="9">
        <f>AE459</f>
        <v>14300</v>
      </c>
      <c r="AF460" s="9">
        <f>SUM(AD459:AE460)-AH460</f>
        <v>228600</v>
      </c>
      <c r="AG460" s="356">
        <v>42415</v>
      </c>
      <c r="AJ460" s="256">
        <f>(+AF460/(1960987552))*229000</f>
        <v>26.695426978416638</v>
      </c>
    </row>
    <row r="461" spans="4:36">
      <c r="D461" s="14"/>
      <c r="E461" s="14"/>
      <c r="F461" s="14"/>
      <c r="G461" s="339"/>
      <c r="AC461" s="266">
        <f t="shared" si="45"/>
        <v>400000</v>
      </c>
      <c r="AD461" s="266"/>
      <c r="AE461" s="266">
        <v>9550</v>
      </c>
      <c r="AF461" s="350"/>
      <c r="AG461" s="357">
        <v>42597</v>
      </c>
      <c r="AJ461" s="349"/>
    </row>
    <row r="462" spans="4:36" ht="15.75">
      <c r="D462" s="14"/>
      <c r="E462" s="14"/>
      <c r="F462" s="14"/>
      <c r="G462" s="339"/>
      <c r="AC462" s="9">
        <f t="shared" si="45"/>
        <v>400000</v>
      </c>
      <c r="AD462" s="9">
        <f>AD460</f>
        <v>200000</v>
      </c>
      <c r="AE462" s="9">
        <f>AE461</f>
        <v>9550</v>
      </c>
      <c r="AF462" s="9">
        <f>SUM(AD461:AE462)-AH462</f>
        <v>219100</v>
      </c>
      <c r="AG462" s="356">
        <v>42781</v>
      </c>
      <c r="AJ462" s="256">
        <f>(+AF462/(1960987552))*229000</f>
        <v>25.586036968377449</v>
      </c>
    </row>
    <row r="463" spans="4:36">
      <c r="D463" s="14"/>
      <c r="E463" s="14"/>
      <c r="F463" s="14"/>
      <c r="G463" s="339"/>
      <c r="AC463" s="266">
        <f t="shared" si="45"/>
        <v>200000</v>
      </c>
      <c r="AD463" s="266"/>
      <c r="AE463" s="266">
        <v>4800</v>
      </c>
      <c r="AF463" s="350"/>
      <c r="AG463" s="357">
        <v>42962</v>
      </c>
      <c r="AJ463" s="349"/>
    </row>
    <row r="464" spans="4:36" ht="15.75">
      <c r="D464" s="14"/>
      <c r="E464" s="14"/>
      <c r="F464" s="14"/>
      <c r="G464" s="339"/>
      <c r="AC464" s="9">
        <f t="shared" si="45"/>
        <v>200000</v>
      </c>
      <c r="AD464" s="9">
        <f>AD462</f>
        <v>200000</v>
      </c>
      <c r="AE464" s="9">
        <f>AE463</f>
        <v>4800</v>
      </c>
      <c r="AF464" s="9">
        <f>SUM(AD463:AE464)-AH464</f>
        <v>209600</v>
      </c>
      <c r="AG464" s="356">
        <v>43146</v>
      </c>
      <c r="AJ464" s="256">
        <f>(+AF464/(1960987552))*229000</f>
        <v>24.476646958338264</v>
      </c>
    </row>
    <row r="465" spans="4:36">
      <c r="D465" s="14"/>
      <c r="E465" s="14"/>
      <c r="F465" s="14"/>
      <c r="G465" s="339"/>
      <c r="AC465" s="266"/>
      <c r="AD465" s="266">
        <f>SUM(AD425:AD464)</f>
        <v>4321000</v>
      </c>
      <c r="AE465" s="266">
        <f>SUM(AE425:AE464)</f>
        <v>2010227.5</v>
      </c>
      <c r="AF465" s="266">
        <f>SUM(AF425:AF464)</f>
        <v>6016007.5</v>
      </c>
      <c r="AG465" s="266"/>
      <c r="AJ465" s="349"/>
    </row>
    <row r="466" spans="4:36">
      <c r="D466" s="14"/>
      <c r="E466" s="14"/>
      <c r="F466" s="14"/>
      <c r="G466" s="339"/>
      <c r="AF466" s="9">
        <f>AF465-AE465-AD465</f>
        <v>-315220</v>
      </c>
    </row>
    <row r="467" spans="4:36">
      <c r="D467" s="14"/>
      <c r="E467" s="14"/>
      <c r="F467" s="14"/>
      <c r="G467" s="339"/>
      <c r="AB467" s="11" t="s">
        <v>9</v>
      </c>
      <c r="AC467" s="9" t="s">
        <v>412</v>
      </c>
      <c r="AG467" s="344"/>
    </row>
    <row r="468" spans="4:36">
      <c r="D468" s="14"/>
      <c r="E468" s="14"/>
      <c r="F468" s="14"/>
      <c r="G468" s="339"/>
      <c r="AB468" s="11" t="s">
        <v>39</v>
      </c>
      <c r="AC468" s="9">
        <f>1300000-465000-200000</f>
        <v>635000</v>
      </c>
      <c r="AD468" s="11">
        <f>1300000-835000</f>
        <v>465000</v>
      </c>
      <c r="AE468" s="342"/>
      <c r="AF468" s="342"/>
      <c r="AG468" s="344"/>
    </row>
    <row r="469" spans="4:36">
      <c r="D469" s="14"/>
      <c r="E469" s="14"/>
      <c r="F469" s="14"/>
      <c r="G469" s="339"/>
      <c r="AB469" s="11" t="s">
        <v>40</v>
      </c>
      <c r="AC469" s="335">
        <f>$AD$131</f>
        <v>5</v>
      </c>
      <c r="AG469" s="344"/>
    </row>
    <row r="470" spans="4:36">
      <c r="D470" s="14"/>
      <c r="E470" s="14"/>
      <c r="F470" s="14"/>
      <c r="G470" s="339"/>
      <c r="AB470" s="11" t="s">
        <v>41</v>
      </c>
      <c r="AC470" s="9">
        <v>20</v>
      </c>
      <c r="AD470" s="335"/>
      <c r="AG470" s="344"/>
    </row>
    <row r="471" spans="4:36">
      <c r="D471" s="14"/>
      <c r="E471" s="14"/>
      <c r="F471" s="14"/>
      <c r="G471" s="339"/>
      <c r="AB471" s="11"/>
      <c r="AC471" s="342" t="s">
        <v>43</v>
      </c>
      <c r="AD471" s="342" t="s">
        <v>44</v>
      </c>
      <c r="AE471" s="341" t="s">
        <v>45</v>
      </c>
      <c r="AF471" s="341" t="s">
        <v>46</v>
      </c>
      <c r="AJ471" s="259"/>
    </row>
    <row r="472" spans="4:36">
      <c r="D472" s="14"/>
      <c r="E472" s="14"/>
      <c r="F472" s="14"/>
      <c r="G472" s="339"/>
      <c r="AB472" s="11"/>
      <c r="AC472" s="11">
        <v>0</v>
      </c>
      <c r="AD472" s="11">
        <v>0</v>
      </c>
      <c r="AE472" s="341"/>
      <c r="AF472" s="11"/>
      <c r="AG472" s="356"/>
      <c r="AJ472" s="338"/>
    </row>
    <row r="473" spans="4:36" ht="15.75">
      <c r="D473" s="14"/>
      <c r="E473" s="14"/>
      <c r="F473" s="14"/>
      <c r="G473" s="339"/>
      <c r="AC473" s="9">
        <v>0</v>
      </c>
      <c r="AE473" s="9">
        <v>0</v>
      </c>
      <c r="AF473" s="9">
        <f>SUM(AD472:AE473)</f>
        <v>0</v>
      </c>
      <c r="AG473" s="356"/>
      <c r="AJ473" s="256"/>
    </row>
    <row r="474" spans="4:36">
      <c r="D474" s="14"/>
      <c r="E474" s="14"/>
      <c r="F474" s="14"/>
      <c r="G474" s="339"/>
      <c r="AB474" s="11"/>
      <c r="AC474" s="266">
        <v>0</v>
      </c>
      <c r="AD474" s="266"/>
      <c r="AE474" s="266"/>
      <c r="AF474" s="350"/>
      <c r="AG474" s="357"/>
      <c r="AJ474" s="338"/>
    </row>
    <row r="475" spans="4:36" ht="15.75">
      <c r="D475" s="14"/>
      <c r="E475" s="14"/>
      <c r="F475" s="14"/>
      <c r="G475" s="339"/>
      <c r="AB475" s="11" t="s">
        <v>413</v>
      </c>
      <c r="AC475" s="9">
        <v>1300000</v>
      </c>
      <c r="AF475" s="9">
        <f>SUM(AD474:AE475)</f>
        <v>0</v>
      </c>
      <c r="AG475" s="356">
        <f>35827+120</f>
        <v>35947</v>
      </c>
      <c r="AJ475" s="256"/>
    </row>
    <row r="476" spans="4:36" ht="15.75">
      <c r="D476" s="14"/>
      <c r="E476" s="14"/>
      <c r="F476" s="14"/>
      <c r="G476" s="339"/>
      <c r="AB476" s="11" t="s">
        <v>414</v>
      </c>
      <c r="AC476" s="266">
        <v>1300000</v>
      </c>
      <c r="AD476" s="266"/>
      <c r="AE476" s="266">
        <f>AC475*0.035*0.25</f>
        <v>11375.000000000002</v>
      </c>
      <c r="AF476" s="350"/>
      <c r="AG476" s="357">
        <v>36083</v>
      </c>
      <c r="AJ476" s="256"/>
    </row>
    <row r="477" spans="4:36">
      <c r="D477" s="14"/>
      <c r="E477" s="14"/>
      <c r="F477" s="14"/>
      <c r="G477" s="339"/>
      <c r="AB477" s="11"/>
      <c r="AC477" s="9">
        <f t="shared" ref="AC477:AC523" si="46">AC476-AD476</f>
        <v>1300000</v>
      </c>
      <c r="AF477" s="9">
        <f>SUM(AD476:AE477)</f>
        <v>11375.000000000002</v>
      </c>
      <c r="AG477" s="356">
        <v>36265</v>
      </c>
    </row>
    <row r="478" spans="4:36">
      <c r="D478" s="14"/>
      <c r="E478" s="14"/>
      <c r="F478" s="14"/>
      <c r="G478" s="339"/>
      <c r="AB478" s="11" t="s">
        <v>415</v>
      </c>
      <c r="AC478" s="266">
        <f t="shared" si="46"/>
        <v>1300000</v>
      </c>
      <c r="AD478" s="266">
        <v>0</v>
      </c>
      <c r="AE478" s="266">
        <f>AC478*0.035</f>
        <v>45500.000000000007</v>
      </c>
      <c r="AF478" s="350"/>
      <c r="AG478" s="357">
        <v>36448</v>
      </c>
      <c r="AJ478" s="338"/>
    </row>
    <row r="479" spans="4:36" ht="15.75">
      <c r="D479" s="14"/>
      <c r="E479" s="14"/>
      <c r="F479" s="14"/>
      <c r="G479" s="339"/>
      <c r="AC479" s="9">
        <f t="shared" si="46"/>
        <v>1300000</v>
      </c>
      <c r="AF479" s="9">
        <f>SUM(AD478:AE479)</f>
        <v>45500.000000000007</v>
      </c>
      <c r="AG479" s="356">
        <v>36631</v>
      </c>
      <c r="AJ479" s="256"/>
    </row>
    <row r="480" spans="4:36">
      <c r="D480" s="14"/>
      <c r="E480" s="14"/>
      <c r="F480" s="14"/>
      <c r="G480" s="339"/>
      <c r="AB480" s="11" t="s">
        <v>416</v>
      </c>
      <c r="AC480" s="266">
        <f t="shared" si="46"/>
        <v>1300000</v>
      </c>
      <c r="AD480" s="266">
        <v>465000</v>
      </c>
      <c r="AE480" s="266">
        <f>AC480*0.046</f>
        <v>59800</v>
      </c>
      <c r="AF480" s="350"/>
      <c r="AG480" s="357">
        <v>36814</v>
      </c>
      <c r="AJ480" s="338"/>
    </row>
    <row r="481" spans="4:36" ht="15.75">
      <c r="D481" s="14"/>
      <c r="E481" s="14"/>
      <c r="F481" s="14"/>
      <c r="G481" s="339"/>
      <c r="AC481" s="9">
        <f t="shared" si="46"/>
        <v>835000</v>
      </c>
      <c r="AF481" s="9">
        <f>SUM(AD480:AE481)</f>
        <v>524800</v>
      </c>
      <c r="AG481" s="356">
        <v>36996</v>
      </c>
      <c r="AJ481" s="256"/>
    </row>
    <row r="482" spans="4:36">
      <c r="D482" s="14"/>
      <c r="E482" s="14"/>
      <c r="F482" s="14"/>
      <c r="G482" s="339"/>
      <c r="AB482" s="11" t="s">
        <v>417</v>
      </c>
      <c r="AC482" s="266">
        <f t="shared" si="46"/>
        <v>835000</v>
      </c>
      <c r="AD482" s="266">
        <v>200000</v>
      </c>
      <c r="AE482" s="266">
        <f>AC482*0.046</f>
        <v>38410</v>
      </c>
      <c r="AF482" s="350"/>
      <c r="AG482" s="349" t="s">
        <v>418</v>
      </c>
      <c r="AJ482" s="338"/>
    </row>
    <row r="483" spans="4:36" ht="15.75">
      <c r="D483" s="14"/>
      <c r="E483" s="14"/>
      <c r="F483" s="14"/>
      <c r="G483" s="339"/>
      <c r="AB483" s="11" t="s">
        <v>419</v>
      </c>
      <c r="AC483" s="9">
        <f t="shared" si="46"/>
        <v>635000</v>
      </c>
      <c r="AD483" s="9">
        <v>35000</v>
      </c>
      <c r="AE483" s="9">
        <f>AC483*0.032*(277/365)</f>
        <v>15420.931506849314</v>
      </c>
      <c r="AF483" s="9">
        <f>SUM(AD482:AE483)-AH483</f>
        <v>288830.9315068493</v>
      </c>
      <c r="AG483" s="256" t="s">
        <v>420</v>
      </c>
      <c r="AI483" s="9">
        <f>SUM(AE482:AE483)</f>
        <v>53830.931506849316</v>
      </c>
      <c r="AJ483" s="256"/>
    </row>
    <row r="484" spans="4:36">
      <c r="D484" s="14"/>
      <c r="E484" s="14"/>
      <c r="F484" s="14"/>
      <c r="G484" s="339"/>
      <c r="AB484" s="9">
        <f>635000/16</f>
        <v>39687.5</v>
      </c>
      <c r="AC484" s="266">
        <f t="shared" si="46"/>
        <v>600000</v>
      </c>
      <c r="AD484" s="266"/>
      <c r="AE484" s="266">
        <v>14237.5</v>
      </c>
      <c r="AF484" s="350"/>
      <c r="AG484" s="349" t="s">
        <v>421</v>
      </c>
      <c r="AJ484" s="338"/>
    </row>
    <row r="485" spans="4:36" ht="15.75">
      <c r="D485" s="14"/>
      <c r="E485" s="14"/>
      <c r="F485" s="14"/>
      <c r="G485" s="339"/>
      <c r="AC485" s="9">
        <f t="shared" si="46"/>
        <v>600000</v>
      </c>
      <c r="AD485" s="9">
        <v>35000</v>
      </c>
      <c r="AE485" s="9">
        <f>AE484</f>
        <v>14237.5</v>
      </c>
      <c r="AF485" s="9">
        <f>SUM(AD484:AE485)-AH485</f>
        <v>63475</v>
      </c>
      <c r="AG485" s="256" t="s">
        <v>422</v>
      </c>
      <c r="AJ485" s="256"/>
    </row>
    <row r="486" spans="4:36">
      <c r="D486" s="14"/>
      <c r="E486" s="14"/>
      <c r="F486" s="14"/>
      <c r="G486" s="339"/>
      <c r="AC486" s="266">
        <f t="shared" si="46"/>
        <v>565000</v>
      </c>
      <c r="AD486" s="266">
        <f t="shared" ref="AD486:AD496" si="47">AD484</f>
        <v>0</v>
      </c>
      <c r="AE486" s="266">
        <v>13537.5</v>
      </c>
      <c r="AF486" s="350"/>
      <c r="AG486" s="349" t="s">
        <v>423</v>
      </c>
      <c r="AJ486" s="338"/>
    </row>
    <row r="487" spans="4:36" ht="15.75">
      <c r="D487" s="14"/>
      <c r="E487" s="14"/>
      <c r="F487" s="14"/>
      <c r="G487" s="339"/>
      <c r="AC487" s="9">
        <f t="shared" si="46"/>
        <v>565000</v>
      </c>
      <c r="AD487" s="9">
        <f t="shared" si="47"/>
        <v>35000</v>
      </c>
      <c r="AE487" s="9">
        <f>AE486</f>
        <v>13537.5</v>
      </c>
      <c r="AF487" s="9">
        <f>SUM(AD486:AE487)-AH487</f>
        <v>62075</v>
      </c>
      <c r="AG487" s="256" t="s">
        <v>424</v>
      </c>
      <c r="AJ487" s="256"/>
    </row>
    <row r="488" spans="4:36">
      <c r="D488" s="14"/>
      <c r="E488" s="14"/>
      <c r="F488" s="14"/>
      <c r="G488" s="339"/>
      <c r="AC488" s="266">
        <f t="shared" si="46"/>
        <v>530000</v>
      </c>
      <c r="AD488" s="266">
        <f t="shared" si="47"/>
        <v>0</v>
      </c>
      <c r="AE488" s="266">
        <v>12837.5</v>
      </c>
      <c r="AF488" s="350"/>
      <c r="AG488" s="349" t="s">
        <v>425</v>
      </c>
      <c r="AJ488" s="338"/>
    </row>
    <row r="489" spans="4:36" ht="15.75">
      <c r="D489" s="14"/>
      <c r="E489" s="14"/>
      <c r="F489" s="14"/>
      <c r="G489" s="339"/>
      <c r="AC489" s="9">
        <f t="shared" si="46"/>
        <v>530000</v>
      </c>
      <c r="AD489" s="9">
        <f t="shared" si="47"/>
        <v>35000</v>
      </c>
      <c r="AE489" s="9">
        <f>AE488</f>
        <v>12837.5</v>
      </c>
      <c r="AF489" s="9">
        <f>SUM(AD488:AE489)-AH489</f>
        <v>60675</v>
      </c>
      <c r="AG489" s="256" t="s">
        <v>426</v>
      </c>
      <c r="AJ489" s="256"/>
    </row>
    <row r="490" spans="4:36">
      <c r="D490" s="14"/>
      <c r="E490" s="14"/>
      <c r="F490" s="14"/>
      <c r="G490" s="339"/>
      <c r="AC490" s="266">
        <f t="shared" si="46"/>
        <v>495000</v>
      </c>
      <c r="AD490" s="266">
        <f t="shared" si="47"/>
        <v>0</v>
      </c>
      <c r="AE490" s="266">
        <v>12137.5</v>
      </c>
      <c r="AF490" s="350"/>
      <c r="AG490" s="349" t="s">
        <v>427</v>
      </c>
      <c r="AJ490" s="338"/>
    </row>
    <row r="491" spans="4:36" ht="15.75">
      <c r="D491" s="14"/>
      <c r="E491" s="14"/>
      <c r="F491" s="14"/>
      <c r="G491" s="339"/>
      <c r="AC491" s="9">
        <f t="shared" si="46"/>
        <v>495000</v>
      </c>
      <c r="AD491" s="9">
        <f t="shared" si="47"/>
        <v>35000</v>
      </c>
      <c r="AE491" s="9">
        <f>AE490</f>
        <v>12137.5</v>
      </c>
      <c r="AF491" s="9">
        <f>SUM(AD490:AE491)-AH491</f>
        <v>59275</v>
      </c>
      <c r="AG491" s="256" t="s">
        <v>428</v>
      </c>
      <c r="AJ491" s="256"/>
    </row>
    <row r="492" spans="4:36">
      <c r="D492" s="14"/>
      <c r="E492" s="14"/>
      <c r="F492" s="14"/>
      <c r="G492" s="339"/>
      <c r="AC492" s="266">
        <f t="shared" si="46"/>
        <v>460000</v>
      </c>
      <c r="AD492" s="266">
        <f t="shared" si="47"/>
        <v>0</v>
      </c>
      <c r="AE492" s="266">
        <v>11525</v>
      </c>
      <c r="AF492" s="350"/>
      <c r="AG492" s="349" t="s">
        <v>429</v>
      </c>
      <c r="AJ492" s="338"/>
    </row>
    <row r="493" spans="4:36" ht="15.75">
      <c r="D493" s="14"/>
      <c r="E493" s="14"/>
      <c r="F493" s="14"/>
      <c r="G493" s="339"/>
      <c r="AC493" s="9">
        <f t="shared" si="46"/>
        <v>460000</v>
      </c>
      <c r="AD493" s="9">
        <f t="shared" si="47"/>
        <v>35000</v>
      </c>
      <c r="AE493" s="9">
        <f>AE492</f>
        <v>11525</v>
      </c>
      <c r="AF493" s="9">
        <f>SUM(AD492:AE493)-AH493</f>
        <v>58050</v>
      </c>
      <c r="AG493" s="256" t="s">
        <v>430</v>
      </c>
      <c r="AJ493" s="256"/>
    </row>
    <row r="494" spans="4:36">
      <c r="D494" s="14"/>
      <c r="E494" s="14"/>
      <c r="F494" s="14"/>
      <c r="G494" s="339"/>
      <c r="AB494" s="9" t="s">
        <v>37</v>
      </c>
      <c r="AC494" s="266">
        <f t="shared" si="46"/>
        <v>425000</v>
      </c>
      <c r="AD494" s="266">
        <f t="shared" si="47"/>
        <v>0</v>
      </c>
      <c r="AE494" s="266">
        <v>10737.5</v>
      </c>
      <c r="AF494" s="350"/>
      <c r="AG494" s="349" t="s">
        <v>431</v>
      </c>
      <c r="AJ494" s="338"/>
    </row>
    <row r="495" spans="4:36" ht="15.75">
      <c r="D495" s="14"/>
      <c r="E495" s="14"/>
      <c r="F495" s="14"/>
      <c r="G495" s="339"/>
      <c r="AC495" s="9">
        <f t="shared" si="46"/>
        <v>425000</v>
      </c>
      <c r="AD495" s="9">
        <f t="shared" si="47"/>
        <v>35000</v>
      </c>
      <c r="AE495" s="9">
        <f>AE494</f>
        <v>10737.5</v>
      </c>
      <c r="AF495" s="9">
        <f>SUM(AD494:AE495)-AH495</f>
        <v>56475</v>
      </c>
      <c r="AG495" s="256" t="s">
        <v>432</v>
      </c>
      <c r="AJ495" s="256"/>
    </row>
    <row r="496" spans="4:36">
      <c r="D496" s="14"/>
      <c r="E496" s="14"/>
      <c r="F496" s="14"/>
      <c r="G496" s="339"/>
      <c r="AC496" s="266">
        <f t="shared" si="46"/>
        <v>390000</v>
      </c>
      <c r="AD496" s="266">
        <f t="shared" si="47"/>
        <v>0</v>
      </c>
      <c r="AE496" s="266">
        <v>9862.5</v>
      </c>
      <c r="AF496" s="350"/>
      <c r="AG496" s="349" t="s">
        <v>433</v>
      </c>
      <c r="AJ496" s="338"/>
    </row>
    <row r="497" spans="4:36" ht="15.75">
      <c r="D497" s="14"/>
      <c r="E497" s="14"/>
      <c r="F497" s="14"/>
      <c r="G497" s="339"/>
      <c r="AC497" s="9">
        <f t="shared" si="46"/>
        <v>390000</v>
      </c>
      <c r="AD497" s="9">
        <v>30000</v>
      </c>
      <c r="AE497" s="9">
        <f>AE496</f>
        <v>9862.5</v>
      </c>
      <c r="AF497" s="9">
        <f>SUM(AD496:AE497)-AH497</f>
        <v>49725</v>
      </c>
      <c r="AG497" s="256" t="s">
        <v>434</v>
      </c>
      <c r="AJ497" s="256"/>
    </row>
    <row r="498" spans="4:36">
      <c r="D498" s="14"/>
      <c r="E498" s="14"/>
      <c r="F498" s="14"/>
      <c r="G498" s="339"/>
      <c r="AC498" s="266">
        <f t="shared" si="46"/>
        <v>360000</v>
      </c>
      <c r="AD498" s="266">
        <f t="shared" ref="AD498:AD521" si="48">AD496</f>
        <v>0</v>
      </c>
      <c r="AE498" s="266">
        <v>9112.5</v>
      </c>
      <c r="AF498" s="350"/>
      <c r="AG498" s="349" t="s">
        <v>435</v>
      </c>
      <c r="AJ498" s="338"/>
    </row>
    <row r="499" spans="4:36" ht="15.75">
      <c r="D499" s="14"/>
      <c r="E499" s="14"/>
      <c r="F499" s="14"/>
      <c r="G499" s="339"/>
      <c r="AC499" s="9">
        <f t="shared" si="46"/>
        <v>360000</v>
      </c>
      <c r="AD499" s="9">
        <f t="shared" si="48"/>
        <v>30000</v>
      </c>
      <c r="AE499" s="9">
        <f>AE498</f>
        <v>9112.5</v>
      </c>
      <c r="AF499" s="9">
        <f>SUM(AD498:AE499)-AH499</f>
        <v>48225</v>
      </c>
      <c r="AG499" s="256" t="s">
        <v>436</v>
      </c>
      <c r="AJ499" s="256"/>
    </row>
    <row r="500" spans="4:36">
      <c r="D500" s="14"/>
      <c r="E500" s="14"/>
      <c r="F500" s="14"/>
      <c r="G500" s="339"/>
      <c r="AA500" s="9" t="s">
        <v>437</v>
      </c>
      <c r="AC500" s="266">
        <f t="shared" si="46"/>
        <v>330000</v>
      </c>
      <c r="AD500" s="266">
        <f t="shared" si="48"/>
        <v>0</v>
      </c>
      <c r="AE500" s="266">
        <v>8362.5</v>
      </c>
      <c r="AF500" s="350"/>
      <c r="AG500" s="349" t="s">
        <v>438</v>
      </c>
      <c r="AJ500" s="338"/>
    </row>
    <row r="501" spans="4:36" ht="15.75">
      <c r="D501" s="14"/>
      <c r="E501" s="14"/>
      <c r="F501" s="14"/>
      <c r="G501" s="339"/>
      <c r="AC501" s="9">
        <f t="shared" si="46"/>
        <v>330000</v>
      </c>
      <c r="AD501" s="9">
        <f t="shared" si="48"/>
        <v>30000</v>
      </c>
      <c r="AE501" s="9">
        <f>AE500</f>
        <v>8362.5</v>
      </c>
      <c r="AF501" s="9">
        <f>SUM(AD500:AE501)-AH501</f>
        <v>46725</v>
      </c>
      <c r="AG501" s="256" t="s">
        <v>439</v>
      </c>
      <c r="AJ501" s="256"/>
    </row>
    <row r="502" spans="4:36">
      <c r="D502" s="14"/>
      <c r="E502" s="14"/>
      <c r="F502" s="14"/>
      <c r="G502" s="339"/>
      <c r="AC502" s="266">
        <f t="shared" si="46"/>
        <v>300000</v>
      </c>
      <c r="AD502" s="266">
        <f t="shared" si="48"/>
        <v>0</v>
      </c>
      <c r="AE502" s="266">
        <v>7706.25</v>
      </c>
      <c r="AF502" s="350"/>
      <c r="AG502" s="349" t="s">
        <v>224</v>
      </c>
      <c r="AJ502" s="338"/>
    </row>
    <row r="503" spans="4:36" ht="15.75">
      <c r="D503" s="14"/>
      <c r="E503" s="14"/>
      <c r="F503" s="14"/>
      <c r="G503" s="339"/>
      <c r="AC503" s="9">
        <f t="shared" si="46"/>
        <v>300000</v>
      </c>
      <c r="AD503" s="9">
        <f t="shared" si="48"/>
        <v>30000</v>
      </c>
      <c r="AE503" s="9">
        <f>AE502</f>
        <v>7706.25</v>
      </c>
      <c r="AF503" s="9">
        <f>SUM(AD502:AE503)-AH503</f>
        <v>45412.5</v>
      </c>
      <c r="AG503" s="256" t="s">
        <v>225</v>
      </c>
      <c r="AJ503" s="256"/>
    </row>
    <row r="504" spans="4:36">
      <c r="D504" s="14"/>
      <c r="E504" s="14"/>
      <c r="F504" s="14"/>
      <c r="G504" s="339"/>
      <c r="AC504" s="266">
        <f t="shared" si="46"/>
        <v>270000</v>
      </c>
      <c r="AD504" s="266">
        <f t="shared" si="48"/>
        <v>0</v>
      </c>
      <c r="AE504" s="266">
        <v>7050</v>
      </c>
      <c r="AF504" s="350"/>
      <c r="AG504" s="349" t="s">
        <v>226</v>
      </c>
      <c r="AJ504" s="338"/>
    </row>
    <row r="505" spans="4:36" ht="15.75">
      <c r="D505" s="14"/>
      <c r="E505" s="14"/>
      <c r="F505" s="14"/>
      <c r="G505" s="339"/>
      <c r="AC505" s="9">
        <f t="shared" si="46"/>
        <v>270000</v>
      </c>
      <c r="AD505" s="9">
        <f t="shared" si="48"/>
        <v>30000</v>
      </c>
      <c r="AE505" s="9">
        <f>AE504</f>
        <v>7050</v>
      </c>
      <c r="AF505" s="9">
        <f>SUM(AD504:AE505)-AH505</f>
        <v>44100</v>
      </c>
      <c r="AG505" s="256" t="s">
        <v>227</v>
      </c>
      <c r="AJ505" s="256"/>
    </row>
    <row r="506" spans="4:36">
      <c r="D506" s="14"/>
      <c r="E506" s="14"/>
      <c r="F506" s="14"/>
      <c r="G506" s="339"/>
      <c r="AC506" s="266">
        <f t="shared" si="46"/>
        <v>240000</v>
      </c>
      <c r="AD506" s="266">
        <f t="shared" si="48"/>
        <v>0</v>
      </c>
      <c r="AE506" s="266">
        <v>6262.5</v>
      </c>
      <c r="AF506" s="350"/>
      <c r="AG506" s="349" t="s">
        <v>228</v>
      </c>
      <c r="AJ506" s="338"/>
    </row>
    <row r="507" spans="4:36" ht="15.75">
      <c r="D507" s="14"/>
      <c r="E507" s="14"/>
      <c r="F507" s="14"/>
      <c r="G507" s="339"/>
      <c r="AC507" s="9">
        <f t="shared" si="46"/>
        <v>240000</v>
      </c>
      <c r="AD507" s="9">
        <f t="shared" si="48"/>
        <v>30000</v>
      </c>
      <c r="AE507" s="9">
        <f>AE506</f>
        <v>6262.5</v>
      </c>
      <c r="AF507" s="9">
        <f>SUM(AD506:AE507)-AH507</f>
        <v>42525</v>
      </c>
      <c r="AG507" s="256" t="s">
        <v>229</v>
      </c>
      <c r="AJ507" s="256"/>
    </row>
    <row r="508" spans="4:36">
      <c r="D508" s="14"/>
      <c r="E508" s="14"/>
      <c r="F508" s="14"/>
      <c r="G508" s="339"/>
      <c r="AC508" s="266">
        <f t="shared" si="46"/>
        <v>210000</v>
      </c>
      <c r="AD508" s="266">
        <f t="shared" si="48"/>
        <v>0</v>
      </c>
      <c r="AE508" s="266">
        <v>5456.25</v>
      </c>
      <c r="AF508" s="350"/>
      <c r="AG508" s="349" t="s">
        <v>230</v>
      </c>
      <c r="AJ508" s="338"/>
    </row>
    <row r="509" spans="4:36" ht="15.75">
      <c r="D509" s="14"/>
      <c r="E509" s="14"/>
      <c r="F509" s="14"/>
      <c r="G509" s="339"/>
      <c r="AC509" s="9">
        <f t="shared" si="46"/>
        <v>210000</v>
      </c>
      <c r="AD509" s="9">
        <f t="shared" si="48"/>
        <v>30000</v>
      </c>
      <c r="AE509" s="9">
        <f>AE508</f>
        <v>5456.25</v>
      </c>
      <c r="AF509" s="9">
        <f>SUM(AD508:AE509)-AH509</f>
        <v>40912.5</v>
      </c>
      <c r="AG509" s="256" t="s">
        <v>231</v>
      </c>
      <c r="AJ509" s="256"/>
    </row>
    <row r="510" spans="4:36">
      <c r="D510" s="14"/>
      <c r="E510" s="14"/>
      <c r="F510" s="14"/>
      <c r="G510" s="339"/>
      <c r="AC510" s="266">
        <f t="shared" si="46"/>
        <v>180000</v>
      </c>
      <c r="AD510" s="266">
        <f t="shared" si="48"/>
        <v>0</v>
      </c>
      <c r="AE510" s="266">
        <v>4650</v>
      </c>
      <c r="AF510" s="350"/>
      <c r="AG510" s="349" t="s">
        <v>232</v>
      </c>
      <c r="AJ510" s="338"/>
    </row>
    <row r="511" spans="4:36" ht="15.75">
      <c r="D511" s="14"/>
      <c r="E511" s="14"/>
      <c r="F511" s="14"/>
      <c r="G511" s="339"/>
      <c r="AC511" s="9">
        <f t="shared" si="46"/>
        <v>180000</v>
      </c>
      <c r="AD511" s="9">
        <f t="shared" si="48"/>
        <v>30000</v>
      </c>
      <c r="AE511" s="9">
        <f>AE510</f>
        <v>4650</v>
      </c>
      <c r="AF511" s="9">
        <f>SUM(AD510:AE511)-AH511</f>
        <v>39300</v>
      </c>
      <c r="AG511" s="256" t="s">
        <v>233</v>
      </c>
      <c r="AJ511" s="256"/>
    </row>
    <row r="512" spans="4:36">
      <c r="D512" s="14"/>
      <c r="E512" s="14"/>
      <c r="F512" s="14"/>
      <c r="G512" s="339"/>
      <c r="AC512" s="266">
        <f t="shared" si="46"/>
        <v>150000</v>
      </c>
      <c r="AD512" s="266">
        <f t="shared" si="48"/>
        <v>0</v>
      </c>
      <c r="AE512" s="266">
        <v>3825</v>
      </c>
      <c r="AF512" s="350"/>
      <c r="AG512" s="349" t="s">
        <v>234</v>
      </c>
      <c r="AJ512" s="338"/>
    </row>
    <row r="513" spans="4:36" ht="15.75">
      <c r="D513" s="14"/>
      <c r="E513" s="14"/>
      <c r="F513" s="14"/>
      <c r="G513" s="339"/>
      <c r="AC513" s="9">
        <f t="shared" si="46"/>
        <v>150000</v>
      </c>
      <c r="AD513" s="9">
        <f t="shared" si="48"/>
        <v>30000</v>
      </c>
      <c r="AE513" s="9">
        <f>AE512</f>
        <v>3825</v>
      </c>
      <c r="AF513" s="9">
        <f>SUM(AD512:AE513)-AH513</f>
        <v>37650</v>
      </c>
      <c r="AG513" s="256" t="s">
        <v>235</v>
      </c>
      <c r="AJ513" s="256"/>
    </row>
    <row r="514" spans="4:36">
      <c r="D514" s="14"/>
      <c r="E514" s="14"/>
      <c r="F514" s="14"/>
      <c r="G514" s="339"/>
      <c r="AC514" s="266">
        <f t="shared" si="46"/>
        <v>120000</v>
      </c>
      <c r="AD514" s="266">
        <f t="shared" si="48"/>
        <v>0</v>
      </c>
      <c r="AE514" s="266">
        <v>3018.75</v>
      </c>
      <c r="AF514" s="350"/>
      <c r="AG514" s="349" t="s">
        <v>236</v>
      </c>
      <c r="AJ514" s="338"/>
    </row>
    <row r="515" spans="4:36" ht="15.75">
      <c r="D515" s="14"/>
      <c r="E515" s="14"/>
      <c r="F515" s="14"/>
      <c r="G515" s="339"/>
      <c r="AC515" s="9">
        <f t="shared" si="46"/>
        <v>120000</v>
      </c>
      <c r="AD515" s="9">
        <f t="shared" si="48"/>
        <v>30000</v>
      </c>
      <c r="AE515" s="9">
        <f>AE514</f>
        <v>3018.75</v>
      </c>
      <c r="AF515" s="9">
        <f>SUM(AD514:AE515)-AH515</f>
        <v>36037.5</v>
      </c>
      <c r="AG515" s="256" t="s">
        <v>237</v>
      </c>
      <c r="AJ515" s="256"/>
    </row>
    <row r="516" spans="4:36" ht="15.75">
      <c r="D516" s="14"/>
      <c r="E516" s="14"/>
      <c r="F516" s="14"/>
      <c r="G516" s="339"/>
      <c r="AC516" s="266">
        <f t="shared" si="46"/>
        <v>90000</v>
      </c>
      <c r="AD516" s="266">
        <f t="shared" si="48"/>
        <v>0</v>
      </c>
      <c r="AE516" s="266">
        <v>2268.75</v>
      </c>
      <c r="AF516" s="350"/>
      <c r="AG516" s="349" t="s">
        <v>238</v>
      </c>
      <c r="AJ516" s="256"/>
    </row>
    <row r="517" spans="4:36" ht="15.75">
      <c r="D517" s="14"/>
      <c r="E517" s="14"/>
      <c r="F517" s="14"/>
      <c r="G517" s="339"/>
      <c r="AC517" s="9">
        <f t="shared" si="46"/>
        <v>90000</v>
      </c>
      <c r="AD517" s="9">
        <f t="shared" si="48"/>
        <v>30000</v>
      </c>
      <c r="AE517" s="9">
        <f>AE516</f>
        <v>2268.75</v>
      </c>
      <c r="AF517" s="9">
        <f>SUM(AD516:AE517)-AH517</f>
        <v>34537.5</v>
      </c>
      <c r="AG517" s="256" t="s">
        <v>239</v>
      </c>
      <c r="AJ517" s="256"/>
    </row>
    <row r="518" spans="4:36">
      <c r="D518" s="14"/>
      <c r="E518" s="14"/>
      <c r="F518" s="14"/>
      <c r="G518" s="339"/>
      <c r="AC518" s="266">
        <f t="shared" si="46"/>
        <v>60000</v>
      </c>
      <c r="AD518" s="266">
        <f t="shared" si="48"/>
        <v>0</v>
      </c>
      <c r="AE518" s="266">
        <v>1518.75</v>
      </c>
      <c r="AF518" s="350"/>
      <c r="AG518" s="349" t="s">
        <v>240</v>
      </c>
      <c r="AJ518" s="338"/>
    </row>
    <row r="519" spans="4:36" ht="15.75">
      <c r="D519" s="14"/>
      <c r="E519" s="14"/>
      <c r="F519" s="14"/>
      <c r="G519" s="339"/>
      <c r="AC519" s="9">
        <f t="shared" si="46"/>
        <v>60000</v>
      </c>
      <c r="AD519" s="9">
        <f t="shared" si="48"/>
        <v>30000</v>
      </c>
      <c r="AE519" s="9">
        <f>AE518</f>
        <v>1518.75</v>
      </c>
      <c r="AF519" s="9">
        <f>SUM(AD518:AE519)-AH519</f>
        <v>33037.5</v>
      </c>
      <c r="AG519" s="256" t="s">
        <v>241</v>
      </c>
      <c r="AJ519" s="256"/>
    </row>
    <row r="520" spans="4:36" ht="15.75">
      <c r="D520" s="14"/>
      <c r="E520" s="14"/>
      <c r="F520" s="14"/>
      <c r="G520" s="339"/>
      <c r="AC520" s="266">
        <f t="shared" si="46"/>
        <v>30000</v>
      </c>
      <c r="AD520" s="266">
        <f t="shared" si="48"/>
        <v>0</v>
      </c>
      <c r="AE520" s="266">
        <v>750</v>
      </c>
      <c r="AF520" s="350"/>
      <c r="AG520" s="349" t="s">
        <v>242</v>
      </c>
      <c r="AJ520" s="256"/>
    </row>
    <row r="521" spans="4:36" ht="15.75">
      <c r="D521" s="14"/>
      <c r="E521" s="14"/>
      <c r="F521" s="14"/>
      <c r="G521" s="339"/>
      <c r="AC521" s="9">
        <f t="shared" si="46"/>
        <v>30000</v>
      </c>
      <c r="AD521" s="9">
        <f t="shared" si="48"/>
        <v>30000</v>
      </c>
      <c r="AE521" s="9">
        <f>AE520</f>
        <v>750</v>
      </c>
      <c r="AF521" s="9">
        <f>SUM(AD520:AE521)-AH521</f>
        <v>31500</v>
      </c>
      <c r="AG521" s="256" t="s">
        <v>243</v>
      </c>
      <c r="AJ521" s="256"/>
    </row>
    <row r="522" spans="4:36" ht="15.75">
      <c r="D522" s="14"/>
      <c r="E522" s="14"/>
      <c r="F522" s="14"/>
      <c r="G522" s="339"/>
      <c r="AC522" s="266">
        <f t="shared" si="46"/>
        <v>0</v>
      </c>
      <c r="AD522" s="266"/>
      <c r="AE522" s="266">
        <f>AC522*$AC$469/2</f>
        <v>0</v>
      </c>
      <c r="AF522" s="350"/>
      <c r="AG522" s="349" t="s">
        <v>244</v>
      </c>
      <c r="AJ522" s="256"/>
    </row>
    <row r="523" spans="4:36" ht="15.75">
      <c r="D523" s="14"/>
      <c r="E523" s="14"/>
      <c r="F523" s="14"/>
      <c r="G523" s="339"/>
      <c r="AC523" s="9">
        <f t="shared" si="46"/>
        <v>0</v>
      </c>
      <c r="AE523" s="9">
        <f>AC523*$AC$469/2</f>
        <v>0</v>
      </c>
      <c r="AF523" s="9">
        <f>SUM(AD522:AE523)-AH523</f>
        <v>0</v>
      </c>
      <c r="AG523" s="256" t="s">
        <v>245</v>
      </c>
      <c r="AJ523" s="256"/>
    </row>
    <row r="524" spans="4:36">
      <c r="D524" s="14"/>
      <c r="E524" s="14"/>
      <c r="F524" s="14"/>
      <c r="G524" s="339"/>
      <c r="AC524" s="266"/>
      <c r="AD524" s="266">
        <f>SUM(AD475:AD519)</f>
        <v>1270000</v>
      </c>
      <c r="AE524" s="266">
        <f>SUM(AE472:AE519)</f>
        <v>458718.4315068493</v>
      </c>
      <c r="AF524" s="266">
        <f>SUM(AF472:AF519)</f>
        <v>1728718.4315068494</v>
      </c>
      <c r="AG524" s="349"/>
      <c r="AJ524" s="338"/>
    </row>
    <row r="525" spans="4:36">
      <c r="D525" s="14"/>
      <c r="E525" s="14"/>
      <c r="F525" s="14"/>
      <c r="G525" s="339"/>
    </row>
    <row r="526" spans="4:36">
      <c r="D526" s="14"/>
      <c r="E526" s="14"/>
      <c r="F526" s="14"/>
      <c r="G526" s="339"/>
    </row>
    <row r="527" spans="4:36">
      <c r="D527" s="14"/>
      <c r="E527" s="14"/>
      <c r="F527" s="14"/>
      <c r="G527" s="339"/>
      <c r="AB527" s="11" t="s">
        <v>440</v>
      </c>
      <c r="AC527" s="9" t="s">
        <v>441</v>
      </c>
    </row>
    <row r="528" spans="4:36">
      <c r="D528" s="14"/>
      <c r="E528" s="14"/>
      <c r="F528" s="14"/>
      <c r="G528" s="339"/>
      <c r="AB528" s="11" t="s">
        <v>39</v>
      </c>
      <c r="AC528" s="9">
        <v>36998439</v>
      </c>
      <c r="AD528" s="342">
        <v>26389337</v>
      </c>
      <c r="AE528" s="342"/>
      <c r="AF528" s="342"/>
    </row>
    <row r="529" spans="4:37">
      <c r="D529" s="14"/>
      <c r="E529" s="14"/>
      <c r="F529" s="14"/>
      <c r="G529" s="339"/>
      <c r="AB529" s="11" t="s">
        <v>40</v>
      </c>
      <c r="AC529" s="335">
        <v>4.9779100999999999E-2</v>
      </c>
      <c r="AG529" s="344"/>
    </row>
    <row r="530" spans="4:37">
      <c r="D530" s="14"/>
      <c r="E530" s="14"/>
      <c r="F530" s="14"/>
      <c r="G530" s="339"/>
      <c r="AB530" s="11" t="s">
        <v>41</v>
      </c>
      <c r="AC530" s="9">
        <v>20</v>
      </c>
      <c r="AD530" s="335"/>
      <c r="AF530" s="338" t="s">
        <v>442</v>
      </c>
      <c r="AG530" s="344"/>
      <c r="AH530" s="9" t="s">
        <v>382</v>
      </c>
      <c r="AI530" s="9" t="s">
        <v>42</v>
      </c>
    </row>
    <row r="531" spans="4:37">
      <c r="E531" s="14"/>
      <c r="F531" s="14"/>
      <c r="G531" s="339"/>
      <c r="AB531" s="11"/>
      <c r="AC531" s="342" t="s">
        <v>43</v>
      </c>
      <c r="AD531" s="342" t="s">
        <v>44</v>
      </c>
      <c r="AE531" s="341" t="s">
        <v>45</v>
      </c>
      <c r="AF531" s="341" t="s">
        <v>443</v>
      </c>
      <c r="AH531" s="259" t="s">
        <v>383</v>
      </c>
      <c r="AI531" s="259" t="s">
        <v>325</v>
      </c>
    </row>
    <row r="532" spans="4:37">
      <c r="E532" s="14"/>
      <c r="F532" s="14"/>
      <c r="G532" s="339"/>
      <c r="AB532" s="11"/>
      <c r="AF532" s="335"/>
      <c r="AG532" s="338"/>
    </row>
    <row r="533" spans="4:37" ht="15.75">
      <c r="E533" s="14"/>
      <c r="F533" s="14"/>
      <c r="G533" s="339"/>
      <c r="Z533" s="359"/>
      <c r="AB533" s="11"/>
      <c r="AC533" s="9">
        <v>0</v>
      </c>
      <c r="AE533" s="9">
        <f>AC532*0.045/2</f>
        <v>0</v>
      </c>
      <c r="AF533" s="9">
        <f>SUM(AD532:AE533)</f>
        <v>0</v>
      </c>
      <c r="AG533" s="256"/>
      <c r="AJ533" s="256">
        <f>(+AF533/(1960987552))*229000</f>
        <v>0</v>
      </c>
      <c r="AK533" s="9">
        <f>SUM(AJ533:AJ571)</f>
        <v>6480.9719731968999</v>
      </c>
    </row>
    <row r="534" spans="4:37">
      <c r="E534" s="14"/>
      <c r="F534" s="14"/>
      <c r="G534" s="339"/>
      <c r="AB534" s="11"/>
      <c r="AC534" s="266">
        <f>AC528</f>
        <v>36998439</v>
      </c>
      <c r="AD534" s="266"/>
      <c r="AE534" s="266">
        <v>883496.91</v>
      </c>
      <c r="AF534" s="350"/>
      <c r="AG534" s="349" t="s">
        <v>421</v>
      </c>
      <c r="AH534" s="266"/>
      <c r="AI534" s="350"/>
      <c r="AJ534" s="349"/>
    </row>
    <row r="535" spans="4:37" ht="15.75">
      <c r="E535" s="14"/>
      <c r="F535" s="14"/>
      <c r="G535" s="339"/>
      <c r="AB535" s="11"/>
      <c r="AC535" s="9">
        <f t="shared" ref="AC535:AC571" si="49">AC534-AD534</f>
        <v>36998439</v>
      </c>
      <c r="AD535" s="9">
        <v>1948439</v>
      </c>
      <c r="AE535" s="9">
        <v>883496.91</v>
      </c>
      <c r="AF535" s="9">
        <f>SUM(AD534:AE535)</f>
        <v>3715432.8200000003</v>
      </c>
      <c r="AG535" s="256" t="s">
        <v>422</v>
      </c>
      <c r="AJ535" s="256">
        <f>(+AF535/(1960987552))*229000</f>
        <v>433.88042668207618</v>
      </c>
    </row>
    <row r="536" spans="4:37">
      <c r="E536" s="14"/>
      <c r="F536" s="14"/>
      <c r="G536" s="339"/>
      <c r="AB536" s="11"/>
      <c r="AC536" s="266">
        <f t="shared" si="49"/>
        <v>35050000</v>
      </c>
      <c r="AD536" s="266"/>
      <c r="AE536" s="266">
        <v>844528.13</v>
      </c>
      <c r="AF536" s="350"/>
      <c r="AG536" s="349" t="s">
        <v>423</v>
      </c>
      <c r="AH536" s="266"/>
      <c r="AI536" s="350"/>
      <c r="AJ536" s="349"/>
      <c r="AK536" s="339" t="s">
        <v>444</v>
      </c>
    </row>
    <row r="537" spans="4:37" ht="15.75">
      <c r="E537" s="14"/>
      <c r="F537" s="14"/>
      <c r="G537" s="339"/>
      <c r="AB537" s="11"/>
      <c r="AC537" s="9">
        <f t="shared" si="49"/>
        <v>35050000</v>
      </c>
      <c r="AD537" s="9">
        <v>1950000</v>
      </c>
      <c r="AE537" s="9">
        <f>AE536</f>
        <v>844528.13</v>
      </c>
      <c r="AF537" s="9">
        <f>SUM(AD536:AE537)</f>
        <v>3639056.26</v>
      </c>
      <c r="AG537" s="256" t="s">
        <v>424</v>
      </c>
      <c r="AJ537" s="256">
        <f>(+AF537/(1960987552))*229000</f>
        <v>424.96133271732259</v>
      </c>
      <c r="AK537" s="339" t="s">
        <v>445</v>
      </c>
    </row>
    <row r="538" spans="4:37">
      <c r="E538" s="14"/>
      <c r="F538" s="14"/>
      <c r="G538" s="339"/>
      <c r="AB538" s="11"/>
      <c r="AC538" s="266">
        <f t="shared" si="49"/>
        <v>33100000</v>
      </c>
      <c r="AD538" s="266"/>
      <c r="AE538" s="266">
        <v>805528.13</v>
      </c>
      <c r="AF538" s="350"/>
      <c r="AG538" s="349" t="s">
        <v>425</v>
      </c>
      <c r="AH538" s="266"/>
      <c r="AI538" s="350"/>
      <c r="AJ538" s="349"/>
      <c r="AK538" s="298" t="s">
        <v>446</v>
      </c>
    </row>
    <row r="539" spans="4:37" ht="15.75">
      <c r="E539" s="14"/>
      <c r="F539" s="14"/>
      <c r="G539" s="339"/>
      <c r="AB539" s="11"/>
      <c r="AC539" s="9">
        <f t="shared" si="49"/>
        <v>33100000</v>
      </c>
      <c r="AD539" s="9">
        <f>AD537</f>
        <v>1950000</v>
      </c>
      <c r="AE539" s="9">
        <f>AE538</f>
        <v>805528.13</v>
      </c>
      <c r="AF539" s="9">
        <f>SUM(AD538:AE539)</f>
        <v>3561056.26</v>
      </c>
      <c r="AG539" s="256" t="s">
        <v>426</v>
      </c>
      <c r="AJ539" s="256">
        <f>(+AF539/(1960987552))*229000</f>
        <v>415.8526568454219</v>
      </c>
      <c r="AK539" s="360" t="s">
        <v>447</v>
      </c>
    </row>
    <row r="540" spans="4:37">
      <c r="E540" s="14"/>
      <c r="F540" s="14"/>
      <c r="G540" s="339"/>
      <c r="AB540" s="11"/>
      <c r="AC540" s="266">
        <f t="shared" si="49"/>
        <v>31150000</v>
      </c>
      <c r="AD540" s="266"/>
      <c r="AE540" s="266">
        <v>766528.13</v>
      </c>
      <c r="AF540" s="350"/>
      <c r="AG540" s="349" t="s">
        <v>427</v>
      </c>
      <c r="AH540" s="266"/>
      <c r="AI540" s="350"/>
      <c r="AJ540" s="349"/>
    </row>
    <row r="541" spans="4:37" ht="15.75">
      <c r="AB541" s="11"/>
      <c r="AC541" s="9">
        <f t="shared" si="49"/>
        <v>31150000</v>
      </c>
      <c r="AD541" s="9">
        <f>AD539</f>
        <v>1950000</v>
      </c>
      <c r="AE541" s="9">
        <f>AE540</f>
        <v>766528.13</v>
      </c>
      <c r="AF541" s="9">
        <f>SUM(AD540:AE541)</f>
        <v>3483056.26</v>
      </c>
      <c r="AG541" s="256" t="s">
        <v>428</v>
      </c>
      <c r="AH541" s="9">
        <f>(+$AD$572+$AE$572)/20*0.61</f>
        <v>1692697.4393499999</v>
      </c>
      <c r="AI541" s="9">
        <v>1</v>
      </c>
      <c r="AJ541" s="256">
        <f>(+AF541/(1960987552))*229000</f>
        <v>406.74398097352122</v>
      </c>
    </row>
    <row r="542" spans="4:37">
      <c r="AC542" s="266">
        <f t="shared" si="49"/>
        <v>29200000</v>
      </c>
      <c r="AD542" s="266"/>
      <c r="AE542" s="266">
        <v>732403.13</v>
      </c>
      <c r="AF542" s="350"/>
      <c r="AG542" s="349" t="s">
        <v>429</v>
      </c>
      <c r="AH542" s="266"/>
      <c r="AI542" s="350"/>
      <c r="AJ542" s="349"/>
    </row>
    <row r="543" spans="4:37" ht="15.75">
      <c r="AB543" s="11"/>
      <c r="AC543" s="9">
        <f t="shared" si="49"/>
        <v>29200000</v>
      </c>
      <c r="AD543" s="9">
        <f>AD541</f>
        <v>1950000</v>
      </c>
      <c r="AE543" s="9">
        <f>AE542</f>
        <v>732403.13</v>
      </c>
      <c r="AF543" s="9">
        <f>SUM(AD542:AE543)</f>
        <v>3414806.26</v>
      </c>
      <c r="AG543" s="256" t="s">
        <v>430</v>
      </c>
      <c r="AH543" s="9">
        <f>(+$AD$572+$AE$572)/20*0.61</f>
        <v>1692697.4393499999</v>
      </c>
      <c r="AI543" s="9">
        <f>AI541+1</f>
        <v>2</v>
      </c>
      <c r="AJ543" s="256">
        <f>(+AF543/(1960987552))*229000</f>
        <v>398.77388958560812</v>
      </c>
    </row>
    <row r="544" spans="4:37" ht="15.75" thickBot="1">
      <c r="AC544" s="266">
        <f t="shared" si="49"/>
        <v>27250000</v>
      </c>
      <c r="AD544" s="266"/>
      <c r="AE544" s="266">
        <v>688528.13</v>
      </c>
      <c r="AF544" s="350"/>
      <c r="AG544" s="349" t="s">
        <v>431</v>
      </c>
      <c r="AH544" s="266"/>
      <c r="AI544" s="350"/>
      <c r="AJ544" s="349"/>
    </row>
    <row r="545" spans="20:36" ht="15.75">
      <c r="T545" s="361"/>
      <c r="U545" s="361"/>
      <c r="V545" s="362" t="s">
        <v>39</v>
      </c>
      <c r="W545" s="362" t="s">
        <v>40</v>
      </c>
      <c r="X545" s="363"/>
      <c r="AC545" s="9">
        <f t="shared" si="49"/>
        <v>27250000</v>
      </c>
      <c r="AD545" s="9">
        <f>AD543</f>
        <v>1950000</v>
      </c>
      <c r="AE545" s="9">
        <f>AE544</f>
        <v>688528.13</v>
      </c>
      <c r="AF545" s="9">
        <f>SUM(AD544:AE545)</f>
        <v>3327056.26</v>
      </c>
      <c r="AG545" s="256" t="s">
        <v>432</v>
      </c>
      <c r="AH545" s="9">
        <f>(+$AD$572+$AE$572)/20*0.61</f>
        <v>1692697.4393499999</v>
      </c>
      <c r="AI545" s="9">
        <f>AI543+1</f>
        <v>3</v>
      </c>
      <c r="AJ545" s="256">
        <f>(+AF545/(1960987552))*229000</f>
        <v>388.52662922971984</v>
      </c>
    </row>
    <row r="546" spans="20:36">
      <c r="T546" s="9" t="s">
        <v>448</v>
      </c>
      <c r="V546" s="9">
        <v>1300000</v>
      </c>
      <c r="W546" s="335">
        <v>3.7499999999999999E-2</v>
      </c>
      <c r="X546" s="363"/>
      <c r="AC546" s="266">
        <f t="shared" si="49"/>
        <v>25300000</v>
      </c>
      <c r="AD546" s="266"/>
      <c r="AE546" s="266">
        <v>639778.13</v>
      </c>
      <c r="AF546" s="350"/>
      <c r="AG546" s="349" t="s">
        <v>433</v>
      </c>
      <c r="AH546" s="266"/>
      <c r="AI546" s="350"/>
      <c r="AJ546" s="349"/>
    </row>
    <row r="547" spans="20:36" ht="15.75">
      <c r="T547" s="9" t="s">
        <v>449</v>
      </c>
      <c r="V547" s="9">
        <v>70000</v>
      </c>
      <c r="W547" s="335">
        <v>3.7499999999999999E-2</v>
      </c>
      <c r="X547" s="363"/>
      <c r="AC547" s="9">
        <f t="shared" si="49"/>
        <v>25300000</v>
      </c>
      <c r="AD547" s="9">
        <f>AD545</f>
        <v>1950000</v>
      </c>
      <c r="AE547" s="9">
        <f>AE546</f>
        <v>639778.13</v>
      </c>
      <c r="AF547" s="9">
        <f>SUM(AD546:AE547)</f>
        <v>3229556.26</v>
      </c>
      <c r="AG547" s="256" t="s">
        <v>434</v>
      </c>
      <c r="AH547" s="9">
        <f>(+$AD$572+$AE$572)/20*0.61</f>
        <v>1692697.4393499999</v>
      </c>
      <c r="AI547" s="9">
        <f>AI545+1</f>
        <v>4</v>
      </c>
      <c r="AJ547" s="256">
        <f>(+AF547/(1960987552))*229000</f>
        <v>377.14078438984399</v>
      </c>
    </row>
    <row r="548" spans="20:36">
      <c r="T548" s="9" t="s">
        <v>450</v>
      </c>
      <c r="V548" s="9">
        <v>100000</v>
      </c>
      <c r="W548" s="335">
        <v>3.7499999999999999E-2</v>
      </c>
      <c r="X548" s="363"/>
      <c r="AC548" s="266">
        <f t="shared" si="49"/>
        <v>23350000</v>
      </c>
      <c r="AD548" s="266"/>
      <c r="AE548" s="266">
        <v>591028.13</v>
      </c>
      <c r="AF548" s="350"/>
      <c r="AG548" s="349" t="s">
        <v>435</v>
      </c>
      <c r="AH548" s="266"/>
      <c r="AI548" s="350"/>
      <c r="AJ548" s="349"/>
    </row>
    <row r="549" spans="20:36" ht="15.75">
      <c r="T549" s="9" t="s">
        <v>451</v>
      </c>
      <c r="V549" s="9">
        <v>650000</v>
      </c>
      <c r="W549" s="335">
        <v>3.7499999999999999E-2</v>
      </c>
      <c r="X549" s="363"/>
      <c r="AC549" s="9">
        <f t="shared" si="49"/>
        <v>23350000</v>
      </c>
      <c r="AD549" s="9">
        <f>AD547</f>
        <v>1950000</v>
      </c>
      <c r="AE549" s="9">
        <f>AE548</f>
        <v>591028.13</v>
      </c>
      <c r="AF549" s="9">
        <f>SUM(AD548:AE549)</f>
        <v>3132056.26</v>
      </c>
      <c r="AG549" s="256" t="s">
        <v>436</v>
      </c>
      <c r="AH549" s="9">
        <f>(+$AD$572+$AE$572)/20*0.61</f>
        <v>1692697.4393499999</v>
      </c>
      <c r="AI549" s="9">
        <f>AI547+1</f>
        <v>5</v>
      </c>
      <c r="AJ549" s="256">
        <f>(+AF549/(1960987552))*229000</f>
        <v>365.75493954996813</v>
      </c>
    </row>
    <row r="550" spans="20:36">
      <c r="T550" s="9" t="s">
        <v>452</v>
      </c>
      <c r="V550" s="9">
        <v>3880000</v>
      </c>
      <c r="W550" s="335">
        <v>3.7499999999999999E-2</v>
      </c>
      <c r="X550" s="363"/>
      <c r="AC550" s="266">
        <f t="shared" si="49"/>
        <v>21400000</v>
      </c>
      <c r="AD550" s="266"/>
      <c r="AE550" s="266">
        <v>542278.13</v>
      </c>
      <c r="AF550" s="350"/>
      <c r="AG550" s="349" t="s">
        <v>438</v>
      </c>
      <c r="AH550" s="266"/>
      <c r="AI550" s="350"/>
      <c r="AJ550" s="349"/>
    </row>
    <row r="551" spans="20:36" ht="15.75">
      <c r="T551" s="9" t="s">
        <v>452</v>
      </c>
      <c r="V551" s="259">
        <v>24120000</v>
      </c>
      <c r="W551" s="335">
        <v>4.2500000000000003E-2</v>
      </c>
      <c r="X551" s="363"/>
      <c r="AC551" s="9">
        <f t="shared" si="49"/>
        <v>21400000</v>
      </c>
      <c r="AD551" s="9">
        <f>AD549</f>
        <v>1950000</v>
      </c>
      <c r="AE551" s="9">
        <f>AE550</f>
        <v>542278.13</v>
      </c>
      <c r="AF551" s="9">
        <f>SUM(AD550:AE551)</f>
        <v>3034556.26</v>
      </c>
      <c r="AG551" s="256" t="s">
        <v>439</v>
      </c>
      <c r="AH551" s="9">
        <f>(+$AD$572+$AE$572)/20*0.61</f>
        <v>1692697.4393499999</v>
      </c>
      <c r="AI551" s="9">
        <f>AI549+1</f>
        <v>6</v>
      </c>
      <c r="AJ551" s="256">
        <f>(+AF551/(1960987552))*229000</f>
        <v>354.36909471009227</v>
      </c>
    </row>
    <row r="552" spans="20:36">
      <c r="T552" s="9" t="s">
        <v>453</v>
      </c>
      <c r="V552" s="9">
        <f>SUM(V546:V551)</f>
        <v>30120000</v>
      </c>
      <c r="X552" s="363"/>
      <c r="AC552" s="266">
        <f t="shared" si="49"/>
        <v>19450000</v>
      </c>
      <c r="AD552" s="266"/>
      <c r="AE552" s="266">
        <v>499621.88</v>
      </c>
      <c r="AF552" s="350"/>
      <c r="AG552" s="349" t="s">
        <v>224</v>
      </c>
      <c r="AH552" s="266"/>
      <c r="AI552" s="350"/>
      <c r="AJ552" s="349"/>
    </row>
    <row r="553" spans="20:36" ht="15.75">
      <c r="X553" s="363"/>
      <c r="AC553" s="9">
        <f t="shared" si="49"/>
        <v>19450000</v>
      </c>
      <c r="AD553" s="9">
        <v>1945000</v>
      </c>
      <c r="AE553" s="9">
        <f>AE552</f>
        <v>499621.88</v>
      </c>
      <c r="AF553" s="9">
        <f>SUM(AD552:AE553)</f>
        <v>2944243.76</v>
      </c>
      <c r="AG553" s="256" t="s">
        <v>225</v>
      </c>
      <c r="AH553" s="9">
        <f>(+$AD$572+$AE$572)/20*0.61</f>
        <v>1692697.4393499999</v>
      </c>
      <c r="AI553" s="9">
        <f>AI551+1</f>
        <v>7</v>
      </c>
      <c r="AJ553" s="256">
        <f>(+AF553/(1960987552))*229000</f>
        <v>343.82259099623286</v>
      </c>
    </row>
    <row r="554" spans="20:36">
      <c r="T554" s="9" t="s">
        <v>454</v>
      </c>
      <c r="X554" s="363"/>
      <c r="AC554" s="266">
        <f t="shared" si="49"/>
        <v>17505000</v>
      </c>
      <c r="AD554" s="266"/>
      <c r="AE554" s="266">
        <v>457075</v>
      </c>
      <c r="AF554" s="350"/>
      <c r="AG554" s="349" t="s">
        <v>226</v>
      </c>
      <c r="AH554" s="266"/>
      <c r="AI554" s="350"/>
      <c r="AJ554" s="349"/>
    </row>
    <row r="555" spans="20:36" ht="15.75">
      <c r="T555" s="9" t="s">
        <v>455</v>
      </c>
      <c r="V555" s="9">
        <v>13090000</v>
      </c>
      <c r="W555" s="335">
        <v>4.2500000000000003E-2</v>
      </c>
      <c r="X555" s="363"/>
      <c r="AC555" s="9">
        <f t="shared" si="49"/>
        <v>17505000</v>
      </c>
      <c r="AD555" s="9">
        <f>AD553</f>
        <v>1945000</v>
      </c>
      <c r="AE555" s="9">
        <f>AE554</f>
        <v>457075</v>
      </c>
      <c r="AF555" s="9">
        <f>SUM(AD554:AE555)</f>
        <v>2859150</v>
      </c>
      <c r="AG555" s="256" t="s">
        <v>227</v>
      </c>
      <c r="AH555" s="9">
        <f>(+$AD$572+$AE$572)/20*0.61</f>
        <v>1692697.4393499999</v>
      </c>
      <c r="AI555" s="9">
        <f>AI553+1</f>
        <v>8</v>
      </c>
      <c r="AJ555" s="256">
        <f>(+AF555/(1960987552))*229000</f>
        <v>333.88552075826738</v>
      </c>
    </row>
    <row r="556" spans="20:36">
      <c r="T556" s="9" t="s">
        <v>456</v>
      </c>
      <c r="U556" s="9">
        <f>28000000-V555</f>
        <v>14910000</v>
      </c>
      <c r="V556" s="9">
        <v>3880000</v>
      </c>
      <c r="W556" s="335">
        <v>3.7499999999999999E-2</v>
      </c>
      <c r="X556" s="363"/>
      <c r="AC556" s="266">
        <f t="shared" si="49"/>
        <v>15560000</v>
      </c>
      <c r="AD556" s="266"/>
      <c r="AE556" s="266">
        <v>406018.75</v>
      </c>
      <c r="AF556" s="350"/>
      <c r="AG556" s="349" t="s">
        <v>228</v>
      </c>
      <c r="AH556" s="266"/>
      <c r="AI556" s="350"/>
      <c r="AJ556" s="349"/>
    </row>
    <row r="557" spans="20:36" ht="15.75">
      <c r="T557" s="9" t="s">
        <v>456</v>
      </c>
      <c r="V557" s="259">
        <f>U556-V556</f>
        <v>11030000</v>
      </c>
      <c r="W557" s="335">
        <v>4.2500000000000003E-2</v>
      </c>
      <c r="X557" s="363"/>
      <c r="AC557" s="9">
        <f t="shared" si="49"/>
        <v>15560000</v>
      </c>
      <c r="AD557" s="9">
        <f>AD555</f>
        <v>1945000</v>
      </c>
      <c r="AE557" s="9">
        <f>AE556</f>
        <v>406018.75</v>
      </c>
      <c r="AF557" s="9">
        <f>SUM(AD556:AE557)</f>
        <v>2757037.5</v>
      </c>
      <c r="AG557" s="256" t="s">
        <v>229</v>
      </c>
      <c r="AH557" s="9">
        <f>(+$AD$572+$AE$572)/20*0.61</f>
        <v>1692697.4393499999</v>
      </c>
      <c r="AI557" s="9">
        <f>AI555+1</f>
        <v>9</v>
      </c>
      <c r="AJ557" s="256">
        <f>(+AF557/(1960987552))*229000</f>
        <v>321.9610378740436</v>
      </c>
    </row>
    <row r="558" spans="20:36" ht="15.75" thickBot="1">
      <c r="V558" s="9">
        <f>SUM(V555:V557)</f>
        <v>28000000</v>
      </c>
      <c r="X558" s="363"/>
      <c r="AC558" s="266">
        <f t="shared" si="49"/>
        <v>13615000</v>
      </c>
      <c r="AD558" s="266"/>
      <c r="AE558" s="266">
        <v>353746.88</v>
      </c>
      <c r="AF558" s="350"/>
      <c r="AG558" s="349" t="s">
        <v>230</v>
      </c>
      <c r="AH558" s="266"/>
      <c r="AI558" s="350"/>
      <c r="AJ558" s="349"/>
    </row>
    <row r="559" spans="20:36" ht="15.75">
      <c r="T559" s="361"/>
      <c r="U559" s="361"/>
      <c r="V559" s="361"/>
      <c r="W559" s="361"/>
      <c r="AC559" s="9">
        <f t="shared" si="49"/>
        <v>13615000</v>
      </c>
      <c r="AD559" s="9">
        <f>AD557</f>
        <v>1945000</v>
      </c>
      <c r="AE559" s="9">
        <f>AE558</f>
        <v>353746.88</v>
      </c>
      <c r="AF559" s="9">
        <f>SUM(AD558:AE559)</f>
        <v>2652493.7599999998</v>
      </c>
      <c r="AG559" s="256" t="s">
        <v>231</v>
      </c>
      <c r="AH559" s="9">
        <f>(+$AD$572+$AE$572)/20*0.61</f>
        <v>1692697.4393499999</v>
      </c>
      <c r="AI559" s="9">
        <f>AI557+1</f>
        <v>10</v>
      </c>
      <c r="AJ559" s="256">
        <f>(+AF559/(1960987552))*229000</f>
        <v>309.75263989845052</v>
      </c>
    </row>
    <row r="560" spans="20:36">
      <c r="AC560" s="266">
        <f t="shared" si="49"/>
        <v>11670000</v>
      </c>
      <c r="AD560" s="266"/>
      <c r="AE560" s="266">
        <v>301475</v>
      </c>
      <c r="AF560" s="350"/>
      <c r="AG560" s="349" t="s">
        <v>232</v>
      </c>
      <c r="AH560" s="266"/>
      <c r="AI560" s="350"/>
      <c r="AJ560" s="349"/>
    </row>
    <row r="561" spans="28:36" ht="15.75">
      <c r="AC561" s="9">
        <f t="shared" si="49"/>
        <v>11670000</v>
      </c>
      <c r="AD561" s="9">
        <f>AD559</f>
        <v>1945000</v>
      </c>
      <c r="AE561" s="9">
        <f>AE560</f>
        <v>301475</v>
      </c>
      <c r="AF561" s="9">
        <f>SUM(AD560:AE561)</f>
        <v>2547950</v>
      </c>
      <c r="AG561" s="256" t="s">
        <v>233</v>
      </c>
      <c r="AH561" s="9">
        <f>(+$AD$572+$AE$572)/20*0.61</f>
        <v>1692697.4393499999</v>
      </c>
      <c r="AI561" s="9">
        <f>AI559+1</f>
        <v>11</v>
      </c>
      <c r="AJ561" s="256">
        <f>(+AF561/(1960987552))*229000</f>
        <v>297.54423958729956</v>
      </c>
    </row>
    <row r="562" spans="28:36">
      <c r="AC562" s="266">
        <f t="shared" si="49"/>
        <v>9725000</v>
      </c>
      <c r="AD562" s="266"/>
      <c r="AE562" s="266">
        <v>247987.5</v>
      </c>
      <c r="AF562" s="350"/>
      <c r="AG562" s="349" t="s">
        <v>234</v>
      </c>
      <c r="AH562" s="266"/>
      <c r="AI562" s="350"/>
      <c r="AJ562" s="349"/>
    </row>
    <row r="563" spans="28:36" ht="15.75">
      <c r="AC563" s="9">
        <f t="shared" si="49"/>
        <v>9725000</v>
      </c>
      <c r="AD563" s="9">
        <f>AD561</f>
        <v>1945000</v>
      </c>
      <c r="AE563" s="9">
        <f>AE562</f>
        <v>247987.5</v>
      </c>
      <c r="AF563" s="9">
        <f>SUM(AD562:AE563)</f>
        <v>2440975</v>
      </c>
      <c r="AG563" s="256" t="s">
        <v>235</v>
      </c>
      <c r="AH563" s="9">
        <f>(+$AD$572+$AE$572)/20*0.61</f>
        <v>1692697.4393499999</v>
      </c>
      <c r="AI563" s="9">
        <f>AI561+1</f>
        <v>12</v>
      </c>
      <c r="AJ563" s="256">
        <f>(+AF563/(1960987552))*229000</f>
        <v>285.0519241847793</v>
      </c>
    </row>
    <row r="564" spans="28:36">
      <c r="AC564" s="266">
        <f t="shared" si="49"/>
        <v>7780000</v>
      </c>
      <c r="AD564" s="266"/>
      <c r="AE564" s="266">
        <v>195715.63</v>
      </c>
      <c r="AF564" s="350"/>
      <c r="AG564" s="349" t="s">
        <v>236</v>
      </c>
      <c r="AH564" s="266"/>
      <c r="AI564" s="350"/>
      <c r="AJ564" s="349"/>
    </row>
    <row r="565" spans="28:36" ht="15.75">
      <c r="AC565" s="9">
        <f t="shared" si="49"/>
        <v>7780000</v>
      </c>
      <c r="AD565" s="9">
        <f>AD563</f>
        <v>1945000</v>
      </c>
      <c r="AE565" s="9">
        <f>AE564</f>
        <v>195715.63</v>
      </c>
      <c r="AF565" s="9">
        <f>SUM(AD564:AE565)</f>
        <v>2336431.2599999998</v>
      </c>
      <c r="AG565" s="256" t="s">
        <v>237</v>
      </c>
      <c r="AH565" s="9">
        <f>(+$AD$572+$AE$572)/20*0.61</f>
        <v>1692697.4393499999</v>
      </c>
      <c r="AI565" s="9">
        <f>AI563+1</f>
        <v>13</v>
      </c>
      <c r="AJ565" s="256">
        <f>(+AF565/(1960987552))*229000</f>
        <v>272.84352620918622</v>
      </c>
    </row>
    <row r="566" spans="28:36">
      <c r="AC566" s="266">
        <f t="shared" si="49"/>
        <v>5835000</v>
      </c>
      <c r="AD566" s="266"/>
      <c r="AE566" s="266">
        <v>147090.63</v>
      </c>
      <c r="AF566" s="350"/>
      <c r="AG566" s="349" t="s">
        <v>238</v>
      </c>
      <c r="AH566" s="266"/>
      <c r="AI566" s="350"/>
      <c r="AJ566" s="349"/>
    </row>
    <row r="567" spans="28:36" ht="15.75">
      <c r="AC567" s="9">
        <f t="shared" si="49"/>
        <v>5835000</v>
      </c>
      <c r="AD567" s="9">
        <f>AD565</f>
        <v>1945000</v>
      </c>
      <c r="AE567" s="9">
        <f>AE566</f>
        <v>147090.63</v>
      </c>
      <c r="AF567" s="9">
        <f>SUM(AD566:AE567)</f>
        <v>2239181.2599999998</v>
      </c>
      <c r="AG567" s="256" t="s">
        <v>239</v>
      </c>
      <c r="AH567" s="9">
        <f>(+$AD$572+$AE$572)/20*0.61</f>
        <v>1692697.4393499999</v>
      </c>
      <c r="AI567" s="9">
        <f>AI565+1</f>
        <v>14</v>
      </c>
      <c r="AJ567" s="256">
        <f>(+AF567/(1960987552))*229000</f>
        <v>261.48687584325876</v>
      </c>
    </row>
    <row r="568" spans="28:36">
      <c r="AC568" s="266">
        <f t="shared" si="49"/>
        <v>3890000</v>
      </c>
      <c r="AD568" s="266"/>
      <c r="AE568" s="266">
        <v>98465.63</v>
      </c>
      <c r="AF568" s="350"/>
      <c r="AG568" s="349" t="s">
        <v>240</v>
      </c>
      <c r="AH568" s="266"/>
      <c r="AI568" s="350"/>
      <c r="AJ568" s="349"/>
    </row>
    <row r="569" spans="28:36" ht="15.75">
      <c r="AC569" s="9">
        <f t="shared" si="49"/>
        <v>3890000</v>
      </c>
      <c r="AD569" s="9">
        <f>AD567</f>
        <v>1945000</v>
      </c>
      <c r="AE569" s="9">
        <f>AE568</f>
        <v>98465.63</v>
      </c>
      <c r="AF569" s="9">
        <f>SUM(AD568:AE569)</f>
        <v>2141931.2599999998</v>
      </c>
      <c r="AG569" s="256" t="s">
        <v>241</v>
      </c>
      <c r="AH569" s="9">
        <f>(+$AD$572+$AE$572)/20*0.61</f>
        <v>1692697.4393499999</v>
      </c>
      <c r="AI569" s="9">
        <f>AI567+1</f>
        <v>15</v>
      </c>
      <c r="AJ569" s="256">
        <f>(+AF569/(1960987552))*229000</f>
        <v>250.13022547733132</v>
      </c>
    </row>
    <row r="570" spans="28:36">
      <c r="AC570" s="266">
        <f t="shared" si="49"/>
        <v>1945000</v>
      </c>
      <c r="AD570" s="266"/>
      <c r="AE570" s="266">
        <v>48625</v>
      </c>
      <c r="AF570" s="350"/>
      <c r="AG570" s="349" t="s">
        <v>242</v>
      </c>
      <c r="AH570" s="266"/>
      <c r="AI570" s="350"/>
      <c r="AJ570" s="349"/>
    </row>
    <row r="571" spans="28:36" ht="15.75">
      <c r="AC571" s="9">
        <f t="shared" si="49"/>
        <v>1945000</v>
      </c>
      <c r="AD571" s="9">
        <f>AD569</f>
        <v>1945000</v>
      </c>
      <c r="AE571" s="9">
        <f>AE570</f>
        <v>48625</v>
      </c>
      <c r="AF571" s="9">
        <f>SUM(AD570:AE571)</f>
        <v>2042250</v>
      </c>
      <c r="AG571" s="256" t="s">
        <v>243</v>
      </c>
      <c r="AH571" s="9">
        <f>(+$AD$572+$AE$572)/20*0.61</f>
        <v>1692697.4393499999</v>
      </c>
      <c r="AI571" s="9">
        <f>AI569+1</f>
        <v>16</v>
      </c>
      <c r="AJ571" s="256">
        <f>(+AF571/(1960987552))*229000</f>
        <v>238.4896576844767</v>
      </c>
    </row>
    <row r="572" spans="28:36">
      <c r="AB572" s="11" t="s">
        <v>457</v>
      </c>
      <c r="AC572" s="266"/>
      <c r="AD572" s="266">
        <f>SUM(AD532:AD571)</f>
        <v>36998439</v>
      </c>
      <c r="AE572" s="266">
        <f>SUM(AE533:AE571)</f>
        <v>18499837.700000003</v>
      </c>
      <c r="AF572" s="266"/>
      <c r="AG572" s="349"/>
      <c r="AH572" s="266">
        <f>SUM(AH532:AH571)</f>
        <v>27083159.029600009</v>
      </c>
      <c r="AI572" s="266"/>
      <c r="AJ572" s="266"/>
    </row>
    <row r="573" spans="28:36">
      <c r="AB573" s="11" t="s">
        <v>458</v>
      </c>
      <c r="AC573" s="266"/>
      <c r="AD573" s="266"/>
      <c r="AE573" s="266"/>
      <c r="AF573" s="266"/>
      <c r="AG573" s="349"/>
      <c r="AH573" s="266"/>
      <c r="AI573" s="266"/>
      <c r="AJ573" s="266"/>
    </row>
    <row r="574" spans="28:36">
      <c r="AE574" s="9">
        <f>AE572+AD572</f>
        <v>55498276.700000003</v>
      </c>
      <c r="AF574" s="9">
        <f>AE574*0.61</f>
        <v>33853948.787</v>
      </c>
      <c r="AH574" s="335">
        <f>AH572/(AD572+AE572)</f>
        <v>0.48800000000000016</v>
      </c>
    </row>
    <row r="575" spans="28:36">
      <c r="AG575" s="338"/>
    </row>
    <row r="576" spans="28:36">
      <c r="AH576" s="335"/>
    </row>
    <row r="577" spans="28:36">
      <c r="AB577" s="11"/>
      <c r="AC577" s="353" t="s">
        <v>459</v>
      </c>
      <c r="AG577" s="344"/>
      <c r="AJ577" s="344"/>
    </row>
    <row r="578" spans="28:36">
      <c r="AB578" s="11" t="s">
        <v>39</v>
      </c>
      <c r="AC578" s="9">
        <v>3378700</v>
      </c>
      <c r="AD578" s="338"/>
      <c r="AE578" s="338">
        <v>1192500</v>
      </c>
      <c r="AF578" s="338" t="s">
        <v>460</v>
      </c>
      <c r="AG578" s="344"/>
      <c r="AH578" s="341">
        <f>AE578/3483884</f>
        <v>0.34229038624707364</v>
      </c>
      <c r="AI578" s="342" t="s">
        <v>461</v>
      </c>
      <c r="AJ578" s="344"/>
    </row>
    <row r="579" spans="28:36">
      <c r="AB579" s="11" t="s">
        <v>40</v>
      </c>
      <c r="AC579" s="335">
        <v>0</v>
      </c>
      <c r="AG579" s="344"/>
      <c r="AJ579" s="344"/>
    </row>
    <row r="580" spans="28:36">
      <c r="AB580" s="11" t="s">
        <v>41</v>
      </c>
      <c r="AC580" s="9">
        <v>20</v>
      </c>
      <c r="AD580" s="335"/>
      <c r="AG580" s="344"/>
      <c r="AH580" s="259"/>
    </row>
    <row r="581" spans="28:36">
      <c r="AB581" s="11"/>
      <c r="AC581" s="342" t="s">
        <v>43</v>
      </c>
      <c r="AD581" s="342" t="s">
        <v>44</v>
      </c>
      <c r="AE581" s="341" t="s">
        <v>45</v>
      </c>
      <c r="AF581" s="341" t="s">
        <v>46</v>
      </c>
      <c r="AI581" s="259"/>
      <c r="AJ581" s="259"/>
    </row>
    <row r="582" spans="28:36">
      <c r="AB582" s="11" t="s">
        <v>462</v>
      </c>
      <c r="AC582" s="9">
        <v>440000</v>
      </c>
      <c r="AF582" s="335"/>
      <c r="AG582" s="338" t="s">
        <v>387</v>
      </c>
      <c r="AI582" s="335"/>
      <c r="AJ582" s="338"/>
    </row>
    <row r="583" spans="28:36" ht="15.75">
      <c r="AB583" s="11" t="s">
        <v>463</v>
      </c>
      <c r="AC583" s="9">
        <f>2750000+733884</f>
        <v>3483884</v>
      </c>
      <c r="AE583" s="9">
        <v>8409</v>
      </c>
      <c r="AF583" s="9">
        <f>SUM(AD582:AE583)</f>
        <v>8409</v>
      </c>
      <c r="AG583" s="256" t="s">
        <v>388</v>
      </c>
      <c r="AJ583" s="256"/>
    </row>
    <row r="584" spans="28:36">
      <c r="AB584" s="11" t="s">
        <v>464</v>
      </c>
      <c r="AC584" s="266">
        <v>3483884</v>
      </c>
      <c r="AD584" s="266"/>
      <c r="AE584" s="266">
        <f>AC584*0.015</f>
        <v>52258.259999999995</v>
      </c>
      <c r="AF584" s="350"/>
      <c r="AG584" s="349" t="s">
        <v>390</v>
      </c>
      <c r="AH584" s="266"/>
      <c r="AI584" s="350"/>
      <c r="AJ584" s="349"/>
    </row>
    <row r="585" spans="28:36" ht="15.75">
      <c r="AC585" s="9">
        <f>2750000+733884</f>
        <v>3483884</v>
      </c>
      <c r="AF585" s="9">
        <f>SUM(AD584:AE585)</f>
        <v>52258.259999999995</v>
      </c>
      <c r="AG585" s="256" t="s">
        <v>391</v>
      </c>
      <c r="AJ585" s="256"/>
    </row>
    <row r="586" spans="28:36">
      <c r="AB586" s="11"/>
      <c r="AC586" s="266">
        <f t="shared" ref="AC586:AC629" si="50">AC585-AD585</f>
        <v>3483884</v>
      </c>
      <c r="AD586" s="266"/>
      <c r="AE586" s="266"/>
      <c r="AF586" s="350"/>
      <c r="AG586" s="349" t="s">
        <v>392</v>
      </c>
      <c r="AH586" s="266"/>
      <c r="AI586" s="350"/>
      <c r="AJ586" s="349"/>
    </row>
    <row r="587" spans="28:36" ht="15.75">
      <c r="AB587" s="364" t="s">
        <v>465</v>
      </c>
      <c r="AC587" s="9">
        <f t="shared" si="50"/>
        <v>3483884</v>
      </c>
      <c r="AD587" s="9">
        <v>98287.2</v>
      </c>
      <c r="AE587" s="9">
        <v>34441.74</v>
      </c>
      <c r="AF587" s="9">
        <f>SUM(AD586:AE587)</f>
        <v>132728.94</v>
      </c>
      <c r="AG587" s="256" t="s">
        <v>393</v>
      </c>
      <c r="AJ587" s="256"/>
    </row>
    <row r="588" spans="28:36" ht="15.75">
      <c r="AB588" s="364" t="s">
        <v>466</v>
      </c>
      <c r="AC588" s="266">
        <f t="shared" si="50"/>
        <v>3385596.8</v>
      </c>
      <c r="AD588" s="266"/>
      <c r="AE588" s="266"/>
      <c r="AF588" s="350"/>
      <c r="AG588" s="349" t="s">
        <v>394</v>
      </c>
      <c r="AH588" s="266"/>
      <c r="AI588" s="350"/>
      <c r="AJ588" s="349"/>
    </row>
    <row r="589" spans="28:36" ht="15.75">
      <c r="AB589" s="11"/>
      <c r="AC589" s="9">
        <f t="shared" si="50"/>
        <v>3385596.8</v>
      </c>
      <c r="AD589" s="9">
        <v>118624.05</v>
      </c>
      <c r="AE589" s="9">
        <v>33054.53</v>
      </c>
      <c r="AF589" s="9">
        <f>SUM(AD588:AE589)</f>
        <v>151678.58000000002</v>
      </c>
      <c r="AG589" s="256" t="s">
        <v>395</v>
      </c>
      <c r="AJ589" s="256"/>
    </row>
    <row r="590" spans="28:36">
      <c r="AB590" s="11"/>
      <c r="AC590" s="266">
        <f t="shared" si="50"/>
        <v>3266972.75</v>
      </c>
      <c r="AD590" s="266"/>
      <c r="AE590" s="266"/>
      <c r="AF590" s="350"/>
      <c r="AG590" s="349" t="s">
        <v>396</v>
      </c>
      <c r="AH590" s="266"/>
      <c r="AI590" s="350"/>
      <c r="AJ590" s="349"/>
    </row>
    <row r="591" spans="28:36" ht="15.75">
      <c r="AB591" s="11"/>
      <c r="AC591" s="9">
        <f t="shared" si="50"/>
        <v>3266972.75</v>
      </c>
      <c r="AD591" s="9">
        <v>120136.84</v>
      </c>
      <c r="AE591" s="9">
        <v>31819.25</v>
      </c>
      <c r="AF591" s="9">
        <f>SUM(AD590:AE591)</f>
        <v>151956.09</v>
      </c>
      <c r="AG591" s="256" t="s">
        <v>397</v>
      </c>
      <c r="AJ591" s="256"/>
    </row>
    <row r="592" spans="28:36">
      <c r="AC592" s="266">
        <f t="shared" si="50"/>
        <v>3146835.91</v>
      </c>
      <c r="AD592" s="266"/>
      <c r="AE592" s="266"/>
      <c r="AF592" s="350"/>
      <c r="AG592" s="349" t="s">
        <v>398</v>
      </c>
      <c r="AH592" s="266"/>
      <c r="AI592" s="350"/>
      <c r="AJ592" s="349"/>
    </row>
    <row r="593" spans="28:37" ht="15.75">
      <c r="AB593" s="11"/>
      <c r="AC593" s="9">
        <f t="shared" si="50"/>
        <v>3146835.91</v>
      </c>
      <c r="AD593" s="9">
        <v>121601.56</v>
      </c>
      <c r="AE593" s="9">
        <v>30560.86</v>
      </c>
      <c r="AF593" s="9">
        <f>SUM(AD592:AE593)</f>
        <v>152162.41999999998</v>
      </c>
      <c r="AG593" s="256" t="s">
        <v>399</v>
      </c>
      <c r="AJ593" s="256"/>
    </row>
    <row r="594" spans="28:37">
      <c r="AC594" s="266">
        <f t="shared" si="50"/>
        <v>3025234.35</v>
      </c>
      <c r="AD594" s="266"/>
      <c r="AE594" s="266"/>
      <c r="AF594" s="350"/>
      <c r="AG594" s="349" t="s">
        <v>400</v>
      </c>
      <c r="AH594" s="266"/>
      <c r="AI594" s="350"/>
      <c r="AJ594" s="349"/>
    </row>
    <row r="595" spans="28:37" ht="15.75">
      <c r="AB595" s="11"/>
      <c r="AC595" s="9">
        <f t="shared" si="50"/>
        <v>3025234.35</v>
      </c>
      <c r="AD595" s="9">
        <v>123043.17</v>
      </c>
      <c r="AE595" s="9">
        <v>29279.35</v>
      </c>
      <c r="AF595" s="9">
        <f>SUM(AD594:AE595)</f>
        <v>152322.51999999999</v>
      </c>
      <c r="AG595" s="256" t="s">
        <v>401</v>
      </c>
      <c r="AJ595" s="256"/>
    </row>
    <row r="596" spans="28:37">
      <c r="AC596" s="266">
        <f t="shared" si="50"/>
        <v>2902191.18</v>
      </c>
      <c r="AD596" s="266"/>
      <c r="AE596" s="266"/>
      <c r="AF596" s="350"/>
      <c r="AG596" s="349" t="s">
        <v>402</v>
      </c>
      <c r="AH596" s="266"/>
      <c r="AI596" s="350"/>
      <c r="AJ596" s="349"/>
    </row>
    <row r="597" spans="28:37" ht="15.75">
      <c r="AC597" s="9">
        <f t="shared" si="50"/>
        <v>2902191.18</v>
      </c>
      <c r="AD597" s="9">
        <v>124561.66</v>
      </c>
      <c r="AE597" s="9">
        <v>27973.87</v>
      </c>
      <c r="AF597" s="9">
        <f>SUM(AD596:AE597)</f>
        <v>152535.53</v>
      </c>
      <c r="AG597" s="256" t="s">
        <v>403</v>
      </c>
      <c r="AJ597" s="256"/>
      <c r="AK597" s="9">
        <f>AJ597</f>
        <v>0</v>
      </c>
    </row>
    <row r="598" spans="28:37">
      <c r="AC598" s="266">
        <f t="shared" si="50"/>
        <v>2777629.52</v>
      </c>
      <c r="AD598" s="266"/>
      <c r="AE598" s="266"/>
      <c r="AF598" s="350"/>
      <c r="AG598" s="349" t="s">
        <v>404</v>
      </c>
      <c r="AH598" s="266"/>
      <c r="AI598" s="350"/>
      <c r="AJ598" s="349"/>
    </row>
    <row r="599" spans="28:37" ht="15.75">
      <c r="AC599" s="9">
        <f t="shared" si="50"/>
        <v>2777629.52</v>
      </c>
      <c r="AD599" s="9">
        <v>126156.18</v>
      </c>
      <c r="AE599" s="9">
        <v>26643.57</v>
      </c>
      <c r="AF599" s="9">
        <f>SUM(AD598:AE599)</f>
        <v>152799.75</v>
      </c>
      <c r="AG599" s="256" t="s">
        <v>405</v>
      </c>
      <c r="AJ599" s="256"/>
    </row>
    <row r="600" spans="28:37">
      <c r="AC600" s="266">
        <f t="shared" si="50"/>
        <v>2651473.34</v>
      </c>
      <c r="AD600" s="266"/>
      <c r="AE600" s="266"/>
      <c r="AF600" s="350"/>
      <c r="AG600" s="349" t="s">
        <v>406</v>
      </c>
      <c r="AH600" s="266"/>
      <c r="AI600" s="350"/>
      <c r="AJ600" s="349"/>
    </row>
    <row r="601" spans="28:37" ht="15.75">
      <c r="AC601" s="9">
        <f t="shared" si="50"/>
        <v>2651473.34</v>
      </c>
      <c r="AD601" s="9">
        <v>128525.88</v>
      </c>
      <c r="AE601" s="9">
        <v>24486.1</v>
      </c>
      <c r="AF601" s="9">
        <f>SUM(AD600:AE601)</f>
        <v>153011.98000000001</v>
      </c>
      <c r="AG601" s="256" t="s">
        <v>407</v>
      </c>
      <c r="AJ601" s="256"/>
    </row>
    <row r="602" spans="28:37">
      <c r="AC602" s="266">
        <f t="shared" si="50"/>
        <v>2522947.46</v>
      </c>
      <c r="AD602" s="266"/>
      <c r="AE602" s="266"/>
      <c r="AF602" s="350"/>
      <c r="AG602" s="349" t="s">
        <v>408</v>
      </c>
      <c r="AH602" s="266"/>
      <c r="AI602" s="350"/>
      <c r="AJ602" s="349"/>
    </row>
    <row r="603" spans="28:37" ht="15.75">
      <c r="AC603" s="9">
        <f t="shared" si="50"/>
        <v>2522947.46</v>
      </c>
      <c r="AD603" s="9">
        <v>130968.41</v>
      </c>
      <c r="AE603" s="9">
        <v>22266.240000000002</v>
      </c>
      <c r="AF603" s="9">
        <f>SUM(AD602:AE603)</f>
        <v>153234.65</v>
      </c>
      <c r="AG603" s="256" t="s">
        <v>327</v>
      </c>
      <c r="AJ603" s="256"/>
    </row>
    <row r="604" spans="28:37">
      <c r="AC604" s="266">
        <f t="shared" si="50"/>
        <v>2391979.0499999998</v>
      </c>
      <c r="AD604" s="266"/>
      <c r="AE604" s="266"/>
      <c r="AF604" s="350"/>
      <c r="AG604" s="349" t="s">
        <v>329</v>
      </c>
      <c r="AH604" s="266"/>
      <c r="AI604" s="350"/>
      <c r="AJ604" s="349"/>
    </row>
    <row r="605" spans="28:37" ht="15.75">
      <c r="AC605" s="9">
        <f t="shared" si="50"/>
        <v>2391979.0499999998</v>
      </c>
      <c r="AD605" s="9">
        <v>132948.54999999999</v>
      </c>
      <c r="AE605" s="9">
        <v>20619.060000000001</v>
      </c>
      <c r="AF605" s="9">
        <f>SUM(AD604:AE605)</f>
        <v>153567.60999999999</v>
      </c>
      <c r="AG605" s="256" t="s">
        <v>331</v>
      </c>
      <c r="AJ605" s="256"/>
    </row>
    <row r="606" spans="28:37">
      <c r="AC606" s="266">
        <f t="shared" si="50"/>
        <v>2259030.5</v>
      </c>
      <c r="AD606" s="266"/>
      <c r="AE606" s="266"/>
      <c r="AF606" s="350"/>
      <c r="AG606" s="349" t="s">
        <v>333</v>
      </c>
      <c r="AH606" s="266"/>
      <c r="AI606" s="350"/>
      <c r="AJ606" s="349"/>
    </row>
    <row r="607" spans="28:37" ht="15.75">
      <c r="AC607" s="9">
        <f t="shared" si="50"/>
        <v>2259030.5</v>
      </c>
      <c r="AD607" s="9">
        <v>135601.37</v>
      </c>
      <c r="AE607" s="9">
        <v>18176.32</v>
      </c>
      <c r="AF607" s="9">
        <f>SUM(AD606:AE607)</f>
        <v>153777.69</v>
      </c>
      <c r="AG607" s="256" t="s">
        <v>335</v>
      </c>
      <c r="AJ607" s="256"/>
    </row>
    <row r="608" spans="28:37">
      <c r="AC608" s="266">
        <f t="shared" si="50"/>
        <v>2123429.13</v>
      </c>
      <c r="AD608" s="266"/>
      <c r="AE608" s="266"/>
      <c r="AF608" s="350"/>
      <c r="AG608" s="349" t="s">
        <v>337</v>
      </c>
      <c r="AH608" s="266"/>
      <c r="AI608" s="350"/>
      <c r="AJ608" s="349"/>
    </row>
    <row r="609" spans="29:36" ht="15.75">
      <c r="AC609" s="9">
        <f t="shared" si="50"/>
        <v>2123429.13</v>
      </c>
      <c r="AD609" s="9">
        <v>138358.63</v>
      </c>
      <c r="AE609" s="9">
        <v>15659.8</v>
      </c>
      <c r="AF609" s="9">
        <f>SUM(AD608:AE609)</f>
        <v>154018.43</v>
      </c>
      <c r="AG609" s="256" t="s">
        <v>339</v>
      </c>
      <c r="AJ609" s="256"/>
    </row>
    <row r="610" spans="29:36">
      <c r="AC610" s="266">
        <f t="shared" si="50"/>
        <v>1985070.5</v>
      </c>
      <c r="AD610" s="266"/>
      <c r="AE610" s="266"/>
      <c r="AF610" s="350"/>
      <c r="AG610" s="349" t="s">
        <v>341</v>
      </c>
      <c r="AH610" s="266"/>
      <c r="AI610" s="350"/>
      <c r="AJ610" s="349"/>
    </row>
    <row r="611" spans="29:36" ht="15.75">
      <c r="AC611" s="9">
        <f t="shared" si="50"/>
        <v>1985070.5</v>
      </c>
      <c r="AD611" s="9">
        <v>127061.9</v>
      </c>
      <c r="AE611" s="9">
        <v>21455.7</v>
      </c>
      <c r="AF611" s="9">
        <f>SUM(AD610:AE611)</f>
        <v>148517.6</v>
      </c>
      <c r="AG611" s="256" t="s">
        <v>343</v>
      </c>
      <c r="AJ611" s="256"/>
    </row>
    <row r="612" spans="29:36">
      <c r="AC612" s="266">
        <f t="shared" si="50"/>
        <v>1858008.6</v>
      </c>
      <c r="AD612" s="266"/>
      <c r="AE612" s="266"/>
      <c r="AF612" s="350"/>
      <c r="AG612" s="349" t="s">
        <v>345</v>
      </c>
      <c r="AH612" s="266"/>
      <c r="AI612" s="350"/>
      <c r="AJ612" s="349"/>
    </row>
    <row r="613" spans="29:36" ht="15.75">
      <c r="AC613" s="9">
        <f t="shared" si="50"/>
        <v>1858008.6</v>
      </c>
      <c r="AD613" s="9">
        <v>97400</v>
      </c>
      <c r="AE613" s="9">
        <v>56219.9</v>
      </c>
      <c r="AF613" s="9">
        <f>SUM(AD612:AE613)</f>
        <v>153619.9</v>
      </c>
      <c r="AG613" s="256" t="s">
        <v>347</v>
      </c>
      <c r="AJ613" s="256"/>
    </row>
    <row r="614" spans="29:36">
      <c r="AC614" s="266">
        <f t="shared" si="50"/>
        <v>1760608.6</v>
      </c>
      <c r="AD614" s="266"/>
      <c r="AE614" s="266"/>
      <c r="AF614" s="350"/>
      <c r="AG614" s="349" t="s">
        <v>349</v>
      </c>
      <c r="AH614" s="266"/>
      <c r="AI614" s="350"/>
      <c r="AJ614" s="349"/>
    </row>
    <row r="615" spans="29:36" ht="15.75">
      <c r="AC615" s="9">
        <f t="shared" si="50"/>
        <v>1760608.6</v>
      </c>
      <c r="AD615" s="9">
        <v>146963.21</v>
      </c>
      <c r="AE615" s="9">
        <v>11485.66</v>
      </c>
      <c r="AF615" s="9">
        <f>SUM(AD614:AE615)</f>
        <v>158448.87</v>
      </c>
      <c r="AG615" s="256" t="s">
        <v>351</v>
      </c>
      <c r="AJ615" s="256"/>
    </row>
    <row r="616" spans="29:36">
      <c r="AC616" s="266">
        <f t="shared" si="50"/>
        <v>1613645.3900000001</v>
      </c>
      <c r="AD616" s="266"/>
      <c r="AE616" s="266"/>
      <c r="AF616" s="350"/>
      <c r="AG616" s="349" t="s">
        <v>353</v>
      </c>
      <c r="AH616" s="266"/>
      <c r="AI616" s="350"/>
      <c r="AJ616" s="349"/>
    </row>
    <row r="617" spans="29:36" ht="15.75">
      <c r="AC617" s="9">
        <f t="shared" si="50"/>
        <v>1613645.3900000001</v>
      </c>
      <c r="AD617" s="9">
        <v>149967.97</v>
      </c>
      <c r="AE617" s="9">
        <v>8709.56</v>
      </c>
      <c r="AF617" s="9">
        <f>SUM(AD616:AE617)</f>
        <v>158677.53</v>
      </c>
      <c r="AG617" s="256" t="s">
        <v>355</v>
      </c>
      <c r="AJ617" s="256"/>
    </row>
    <row r="618" spans="29:36">
      <c r="AC618" s="266">
        <f t="shared" si="50"/>
        <v>1463677.4200000002</v>
      </c>
      <c r="AD618" s="266"/>
      <c r="AE618" s="266"/>
      <c r="AF618" s="350"/>
      <c r="AG618" s="349" t="s">
        <v>356</v>
      </c>
      <c r="AH618" s="266"/>
      <c r="AI618" s="350"/>
      <c r="AJ618" s="349"/>
    </row>
    <row r="619" spans="29:36" ht="15.75">
      <c r="AC619" s="9">
        <f t="shared" si="50"/>
        <v>1463677.4200000002</v>
      </c>
      <c r="AD619" s="9">
        <v>150660</v>
      </c>
      <c r="AE619" s="9">
        <v>7161.56</v>
      </c>
      <c r="AF619" s="9">
        <f>SUM(AD618:AE619)</f>
        <v>157821.56</v>
      </c>
      <c r="AG619" s="256" t="s">
        <v>357</v>
      </c>
      <c r="AJ619" s="256"/>
    </row>
    <row r="620" spans="29:36">
      <c r="AC620" s="266">
        <f t="shared" si="50"/>
        <v>1313017.4200000002</v>
      </c>
      <c r="AD620" s="266"/>
      <c r="AE620" s="266"/>
      <c r="AF620" s="350"/>
      <c r="AG620" s="349" t="s">
        <v>358</v>
      </c>
      <c r="AH620" s="266"/>
      <c r="AI620" s="350"/>
      <c r="AJ620" s="349"/>
    </row>
    <row r="621" spans="29:36" ht="15.75">
      <c r="AC621" s="9">
        <f t="shared" si="50"/>
        <v>1313017.4200000002</v>
      </c>
      <c r="AD621" s="9">
        <v>155650.07</v>
      </c>
      <c r="AE621" s="9">
        <v>2838.48</v>
      </c>
      <c r="AF621" s="9">
        <f>SUM(AD620:AE621)</f>
        <v>158488.55000000002</v>
      </c>
      <c r="AG621" s="256" t="s">
        <v>359</v>
      </c>
      <c r="AJ621" s="256"/>
    </row>
    <row r="622" spans="29:36">
      <c r="AC622" s="266">
        <f t="shared" si="50"/>
        <v>1157367.3500000001</v>
      </c>
      <c r="AD622" s="266"/>
      <c r="AE622" s="266"/>
      <c r="AF622" s="350"/>
      <c r="AG622" s="349" t="s">
        <v>360</v>
      </c>
      <c r="AH622" s="266"/>
      <c r="AI622" s="350"/>
      <c r="AJ622" s="349"/>
    </row>
    <row r="623" spans="29:36" ht="15.75">
      <c r="AC623" s="9">
        <f t="shared" si="50"/>
        <v>1157367.3500000001</v>
      </c>
      <c r="AD623" s="9">
        <v>157036.19</v>
      </c>
      <c r="AF623" s="9">
        <f>SUM(AD622:AE623)</f>
        <v>157036.19</v>
      </c>
      <c r="AG623" s="256" t="s">
        <v>362</v>
      </c>
      <c r="AJ623" s="256"/>
    </row>
    <row r="624" spans="29:36">
      <c r="AC624" s="266">
        <f t="shared" si="50"/>
        <v>1000331.1600000001</v>
      </c>
      <c r="AD624" s="266"/>
      <c r="AE624" s="266"/>
      <c r="AF624" s="350"/>
      <c r="AG624" s="349" t="s">
        <v>363</v>
      </c>
      <c r="AH624" s="266"/>
      <c r="AI624" s="350"/>
      <c r="AJ624" s="349"/>
    </row>
    <row r="625" spans="28:36" ht="15.75">
      <c r="AC625" s="9">
        <f t="shared" si="50"/>
        <v>1000331.1600000001</v>
      </c>
      <c r="AD625" s="9">
        <v>162982.31</v>
      </c>
      <c r="AF625" s="9">
        <f>SUM(AD624:AE625)</f>
        <v>162982.31</v>
      </c>
      <c r="AG625" s="256" t="s">
        <v>364</v>
      </c>
      <c r="AJ625" s="256"/>
    </row>
    <row r="626" spans="28:36">
      <c r="AC626" s="266">
        <f t="shared" si="50"/>
        <v>837348.85000000009</v>
      </c>
      <c r="AD626" s="266"/>
      <c r="AE626" s="266"/>
      <c r="AF626" s="350"/>
      <c r="AG626" s="349" t="s">
        <v>365</v>
      </c>
      <c r="AH626" s="266"/>
      <c r="AI626" s="350"/>
      <c r="AJ626" s="349"/>
    </row>
    <row r="627" spans="28:36" ht="15.75">
      <c r="AC627" s="9">
        <f t="shared" si="50"/>
        <v>837348.85000000009</v>
      </c>
      <c r="AG627" s="256" t="s">
        <v>366</v>
      </c>
    </row>
    <row r="628" spans="28:36">
      <c r="AC628" s="266">
        <f t="shared" si="50"/>
        <v>837348.85000000009</v>
      </c>
      <c r="AD628" s="266"/>
      <c r="AE628" s="266"/>
      <c r="AF628" s="350"/>
      <c r="AG628" s="349" t="s">
        <v>365</v>
      </c>
      <c r="AH628" s="266"/>
      <c r="AI628" s="350"/>
    </row>
    <row r="629" spans="28:36" ht="15.75">
      <c r="AC629" s="9">
        <f t="shared" si="50"/>
        <v>837348.85000000009</v>
      </c>
      <c r="AG629" s="256" t="s">
        <v>366</v>
      </c>
    </row>
    <row r="630" spans="28:36">
      <c r="AC630" s="266"/>
      <c r="AD630" s="266">
        <f>SUM(AD582:AD629)</f>
        <v>2646535.15</v>
      </c>
      <c r="AE630" s="266">
        <f>SUM(AE582:AE629)</f>
        <v>483518.80999999994</v>
      </c>
      <c r="AF630" s="266">
        <f>SUM(AF582:AF629)</f>
        <v>3130053.96</v>
      </c>
      <c r="AG630" s="349" t="s">
        <v>379</v>
      </c>
      <c r="AH630" s="266"/>
      <c r="AI630" s="350"/>
    </row>
    <row r="631" spans="28:36">
      <c r="AE631" s="9">
        <f>-AE583-AE584</f>
        <v>-60667.259999999995</v>
      </c>
      <c r="AH631" s="335"/>
    </row>
    <row r="632" spans="28:36">
      <c r="AE632" s="9">
        <f>SUM(AE630:AE631)</f>
        <v>422851.54999999993</v>
      </c>
      <c r="AF632" s="9" t="s">
        <v>467</v>
      </c>
      <c r="AH632" s="335"/>
    </row>
    <row r="633" spans="28:36">
      <c r="AB633" s="11"/>
      <c r="AC633" s="353" t="s">
        <v>468</v>
      </c>
      <c r="AG633" s="344"/>
    </row>
    <row r="634" spans="28:36">
      <c r="AB634" s="11" t="s">
        <v>39</v>
      </c>
      <c r="AC634" s="9">
        <v>750000</v>
      </c>
      <c r="AD634" s="338"/>
      <c r="AE634" s="338">
        <v>1192500</v>
      </c>
      <c r="AF634" s="338" t="s">
        <v>460</v>
      </c>
      <c r="AG634" s="344"/>
      <c r="AH634" s="341">
        <f>AE634/3483884</f>
        <v>0.34229038624707364</v>
      </c>
      <c r="AI634" s="342" t="s">
        <v>461</v>
      </c>
    </row>
    <row r="635" spans="28:36">
      <c r="AB635" s="11" t="s">
        <v>40</v>
      </c>
      <c r="AC635" s="335">
        <f>$AD$131</f>
        <v>5</v>
      </c>
      <c r="AG635" s="344"/>
    </row>
    <row r="636" spans="28:36">
      <c r="AB636" s="11" t="s">
        <v>41</v>
      </c>
      <c r="AC636" s="9">
        <v>20</v>
      </c>
      <c r="AD636" s="335"/>
      <c r="AG636" s="344"/>
    </row>
    <row r="637" spans="28:36">
      <c r="AB637" s="11"/>
      <c r="AC637" s="342" t="s">
        <v>43</v>
      </c>
      <c r="AD637" s="342" t="s">
        <v>44</v>
      </c>
      <c r="AE637" s="341" t="s">
        <v>45</v>
      </c>
      <c r="AF637" s="341" t="s">
        <v>46</v>
      </c>
      <c r="AH637" s="259"/>
      <c r="AI637" s="259"/>
    </row>
    <row r="638" spans="28:36">
      <c r="AB638" s="11" t="s">
        <v>469</v>
      </c>
      <c r="AC638" s="9">
        <v>650000</v>
      </c>
      <c r="AF638" s="335"/>
      <c r="AG638" s="338" t="s">
        <v>392</v>
      </c>
      <c r="AI638" s="335"/>
    </row>
    <row r="639" spans="28:36" ht="15.75">
      <c r="AB639" s="11"/>
      <c r="AC639" s="9">
        <f>AC638-AD638</f>
        <v>650000</v>
      </c>
      <c r="AG639" s="256" t="s">
        <v>393</v>
      </c>
    </row>
    <row r="640" spans="28:36">
      <c r="AB640" s="11" t="s">
        <v>470</v>
      </c>
      <c r="AC640" s="266">
        <v>710000</v>
      </c>
      <c r="AD640" s="266"/>
      <c r="AE640" s="266">
        <f>AC639*0.0375</f>
        <v>24375</v>
      </c>
      <c r="AF640" s="350"/>
      <c r="AG640" s="349" t="s">
        <v>394</v>
      </c>
      <c r="AH640" s="266"/>
      <c r="AI640" s="350"/>
    </row>
    <row r="641" spans="28:35" ht="15.75">
      <c r="AB641" s="11"/>
      <c r="AC641" s="9">
        <f>AC640-AD640</f>
        <v>710000</v>
      </c>
      <c r="AF641" s="9">
        <f>SUM(AD640:AE641)</f>
        <v>24375</v>
      </c>
      <c r="AG641" s="256" t="s">
        <v>395</v>
      </c>
    </row>
    <row r="642" spans="28:35">
      <c r="AB642" s="11" t="s">
        <v>471</v>
      </c>
      <c r="AC642" s="266">
        <v>710000</v>
      </c>
      <c r="AD642" s="266"/>
      <c r="AE642" s="266"/>
      <c r="AF642" s="350"/>
      <c r="AG642" s="349" t="s">
        <v>396</v>
      </c>
      <c r="AH642" s="266"/>
      <c r="AI642" s="350"/>
    </row>
    <row r="643" spans="28:35" ht="15.75">
      <c r="AB643" s="11" t="s">
        <v>472</v>
      </c>
      <c r="AC643" s="9">
        <f t="shared" ref="AC643:AC683" si="51">AC642-AD642</f>
        <v>710000</v>
      </c>
      <c r="AD643" s="9">
        <v>50000</v>
      </c>
      <c r="AE643" s="9">
        <f>AE642</f>
        <v>0</v>
      </c>
      <c r="AF643" s="9">
        <f>SUM(AD642:AE643)</f>
        <v>50000</v>
      </c>
      <c r="AG643" s="256" t="s">
        <v>397</v>
      </c>
    </row>
    <row r="644" spans="28:35">
      <c r="AB644" s="11">
        <f>685000/16</f>
        <v>42812.5</v>
      </c>
      <c r="AC644" s="266">
        <f t="shared" si="51"/>
        <v>660000</v>
      </c>
      <c r="AD644" s="266"/>
      <c r="AE644" s="266">
        <v>15740.63</v>
      </c>
      <c r="AF644" s="350"/>
      <c r="AG644" s="349" t="s">
        <v>421</v>
      </c>
      <c r="AH644" s="266"/>
      <c r="AI644" s="350"/>
    </row>
    <row r="645" spans="28:35" ht="15.75">
      <c r="AB645" s="11"/>
      <c r="AC645" s="9">
        <f t="shared" si="51"/>
        <v>660000</v>
      </c>
      <c r="AD645" s="9">
        <v>35000</v>
      </c>
      <c r="AE645" s="9">
        <f>AE644</f>
        <v>15740.63</v>
      </c>
      <c r="AF645" s="9">
        <f>SUM(AD644:AE645)</f>
        <v>66481.259999999995</v>
      </c>
      <c r="AG645" s="256" t="s">
        <v>422</v>
      </c>
    </row>
    <row r="646" spans="28:35">
      <c r="AB646" s="11"/>
      <c r="AC646" s="266">
        <f t="shared" si="51"/>
        <v>625000</v>
      </c>
      <c r="AD646" s="266"/>
      <c r="AE646" s="266">
        <v>15040.63</v>
      </c>
      <c r="AF646" s="350"/>
      <c r="AG646" s="349" t="s">
        <v>423</v>
      </c>
      <c r="AH646" s="266"/>
      <c r="AI646" s="350"/>
    </row>
    <row r="647" spans="28:35" ht="15.75">
      <c r="AB647" s="11"/>
      <c r="AC647" s="9">
        <f t="shared" si="51"/>
        <v>625000</v>
      </c>
      <c r="AD647" s="9">
        <f>AD645</f>
        <v>35000</v>
      </c>
      <c r="AE647" s="9">
        <f>AE646</f>
        <v>15040.63</v>
      </c>
      <c r="AF647" s="9">
        <f>SUM(AD646:AE647)</f>
        <v>65081.259999999995</v>
      </c>
      <c r="AG647" s="256" t="s">
        <v>424</v>
      </c>
    </row>
    <row r="648" spans="28:35">
      <c r="AC648" s="266">
        <f t="shared" si="51"/>
        <v>590000</v>
      </c>
      <c r="AD648" s="266"/>
      <c r="AE648" s="266">
        <v>14340.63</v>
      </c>
      <c r="AF648" s="350"/>
      <c r="AG648" s="349" t="s">
        <v>425</v>
      </c>
      <c r="AH648" s="266"/>
      <c r="AI648" s="350"/>
    </row>
    <row r="649" spans="28:35" ht="15.75">
      <c r="AB649" s="11"/>
      <c r="AC649" s="9">
        <f t="shared" si="51"/>
        <v>590000</v>
      </c>
      <c r="AD649" s="9">
        <f>AD647</f>
        <v>35000</v>
      </c>
      <c r="AE649" s="9">
        <f>AE648</f>
        <v>14340.63</v>
      </c>
      <c r="AF649" s="9">
        <f>SUM(AD648:AE649)</f>
        <v>63681.259999999995</v>
      </c>
      <c r="AG649" s="256" t="s">
        <v>426</v>
      </c>
    </row>
    <row r="650" spans="28:35">
      <c r="AC650" s="266">
        <f t="shared" si="51"/>
        <v>555000</v>
      </c>
      <c r="AD650" s="266"/>
      <c r="AE650" s="266">
        <v>13640.63</v>
      </c>
      <c r="AF650" s="350"/>
      <c r="AG650" s="349" t="s">
        <v>427</v>
      </c>
      <c r="AH650" s="266"/>
      <c r="AI650" s="350"/>
    </row>
    <row r="651" spans="28:35" ht="15.75">
      <c r="AB651" s="11"/>
      <c r="AC651" s="9">
        <f t="shared" si="51"/>
        <v>555000</v>
      </c>
      <c r="AD651" s="9">
        <f>AD649</f>
        <v>35000</v>
      </c>
      <c r="AE651" s="9">
        <f>AE650</f>
        <v>13640.63</v>
      </c>
      <c r="AF651" s="9">
        <f>SUM(AD650:AE651)</f>
        <v>62281.259999999995</v>
      </c>
      <c r="AG651" s="256" t="s">
        <v>428</v>
      </c>
    </row>
    <row r="652" spans="28:35">
      <c r="AC652" s="266">
        <f t="shared" si="51"/>
        <v>520000</v>
      </c>
      <c r="AD652" s="266"/>
      <c r="AE652" s="266">
        <v>13028.13</v>
      </c>
      <c r="AF652" s="350"/>
      <c r="AG652" s="349" t="s">
        <v>429</v>
      </c>
      <c r="AH652" s="266"/>
      <c r="AI652" s="350"/>
    </row>
    <row r="653" spans="28:35" ht="15.75">
      <c r="AC653" s="9">
        <f t="shared" si="51"/>
        <v>520000</v>
      </c>
      <c r="AD653" s="9">
        <f>AD651</f>
        <v>35000</v>
      </c>
      <c r="AE653" s="9">
        <f>AE652</f>
        <v>13028.13</v>
      </c>
      <c r="AF653" s="9">
        <f>SUM(AD652:AE653)</f>
        <v>61056.259999999995</v>
      </c>
      <c r="AG653" s="256" t="s">
        <v>430</v>
      </c>
    </row>
    <row r="654" spans="28:35">
      <c r="AC654" s="266">
        <f t="shared" si="51"/>
        <v>485000</v>
      </c>
      <c r="AD654" s="266"/>
      <c r="AE654" s="266">
        <v>12240.63</v>
      </c>
      <c r="AF654" s="350"/>
      <c r="AG654" s="349" t="s">
        <v>431</v>
      </c>
      <c r="AH654" s="266"/>
      <c r="AI654" s="350"/>
    </row>
    <row r="655" spans="28:35" ht="15.75">
      <c r="AC655" s="9">
        <f t="shared" si="51"/>
        <v>485000</v>
      </c>
      <c r="AD655" s="9">
        <f>AD653</f>
        <v>35000</v>
      </c>
      <c r="AE655" s="9">
        <f>AE654</f>
        <v>12240.63</v>
      </c>
      <c r="AF655" s="9">
        <f>SUM(AD654:AE655)</f>
        <v>59481.259999999995</v>
      </c>
      <c r="AG655" s="256" t="s">
        <v>432</v>
      </c>
    </row>
    <row r="656" spans="28:35">
      <c r="AC656" s="266">
        <f t="shared" si="51"/>
        <v>450000</v>
      </c>
      <c r="AD656" s="266"/>
      <c r="AE656" s="266">
        <v>11365.63</v>
      </c>
      <c r="AF656" s="350"/>
      <c r="AG656" s="349" t="s">
        <v>433</v>
      </c>
      <c r="AH656" s="266"/>
      <c r="AI656" s="350"/>
    </row>
    <row r="657" spans="29:37" ht="15.75">
      <c r="AC657" s="9">
        <f t="shared" si="51"/>
        <v>450000</v>
      </c>
      <c r="AD657" s="9">
        <f>AD655</f>
        <v>35000</v>
      </c>
      <c r="AE657" s="9">
        <f>AE656</f>
        <v>11365.63</v>
      </c>
      <c r="AF657" s="9">
        <f>SUM(AD656:AE657)</f>
        <v>57731.259999999995</v>
      </c>
      <c r="AG657" s="256" t="s">
        <v>434</v>
      </c>
    </row>
    <row r="658" spans="29:37">
      <c r="AC658" s="266">
        <f t="shared" si="51"/>
        <v>415000</v>
      </c>
      <c r="AD658" s="266"/>
      <c r="AE658" s="266">
        <v>10490.63</v>
      </c>
      <c r="AF658" s="350"/>
      <c r="AG658" s="349" t="s">
        <v>435</v>
      </c>
      <c r="AH658" s="266"/>
      <c r="AI658" s="350"/>
      <c r="AK658" s="9">
        <v>20981.26</v>
      </c>
    </row>
    <row r="659" spans="29:37" ht="15.75">
      <c r="AC659" s="9">
        <f t="shared" si="51"/>
        <v>415000</v>
      </c>
      <c r="AD659" s="9">
        <f>AD657</f>
        <v>35000</v>
      </c>
      <c r="AE659" s="9">
        <f>AE658</f>
        <v>10490.63</v>
      </c>
      <c r="AF659" s="9">
        <f>SUM(AD658:AE659)</f>
        <v>55981.259999999995</v>
      </c>
      <c r="AG659" s="256" t="s">
        <v>436</v>
      </c>
    </row>
    <row r="660" spans="29:37">
      <c r="AC660" s="266">
        <f t="shared" si="51"/>
        <v>380000</v>
      </c>
      <c r="AD660" s="266"/>
      <c r="AE660" s="266">
        <v>9615.6299999999992</v>
      </c>
      <c r="AF660" s="350"/>
      <c r="AG660" s="349" t="s">
        <v>438</v>
      </c>
      <c r="AH660" s="266"/>
      <c r="AI660" s="350"/>
    </row>
    <row r="661" spans="29:37" ht="15.75">
      <c r="AC661" s="9">
        <f t="shared" si="51"/>
        <v>380000</v>
      </c>
      <c r="AD661" s="9">
        <f>AD659</f>
        <v>35000</v>
      </c>
      <c r="AE661" s="9">
        <f>AE660</f>
        <v>9615.6299999999992</v>
      </c>
      <c r="AF661" s="9">
        <f>SUM(AD660:AE661)</f>
        <v>54231.259999999995</v>
      </c>
      <c r="AG661" s="256" t="s">
        <v>439</v>
      </c>
    </row>
    <row r="662" spans="29:37">
      <c r="AC662" s="266">
        <f t="shared" si="51"/>
        <v>345000</v>
      </c>
      <c r="AD662" s="266"/>
      <c r="AE662" s="266">
        <v>8850</v>
      </c>
      <c r="AF662" s="350"/>
      <c r="AG662" s="349" t="s">
        <v>224</v>
      </c>
      <c r="AH662" s="266"/>
      <c r="AI662" s="350"/>
    </row>
    <row r="663" spans="29:37" ht="15.75">
      <c r="AC663" s="9">
        <f t="shared" si="51"/>
        <v>345000</v>
      </c>
      <c r="AD663" s="9">
        <f>AD661</f>
        <v>35000</v>
      </c>
      <c r="AE663" s="9">
        <f>AE662</f>
        <v>8850</v>
      </c>
      <c r="AF663" s="9">
        <f>SUM(AD662:AE663)</f>
        <v>52700</v>
      </c>
      <c r="AG663" s="256" t="s">
        <v>225</v>
      </c>
    </row>
    <row r="664" spans="29:37">
      <c r="AC664" s="266">
        <f t="shared" si="51"/>
        <v>310000</v>
      </c>
      <c r="AD664" s="266"/>
      <c r="AE664" s="266">
        <v>8084.38</v>
      </c>
      <c r="AF664" s="350"/>
      <c r="AG664" s="349" t="s">
        <v>226</v>
      </c>
      <c r="AH664" s="266"/>
      <c r="AI664" s="350"/>
    </row>
    <row r="665" spans="29:37" ht="15.75">
      <c r="AC665" s="9">
        <f t="shared" si="51"/>
        <v>310000</v>
      </c>
      <c r="AD665" s="9">
        <f>AD663</f>
        <v>35000</v>
      </c>
      <c r="AE665" s="9">
        <f>AE664</f>
        <v>8084.38</v>
      </c>
      <c r="AF665" s="9">
        <f>SUM(AD664:AE665)</f>
        <v>51168.759999999995</v>
      </c>
      <c r="AG665" s="256" t="s">
        <v>227</v>
      </c>
    </row>
    <row r="666" spans="29:37">
      <c r="AC666" s="266">
        <f t="shared" si="51"/>
        <v>275000</v>
      </c>
      <c r="AD666" s="266"/>
      <c r="AE666" s="266">
        <v>7165.63</v>
      </c>
      <c r="AF666" s="350"/>
      <c r="AG666" s="349" t="s">
        <v>228</v>
      </c>
      <c r="AH666" s="266"/>
      <c r="AI666" s="350"/>
    </row>
    <row r="667" spans="29:37" ht="15.75">
      <c r="AC667" s="9">
        <f t="shared" si="51"/>
        <v>275000</v>
      </c>
      <c r="AD667" s="9">
        <f>AD665</f>
        <v>35000</v>
      </c>
      <c r="AE667" s="9">
        <f>AE666</f>
        <v>7165.63</v>
      </c>
      <c r="AF667" s="9">
        <f>SUM(AD666:AE667)</f>
        <v>49331.259999999995</v>
      </c>
      <c r="AG667" s="256" t="s">
        <v>229</v>
      </c>
    </row>
    <row r="668" spans="29:37">
      <c r="AC668" s="266">
        <f t="shared" si="51"/>
        <v>240000</v>
      </c>
      <c r="AD668" s="266"/>
      <c r="AE668" s="266">
        <v>6225</v>
      </c>
      <c r="AF668" s="350"/>
      <c r="AG668" s="349" t="s">
        <v>230</v>
      </c>
      <c r="AH668" s="266"/>
      <c r="AI668" s="350"/>
    </row>
    <row r="669" spans="29:37" ht="15.75">
      <c r="AC669" s="9">
        <f t="shared" si="51"/>
        <v>240000</v>
      </c>
      <c r="AD669" s="9">
        <v>30000</v>
      </c>
      <c r="AE669" s="9">
        <f>AE668</f>
        <v>6225</v>
      </c>
      <c r="AF669" s="9">
        <f>SUM(AD668:AE669)</f>
        <v>42450</v>
      </c>
      <c r="AG669" s="256" t="s">
        <v>231</v>
      </c>
    </row>
    <row r="670" spans="29:37">
      <c r="AC670" s="266">
        <f t="shared" si="51"/>
        <v>210000</v>
      </c>
      <c r="AD670" s="266"/>
      <c r="AE670" s="266">
        <v>5418.75</v>
      </c>
      <c r="AF670" s="350"/>
      <c r="AG670" s="349" t="s">
        <v>232</v>
      </c>
      <c r="AH670" s="266"/>
      <c r="AI670" s="350"/>
    </row>
    <row r="671" spans="29:37" ht="15.75">
      <c r="AC671" s="9">
        <f t="shared" si="51"/>
        <v>210000</v>
      </c>
      <c r="AD671" s="9">
        <f>AD669</f>
        <v>30000</v>
      </c>
      <c r="AE671" s="9">
        <f>AE670</f>
        <v>5418.75</v>
      </c>
      <c r="AF671" s="9">
        <f>SUM(AD670:AE671)</f>
        <v>40837.5</v>
      </c>
      <c r="AG671" s="256" t="s">
        <v>233</v>
      </c>
    </row>
    <row r="672" spans="29:37">
      <c r="AC672" s="266">
        <f t="shared" si="51"/>
        <v>180000</v>
      </c>
      <c r="AD672" s="266"/>
      <c r="AE672" s="266">
        <v>4593.75</v>
      </c>
      <c r="AF672" s="350"/>
      <c r="AG672" s="349" t="s">
        <v>234</v>
      </c>
      <c r="AH672" s="266"/>
      <c r="AI672" s="350"/>
    </row>
    <row r="673" spans="28:35" ht="15.75">
      <c r="AC673" s="9">
        <f t="shared" si="51"/>
        <v>180000</v>
      </c>
      <c r="AD673" s="9">
        <f>AD671</f>
        <v>30000</v>
      </c>
      <c r="AE673" s="9">
        <f>AE672</f>
        <v>4593.75</v>
      </c>
      <c r="AF673" s="9">
        <f>SUM(AD672:AE673)</f>
        <v>39187.5</v>
      </c>
      <c r="AG673" s="256" t="s">
        <v>235</v>
      </c>
    </row>
    <row r="674" spans="28:35">
      <c r="AC674" s="266">
        <f t="shared" si="51"/>
        <v>150000</v>
      </c>
      <c r="AD674" s="266"/>
      <c r="AE674" s="266">
        <v>3787.5</v>
      </c>
      <c r="AF674" s="350"/>
      <c r="AG674" s="349" t="s">
        <v>236</v>
      </c>
      <c r="AH674" s="266"/>
      <c r="AI674" s="350"/>
    </row>
    <row r="675" spans="28:35" ht="15.75">
      <c r="AC675" s="9">
        <f t="shared" si="51"/>
        <v>150000</v>
      </c>
      <c r="AD675" s="9">
        <f>AD673</f>
        <v>30000</v>
      </c>
      <c r="AE675" s="9">
        <f>AE674</f>
        <v>3787.5</v>
      </c>
      <c r="AF675" s="9">
        <f>SUM(AD674:AE675)</f>
        <v>37575</v>
      </c>
      <c r="AG675" s="256" t="s">
        <v>237</v>
      </c>
    </row>
    <row r="676" spans="28:35">
      <c r="AC676" s="266">
        <f t="shared" si="51"/>
        <v>120000</v>
      </c>
      <c r="AD676" s="266"/>
      <c r="AE676" s="266">
        <v>3037.5</v>
      </c>
      <c r="AF676" s="350"/>
      <c r="AG676" s="349" t="s">
        <v>240</v>
      </c>
      <c r="AH676" s="266"/>
      <c r="AI676" s="350"/>
    </row>
    <row r="677" spans="28:35" ht="15.75">
      <c r="AC677" s="9">
        <f t="shared" si="51"/>
        <v>120000</v>
      </c>
      <c r="AD677" s="9">
        <f>AD675</f>
        <v>30000</v>
      </c>
      <c r="AE677" s="9">
        <f>AE676</f>
        <v>3037.5</v>
      </c>
      <c r="AF677" s="9">
        <f>SUM(AD676:AE677)</f>
        <v>36075</v>
      </c>
      <c r="AG677" s="256" t="s">
        <v>239</v>
      </c>
    </row>
    <row r="678" spans="28:35">
      <c r="AC678" s="266">
        <f t="shared" si="51"/>
        <v>90000</v>
      </c>
      <c r="AD678" s="266"/>
      <c r="AE678" s="266">
        <v>2287.5</v>
      </c>
      <c r="AF678" s="350"/>
      <c r="AG678" s="349" t="s">
        <v>242</v>
      </c>
      <c r="AH678" s="266"/>
      <c r="AI678" s="350"/>
    </row>
    <row r="679" spans="28:35" ht="15.75">
      <c r="AC679" s="9">
        <f t="shared" si="51"/>
        <v>90000</v>
      </c>
      <c r="AD679" s="9">
        <f>AD677</f>
        <v>30000</v>
      </c>
      <c r="AE679" s="9">
        <f>AE678</f>
        <v>2287.5</v>
      </c>
      <c r="AF679" s="9">
        <f>SUM(AD678:AE679)</f>
        <v>34575</v>
      </c>
      <c r="AG679" s="256" t="s">
        <v>241</v>
      </c>
    </row>
    <row r="680" spans="28:35">
      <c r="AC680" s="266">
        <f t="shared" si="51"/>
        <v>60000</v>
      </c>
      <c r="AD680" s="266"/>
      <c r="AE680" s="266">
        <v>1518.75</v>
      </c>
      <c r="AF680" s="350"/>
      <c r="AG680" s="349" t="s">
        <v>244</v>
      </c>
    </row>
    <row r="681" spans="28:35" ht="15.75">
      <c r="AC681" s="9">
        <f t="shared" si="51"/>
        <v>60000</v>
      </c>
      <c r="AD681" s="9">
        <f>AD679</f>
        <v>30000</v>
      </c>
      <c r="AE681" s="9">
        <f>AE680</f>
        <v>1518.75</v>
      </c>
      <c r="AF681" s="9">
        <f>SUM(AD680:AE681)</f>
        <v>33037.5</v>
      </c>
      <c r="AG681" s="256" t="s">
        <v>243</v>
      </c>
    </row>
    <row r="682" spans="28:35">
      <c r="AC682" s="266">
        <f t="shared" si="51"/>
        <v>30000</v>
      </c>
      <c r="AD682" s="266"/>
      <c r="AE682" s="266">
        <v>768.75</v>
      </c>
      <c r="AF682" s="350"/>
      <c r="AG682" s="349" t="s">
        <v>246</v>
      </c>
    </row>
    <row r="683" spans="28:35" ht="15.75">
      <c r="AC683" s="9">
        <f t="shared" si="51"/>
        <v>30000</v>
      </c>
      <c r="AD683" s="9">
        <f>AD681</f>
        <v>30000</v>
      </c>
      <c r="AE683" s="9">
        <f>AE682</f>
        <v>768.75</v>
      </c>
      <c r="AF683" s="9">
        <f>SUM(AD682:AE683)</f>
        <v>31537.5</v>
      </c>
      <c r="AG683" s="256" t="s">
        <v>245</v>
      </c>
    </row>
    <row r="684" spans="28:35">
      <c r="AC684" s="266"/>
      <c r="AD684" s="266">
        <f>SUM(AD644:AD683)</f>
        <v>660000</v>
      </c>
      <c r="AE684" s="266">
        <f>SUM(AE644:AE683)</f>
        <v>334481.36000000004</v>
      </c>
      <c r="AF684" s="266">
        <f>SUM(AF644:AF683)</f>
        <v>994481.36</v>
      </c>
      <c r="AG684" s="349"/>
      <c r="AH684" s="266"/>
      <c r="AI684" s="350"/>
    </row>
    <row r="685" spans="28:35">
      <c r="AG685" s="338"/>
      <c r="AI685" s="335"/>
    </row>
    <row r="686" spans="28:35">
      <c r="AC686" s="9" t="s">
        <v>473</v>
      </c>
      <c r="AI686" s="335"/>
    </row>
    <row r="687" spans="28:35">
      <c r="AB687" s="11" t="s">
        <v>39</v>
      </c>
      <c r="AC687" s="9">
        <v>90000</v>
      </c>
      <c r="AG687" s="344"/>
      <c r="AI687" s="335"/>
    </row>
    <row r="688" spans="28:35">
      <c r="AB688" s="11" t="s">
        <v>40</v>
      </c>
      <c r="AC688" s="355">
        <v>4.3477799999999997E-2</v>
      </c>
      <c r="AG688" s="344"/>
      <c r="AI688" s="335"/>
    </row>
    <row r="689" spans="28:35">
      <c r="AB689" s="11" t="s">
        <v>41</v>
      </c>
      <c r="AC689" s="9">
        <v>10</v>
      </c>
      <c r="AD689" s="335"/>
      <c r="AG689" s="344"/>
      <c r="AI689" s="335"/>
    </row>
    <row r="690" spans="28:35">
      <c r="AB690" s="11"/>
      <c r="AC690" s="342" t="s">
        <v>43</v>
      </c>
      <c r="AD690" s="342" t="s">
        <v>44</v>
      </c>
      <c r="AE690" s="341" t="s">
        <v>45</v>
      </c>
      <c r="AF690" s="341" t="s">
        <v>46</v>
      </c>
      <c r="AI690" s="335"/>
    </row>
    <row r="691" spans="28:35">
      <c r="AB691" s="11"/>
      <c r="AF691" s="335"/>
      <c r="AG691" s="338"/>
      <c r="AI691" s="335"/>
    </row>
    <row r="692" spans="28:35">
      <c r="AB692" s="11" t="s">
        <v>474</v>
      </c>
      <c r="AC692" s="9">
        <v>90000</v>
      </c>
      <c r="AF692" s="9">
        <f>SUM(AD691:AE692)</f>
        <v>0</v>
      </c>
      <c r="AG692" s="356">
        <v>35841</v>
      </c>
      <c r="AI692" s="335"/>
    </row>
    <row r="693" spans="28:35">
      <c r="AB693" s="11"/>
      <c r="AC693" s="266">
        <f t="shared" ref="AC693:AC710" si="52">AC692-AD692</f>
        <v>90000</v>
      </c>
      <c r="AD693" s="266"/>
      <c r="AE693" s="266">
        <v>2128</v>
      </c>
      <c r="AF693" s="350"/>
      <c r="AG693" s="357">
        <v>36022</v>
      </c>
      <c r="AI693" s="335"/>
    </row>
    <row r="694" spans="28:35">
      <c r="AB694" s="11"/>
      <c r="AC694" s="9">
        <f t="shared" si="52"/>
        <v>90000</v>
      </c>
      <c r="AD694" s="9">
        <v>10000</v>
      </c>
      <c r="AE694" s="9">
        <f>AE693</f>
        <v>2128</v>
      </c>
      <c r="AF694" s="9">
        <f>SUM(AD693:AE694)</f>
        <v>14256</v>
      </c>
      <c r="AG694" s="356">
        <v>36206.5</v>
      </c>
      <c r="AI694" s="335"/>
    </row>
    <row r="695" spans="28:35">
      <c r="AB695" s="11"/>
      <c r="AC695" s="266">
        <f t="shared" si="52"/>
        <v>80000</v>
      </c>
      <c r="AD695" s="266"/>
      <c r="AE695" s="266">
        <v>1828</v>
      </c>
      <c r="AF695" s="350"/>
      <c r="AG695" s="357">
        <v>36387</v>
      </c>
      <c r="AI695" s="335"/>
    </row>
    <row r="696" spans="28:35">
      <c r="AB696" s="11"/>
      <c r="AC696" s="9">
        <f t="shared" si="52"/>
        <v>80000</v>
      </c>
      <c r="AD696" s="9">
        <f>AD694</f>
        <v>10000</v>
      </c>
      <c r="AE696" s="9">
        <f>AE695</f>
        <v>1828</v>
      </c>
      <c r="AF696" s="9">
        <f>SUM(AD695:AE696)</f>
        <v>13656</v>
      </c>
      <c r="AG696" s="356">
        <v>36571.5</v>
      </c>
      <c r="AI696" s="335"/>
    </row>
    <row r="697" spans="28:35">
      <c r="AC697" s="266">
        <f t="shared" si="52"/>
        <v>70000</v>
      </c>
      <c r="AD697" s="266"/>
      <c r="AE697" s="266">
        <v>1529</v>
      </c>
      <c r="AF697" s="350"/>
      <c r="AG697" s="357">
        <v>36753</v>
      </c>
      <c r="AI697" s="335"/>
    </row>
    <row r="698" spans="28:35">
      <c r="AC698" s="9">
        <f t="shared" si="52"/>
        <v>70000</v>
      </c>
      <c r="AD698" s="9">
        <f>AD696</f>
        <v>10000</v>
      </c>
      <c r="AE698" s="9">
        <f>AE697</f>
        <v>1529</v>
      </c>
      <c r="AF698" s="9">
        <f>SUM(AD697:AE698)</f>
        <v>13058</v>
      </c>
      <c r="AG698" s="356">
        <v>36937.5</v>
      </c>
      <c r="AI698" s="335"/>
    </row>
    <row r="699" spans="28:35">
      <c r="AB699" s="11"/>
      <c r="AC699" s="266">
        <f t="shared" si="52"/>
        <v>60000</v>
      </c>
      <c r="AD699" s="266"/>
      <c r="AE699" s="266">
        <v>1237.5</v>
      </c>
      <c r="AF699" s="350"/>
      <c r="AG699" s="357">
        <v>37118</v>
      </c>
      <c r="AI699" s="335"/>
    </row>
    <row r="700" spans="28:35">
      <c r="AC700" s="9">
        <f t="shared" si="52"/>
        <v>60000</v>
      </c>
      <c r="AD700" s="9">
        <f>AD698</f>
        <v>10000</v>
      </c>
      <c r="AE700" s="9">
        <f>AE699</f>
        <v>1237.5</v>
      </c>
      <c r="AF700" s="9">
        <f>SUM(AD699:AE700)</f>
        <v>12475</v>
      </c>
      <c r="AG700" s="356">
        <v>37302.5</v>
      </c>
      <c r="AI700" s="335"/>
    </row>
    <row r="701" spans="28:35">
      <c r="AB701" s="11"/>
      <c r="AC701" s="266">
        <f t="shared" si="52"/>
        <v>50000</v>
      </c>
      <c r="AD701" s="266"/>
      <c r="AE701" s="266">
        <v>1012.5</v>
      </c>
      <c r="AF701" s="350"/>
      <c r="AG701" s="357">
        <v>37483</v>
      </c>
      <c r="AI701" s="335"/>
    </row>
    <row r="702" spans="28:35">
      <c r="AC702" s="9">
        <f t="shared" si="52"/>
        <v>50000</v>
      </c>
      <c r="AD702" s="9">
        <f>AD700</f>
        <v>10000</v>
      </c>
      <c r="AE702" s="9">
        <f>AE701</f>
        <v>1012.5</v>
      </c>
      <c r="AF702" s="9">
        <f>SUM(AD701:AE702)</f>
        <v>12025</v>
      </c>
      <c r="AG702" s="356">
        <v>37667.5</v>
      </c>
      <c r="AI702" s="335"/>
    </row>
    <row r="703" spans="28:35">
      <c r="AC703" s="266">
        <f t="shared" si="52"/>
        <v>40000</v>
      </c>
      <c r="AD703" s="266"/>
      <c r="AE703" s="266">
        <v>815</v>
      </c>
      <c r="AF703" s="350"/>
      <c r="AG703" s="357">
        <v>37848</v>
      </c>
      <c r="AI703" s="335"/>
    </row>
    <row r="704" spans="28:35">
      <c r="AC704" s="9">
        <f t="shared" si="52"/>
        <v>40000</v>
      </c>
      <c r="AD704" s="9">
        <f>AD702</f>
        <v>10000</v>
      </c>
      <c r="AE704" s="9">
        <f>AE703</f>
        <v>815</v>
      </c>
      <c r="AF704" s="9">
        <f>SUM(AD703:AE704)</f>
        <v>11630</v>
      </c>
      <c r="AG704" s="356">
        <v>37667.5</v>
      </c>
    </row>
    <row r="705" spans="28:33">
      <c r="AC705" s="266">
        <f t="shared" si="52"/>
        <v>30000</v>
      </c>
      <c r="AD705" s="266"/>
      <c r="AE705" s="266">
        <v>615</v>
      </c>
      <c r="AF705" s="350"/>
      <c r="AG705" s="357">
        <v>37848</v>
      </c>
    </row>
    <row r="706" spans="28:33">
      <c r="AC706" s="9">
        <f t="shared" si="52"/>
        <v>30000</v>
      </c>
      <c r="AD706" s="9">
        <v>10000</v>
      </c>
      <c r="AE706" s="9">
        <f>AE705</f>
        <v>615</v>
      </c>
      <c r="AF706" s="9">
        <f>SUM(AD705:AE706)</f>
        <v>11230</v>
      </c>
      <c r="AG706" s="356">
        <v>38398.5</v>
      </c>
    </row>
    <row r="707" spans="28:33">
      <c r="AC707" s="266">
        <f t="shared" si="52"/>
        <v>20000</v>
      </c>
      <c r="AD707" s="266"/>
      <c r="AE707" s="266">
        <v>412.5</v>
      </c>
      <c r="AF707" s="350"/>
      <c r="AG707" s="357">
        <v>38579</v>
      </c>
    </row>
    <row r="708" spans="28:33">
      <c r="AC708" s="9">
        <f t="shared" si="52"/>
        <v>20000</v>
      </c>
      <c r="AD708" s="9">
        <v>10000</v>
      </c>
      <c r="AE708" s="9">
        <f>AE707</f>
        <v>412.5</v>
      </c>
      <c r="AF708" s="9">
        <f>SUM(AD707:AE708)</f>
        <v>10825</v>
      </c>
      <c r="AG708" s="356">
        <v>38763.5</v>
      </c>
    </row>
    <row r="709" spans="28:33">
      <c r="AC709" s="266">
        <f t="shared" si="52"/>
        <v>10000</v>
      </c>
      <c r="AD709" s="266"/>
      <c r="AE709" s="266">
        <v>207.5</v>
      </c>
      <c r="AF709" s="350"/>
      <c r="AG709" s="357">
        <v>38944</v>
      </c>
    </row>
    <row r="710" spans="28:33">
      <c r="AC710" s="9">
        <f t="shared" si="52"/>
        <v>10000</v>
      </c>
      <c r="AD710" s="9">
        <v>10000</v>
      </c>
      <c r="AE710" s="9">
        <f>AE709</f>
        <v>207.5</v>
      </c>
      <c r="AF710" s="9">
        <f>SUM(AD709:AE710)</f>
        <v>10415</v>
      </c>
      <c r="AG710" s="356">
        <v>39128.5</v>
      </c>
    </row>
    <row r="711" spans="28:33">
      <c r="AC711" s="266"/>
      <c r="AD711" s="266">
        <f>SUM(AD692:AD710)</f>
        <v>90000</v>
      </c>
      <c r="AE711" s="266">
        <f>SUM(AE692:AE710)</f>
        <v>19570</v>
      </c>
      <c r="AF711" s="266">
        <f>SUM(AF692:AF710)</f>
        <v>109570</v>
      </c>
      <c r="AG711" s="266"/>
    </row>
    <row r="713" spans="28:33">
      <c r="AC713" s="9" t="s">
        <v>475</v>
      </c>
    </row>
    <row r="714" spans="28:33">
      <c r="AB714" s="11" t="s">
        <v>39</v>
      </c>
      <c r="AC714" s="9">
        <v>180000</v>
      </c>
      <c r="AG714" s="344"/>
    </row>
    <row r="715" spans="28:33">
      <c r="AB715" s="11" t="s">
        <v>40</v>
      </c>
      <c r="AC715" s="355">
        <v>4.4614864999999997E-2</v>
      </c>
      <c r="AG715" s="344"/>
    </row>
    <row r="716" spans="28:33">
      <c r="AB716" s="11" t="s">
        <v>41</v>
      </c>
      <c r="AC716" s="9">
        <v>8</v>
      </c>
      <c r="AD716" s="335"/>
      <c r="AG716" s="344"/>
    </row>
    <row r="717" spans="28:33">
      <c r="AB717" s="11"/>
      <c r="AC717" s="342" t="s">
        <v>43</v>
      </c>
      <c r="AD717" s="342" t="s">
        <v>44</v>
      </c>
      <c r="AE717" s="341" t="s">
        <v>45</v>
      </c>
      <c r="AF717" s="341" t="s">
        <v>46</v>
      </c>
    </row>
    <row r="718" spans="28:33">
      <c r="AB718" s="11"/>
      <c r="AF718" s="335"/>
      <c r="AG718" s="338"/>
    </row>
    <row r="719" spans="28:33">
      <c r="AB719" s="11" t="s">
        <v>474</v>
      </c>
      <c r="AC719" s="9">
        <v>180000</v>
      </c>
      <c r="AF719" s="9">
        <f>SUM(AD718:AE719)</f>
        <v>0</v>
      </c>
      <c r="AG719" s="356">
        <v>35841</v>
      </c>
    </row>
    <row r="720" spans="28:33">
      <c r="AB720" s="11"/>
      <c r="AC720" s="266">
        <f t="shared" ref="AC720:AC735" si="53">AC719-AD719</f>
        <v>180000</v>
      </c>
      <c r="AD720" s="266"/>
      <c r="AE720" s="266">
        <v>4390</v>
      </c>
      <c r="AF720" s="350"/>
      <c r="AG720" s="357">
        <v>36022</v>
      </c>
    </row>
    <row r="721" spans="28:33">
      <c r="AB721" s="11"/>
      <c r="AC721" s="9">
        <f t="shared" si="53"/>
        <v>180000</v>
      </c>
      <c r="AD721" s="9">
        <v>25000</v>
      </c>
      <c r="AE721" s="9">
        <f>AE720</f>
        <v>4390</v>
      </c>
      <c r="AF721" s="9">
        <f>SUM(AD720:AE721)</f>
        <v>33780</v>
      </c>
      <c r="AG721" s="356">
        <v>36206.5</v>
      </c>
    </row>
    <row r="722" spans="28:33">
      <c r="AB722" s="11"/>
      <c r="AC722" s="266">
        <f t="shared" si="53"/>
        <v>155000</v>
      </c>
      <c r="AD722" s="266"/>
      <c r="AE722" s="266">
        <v>3640</v>
      </c>
      <c r="AF722" s="350"/>
      <c r="AG722" s="357">
        <v>36387</v>
      </c>
    </row>
    <row r="723" spans="28:33">
      <c r="AB723" s="11"/>
      <c r="AC723" s="9">
        <f t="shared" si="53"/>
        <v>155000</v>
      </c>
      <c r="AD723" s="9">
        <v>25000</v>
      </c>
      <c r="AE723" s="9">
        <f>AE722</f>
        <v>3640</v>
      </c>
      <c r="AF723" s="9">
        <f>SUM(AD722:AE723)</f>
        <v>32280</v>
      </c>
      <c r="AG723" s="356">
        <v>36571.5</v>
      </c>
    </row>
    <row r="724" spans="28:33">
      <c r="AC724" s="266">
        <f t="shared" si="53"/>
        <v>130000</v>
      </c>
      <c r="AD724" s="266"/>
      <c r="AE724" s="266">
        <v>2890</v>
      </c>
      <c r="AF724" s="350"/>
      <c r="AG724" s="357">
        <v>36753</v>
      </c>
    </row>
    <row r="725" spans="28:33">
      <c r="AC725" s="9">
        <f t="shared" si="53"/>
        <v>130000</v>
      </c>
      <c r="AD725" s="9">
        <v>25000</v>
      </c>
      <c r="AE725" s="9">
        <f>AE724</f>
        <v>2890</v>
      </c>
      <c r="AF725" s="9">
        <f>SUM(AD724:AE725)</f>
        <v>30780</v>
      </c>
      <c r="AG725" s="356">
        <v>36937.5</v>
      </c>
    </row>
    <row r="726" spans="28:33">
      <c r="AB726" s="11"/>
      <c r="AC726" s="266">
        <f t="shared" si="53"/>
        <v>105000</v>
      </c>
      <c r="AD726" s="266"/>
      <c r="AE726" s="266">
        <v>2165</v>
      </c>
      <c r="AF726" s="350"/>
      <c r="AG726" s="357">
        <v>37118</v>
      </c>
    </row>
    <row r="727" spans="28:33">
      <c r="AC727" s="9">
        <f t="shared" si="53"/>
        <v>105000</v>
      </c>
      <c r="AD727" s="9">
        <v>25000</v>
      </c>
      <c r="AE727" s="9">
        <f>AE726</f>
        <v>2165</v>
      </c>
      <c r="AF727" s="9">
        <f>SUM(AD726:AE727)</f>
        <v>29330</v>
      </c>
      <c r="AG727" s="356">
        <v>37302.5</v>
      </c>
    </row>
    <row r="728" spans="28:33">
      <c r="AB728" s="11"/>
      <c r="AC728" s="266">
        <f t="shared" si="53"/>
        <v>80000</v>
      </c>
      <c r="AD728" s="266"/>
      <c r="AE728" s="266">
        <v>1602.5</v>
      </c>
      <c r="AF728" s="350"/>
      <c r="AG728" s="357">
        <v>37483</v>
      </c>
    </row>
    <row r="729" spans="28:33">
      <c r="AC729" s="9">
        <f t="shared" si="53"/>
        <v>80000</v>
      </c>
      <c r="AD729" s="9">
        <v>25000</v>
      </c>
      <c r="AE729" s="9">
        <f>AE728</f>
        <v>1602.5</v>
      </c>
      <c r="AF729" s="9">
        <f>SUM(AD728:AE729)-AH729</f>
        <v>28205</v>
      </c>
      <c r="AG729" s="356">
        <v>37667.5</v>
      </c>
    </row>
    <row r="730" spans="28:33">
      <c r="AC730" s="266">
        <f t="shared" si="53"/>
        <v>55000</v>
      </c>
      <c r="AD730" s="266"/>
      <c r="AE730" s="266">
        <v>1108.75</v>
      </c>
      <c r="AF730" s="350"/>
      <c r="AG730" s="357">
        <v>37848</v>
      </c>
    </row>
    <row r="731" spans="28:33">
      <c r="AC731" s="9">
        <f t="shared" si="53"/>
        <v>55000</v>
      </c>
      <c r="AD731" s="9">
        <v>25000</v>
      </c>
      <c r="AE731" s="9">
        <f>AE730</f>
        <v>1108.75</v>
      </c>
      <c r="AF731" s="9">
        <f>SUM(AD730:AE731)-AH731</f>
        <v>27217.5</v>
      </c>
      <c r="AG731" s="356">
        <v>38032.5</v>
      </c>
    </row>
    <row r="732" spans="28:33">
      <c r="AC732" s="266">
        <f t="shared" si="53"/>
        <v>30000</v>
      </c>
      <c r="AD732" s="266"/>
      <c r="AE732" s="266">
        <v>608.75</v>
      </c>
      <c r="AF732" s="350"/>
      <c r="AG732" s="357">
        <v>38214</v>
      </c>
    </row>
    <row r="733" spans="28:33">
      <c r="AC733" s="9">
        <f t="shared" si="53"/>
        <v>30000</v>
      </c>
      <c r="AD733" s="9">
        <v>25000</v>
      </c>
      <c r="AE733" s="9">
        <f>AE732</f>
        <v>608.75</v>
      </c>
      <c r="AF733" s="9">
        <f>SUM(AD732:AE733)-AH733</f>
        <v>26217.5</v>
      </c>
      <c r="AG733" s="356">
        <v>38398.5</v>
      </c>
    </row>
    <row r="734" spans="28:33">
      <c r="AC734" s="266">
        <f t="shared" si="53"/>
        <v>5000</v>
      </c>
      <c r="AD734" s="266"/>
      <c r="AE734" s="266">
        <v>102.5</v>
      </c>
      <c r="AF734" s="350"/>
      <c r="AG734" s="357">
        <v>38579</v>
      </c>
    </row>
    <row r="735" spans="28:33">
      <c r="AC735" s="9">
        <f t="shared" si="53"/>
        <v>5000</v>
      </c>
      <c r="AD735" s="9">
        <v>5000</v>
      </c>
      <c r="AE735" s="9">
        <f>AE734</f>
        <v>102.5</v>
      </c>
      <c r="AF735" s="9">
        <f>SUM(AD734:AE735)-AH735</f>
        <v>5205</v>
      </c>
      <c r="AG735" s="356">
        <v>38763.5</v>
      </c>
    </row>
    <row r="736" spans="28:33">
      <c r="AC736" s="266"/>
      <c r="AD736" s="266">
        <f>SUM(AD718:AD735)</f>
        <v>180000</v>
      </c>
      <c r="AE736" s="266">
        <f>SUM(AE718:AE735)</f>
        <v>33015</v>
      </c>
      <c r="AF736" s="266">
        <f>SUM(AF719:AF735)</f>
        <v>213015</v>
      </c>
      <c r="AG736" s="266"/>
    </row>
    <row r="737" spans="28:33">
      <c r="AF737" s="9">
        <f>AF736-AE736-AD736</f>
        <v>0</v>
      </c>
    </row>
    <row r="739" spans="28:33">
      <c r="AB739" s="11"/>
      <c r="AC739" s="9" t="s">
        <v>476</v>
      </c>
      <c r="AG739" s="344"/>
    </row>
    <row r="740" spans="28:33">
      <c r="AB740" s="11" t="s">
        <v>39</v>
      </c>
      <c r="AC740" s="9">
        <v>200000</v>
      </c>
      <c r="AD740" s="342"/>
      <c r="AE740" s="342"/>
      <c r="AF740" s="342"/>
      <c r="AG740" s="344"/>
    </row>
    <row r="741" spans="28:33">
      <c r="AB741" s="11" t="s">
        <v>40</v>
      </c>
      <c r="AC741" s="355">
        <v>4.3999999999999997E-2</v>
      </c>
      <c r="AG741" s="344"/>
    </row>
    <row r="742" spans="28:33">
      <c r="AB742" s="11" t="s">
        <v>41</v>
      </c>
      <c r="AC742" s="9">
        <v>9</v>
      </c>
      <c r="AD742" s="335"/>
      <c r="AG742" s="344"/>
    </row>
    <row r="743" spans="28:33">
      <c r="AB743" s="11"/>
      <c r="AC743" s="342" t="s">
        <v>43</v>
      </c>
      <c r="AD743" s="342" t="s">
        <v>44</v>
      </c>
      <c r="AE743" s="341" t="s">
        <v>45</v>
      </c>
      <c r="AF743" s="341" t="s">
        <v>46</v>
      </c>
    </row>
    <row r="744" spans="28:33">
      <c r="AB744" s="11"/>
      <c r="AF744" s="335"/>
      <c r="AG744" s="338"/>
    </row>
    <row r="745" spans="28:33">
      <c r="AB745" s="11" t="s">
        <v>474</v>
      </c>
      <c r="AC745" s="9">
        <f>AC740</f>
        <v>200000</v>
      </c>
      <c r="AF745" s="9">
        <f>SUM(AD744:AE745)</f>
        <v>0</v>
      </c>
      <c r="AG745" s="356">
        <v>35841</v>
      </c>
    </row>
    <row r="746" spans="28:33">
      <c r="AB746" s="11"/>
      <c r="AC746" s="266">
        <f t="shared" ref="AC746:AC763" si="54">AC745-AD745</f>
        <v>200000</v>
      </c>
      <c r="AD746" s="266"/>
      <c r="AE746" s="266">
        <v>4812.5</v>
      </c>
      <c r="AF746" s="350"/>
      <c r="AG746" s="357">
        <v>36022</v>
      </c>
    </row>
    <row r="747" spans="28:33">
      <c r="AB747" s="11"/>
      <c r="AC747" s="9">
        <f t="shared" si="54"/>
        <v>200000</v>
      </c>
      <c r="AD747" s="9">
        <v>25000</v>
      </c>
      <c r="AE747" s="9">
        <f>AE746</f>
        <v>4812.5</v>
      </c>
      <c r="AF747" s="9">
        <f>SUM(AD746:AE747)</f>
        <v>34625</v>
      </c>
      <c r="AG747" s="356">
        <v>36206.5</v>
      </c>
    </row>
    <row r="748" spans="28:33">
      <c r="AB748" s="11"/>
      <c r="AC748" s="266">
        <f t="shared" si="54"/>
        <v>175000</v>
      </c>
      <c r="AD748" s="266"/>
      <c r="AE748" s="266">
        <v>4062.5</v>
      </c>
      <c r="AF748" s="350"/>
      <c r="AG748" s="357">
        <v>36387</v>
      </c>
    </row>
    <row r="749" spans="28:33">
      <c r="AB749" s="11"/>
      <c r="AC749" s="9">
        <f t="shared" si="54"/>
        <v>175000</v>
      </c>
      <c r="AD749" s="9">
        <v>25000</v>
      </c>
      <c r="AE749" s="9">
        <f>AE748</f>
        <v>4062.5</v>
      </c>
      <c r="AF749" s="9">
        <f>SUM(AD748:AE749)</f>
        <v>33125</v>
      </c>
      <c r="AG749" s="356">
        <v>36571.5</v>
      </c>
    </row>
    <row r="750" spans="28:33">
      <c r="AC750" s="266">
        <f t="shared" si="54"/>
        <v>150000</v>
      </c>
      <c r="AD750" s="266"/>
      <c r="AE750" s="266">
        <v>3312.5</v>
      </c>
      <c r="AF750" s="350"/>
      <c r="AG750" s="357">
        <v>36753</v>
      </c>
    </row>
    <row r="751" spans="28:33">
      <c r="AC751" s="9">
        <f t="shared" si="54"/>
        <v>150000</v>
      </c>
      <c r="AD751" s="9">
        <v>25000</v>
      </c>
      <c r="AE751" s="9">
        <f>AE750</f>
        <v>3312.5</v>
      </c>
      <c r="AF751" s="9">
        <f>SUM(AD750:AE751)</f>
        <v>31625</v>
      </c>
      <c r="AG751" s="356">
        <v>36937.5</v>
      </c>
    </row>
    <row r="752" spans="28:33">
      <c r="AB752" s="11"/>
      <c r="AC752" s="266">
        <f t="shared" si="54"/>
        <v>125000</v>
      </c>
      <c r="AD752" s="266"/>
      <c r="AE752" s="266">
        <v>2587.5</v>
      </c>
      <c r="AF752" s="350"/>
      <c r="AG752" s="357">
        <v>37118</v>
      </c>
    </row>
    <row r="753" spans="28:33">
      <c r="AC753" s="9">
        <f t="shared" si="54"/>
        <v>125000</v>
      </c>
      <c r="AD753" s="9">
        <v>25000</v>
      </c>
      <c r="AE753" s="9">
        <f>AE752</f>
        <v>2587.5</v>
      </c>
      <c r="AF753" s="9">
        <f>SUM(AD752:AE753)</f>
        <v>30175</v>
      </c>
      <c r="AG753" s="356">
        <v>37302.5</v>
      </c>
    </row>
    <row r="754" spans="28:33">
      <c r="AB754" s="11"/>
      <c r="AC754" s="266">
        <f t="shared" si="54"/>
        <v>100000</v>
      </c>
      <c r="AD754" s="266"/>
      <c r="AE754" s="266">
        <v>2025</v>
      </c>
      <c r="AF754" s="350"/>
      <c r="AG754" s="357">
        <v>37483</v>
      </c>
    </row>
    <row r="755" spans="28:33">
      <c r="AC755" s="9">
        <f t="shared" si="54"/>
        <v>100000</v>
      </c>
      <c r="AD755" s="9">
        <v>20000</v>
      </c>
      <c r="AE755" s="9">
        <f>AE754</f>
        <v>2025</v>
      </c>
      <c r="AF755" s="9">
        <f>SUM(AD754:AE755)-AH755</f>
        <v>24050</v>
      </c>
      <c r="AG755" s="356">
        <v>37667.5</v>
      </c>
    </row>
    <row r="756" spans="28:33">
      <c r="AC756" s="266">
        <f t="shared" si="54"/>
        <v>80000</v>
      </c>
      <c r="AD756" s="266"/>
      <c r="AE756" s="266">
        <v>1630</v>
      </c>
      <c r="AF756" s="350"/>
      <c r="AG756" s="357">
        <v>37848</v>
      </c>
    </row>
    <row r="757" spans="28:33">
      <c r="AC757" s="9">
        <f t="shared" si="54"/>
        <v>80000</v>
      </c>
      <c r="AD757" s="9">
        <f>AD755</f>
        <v>20000</v>
      </c>
      <c r="AE757" s="9">
        <f>AE756</f>
        <v>1630</v>
      </c>
      <c r="AF757" s="9">
        <f>SUM(AD756:AE757)-AH757</f>
        <v>23260</v>
      </c>
      <c r="AG757" s="356">
        <v>38032.5</v>
      </c>
    </row>
    <row r="758" spans="28:33">
      <c r="AC758" s="266">
        <f t="shared" si="54"/>
        <v>60000</v>
      </c>
      <c r="AD758" s="266"/>
      <c r="AE758" s="266">
        <v>1230</v>
      </c>
      <c r="AF758" s="350"/>
      <c r="AG758" s="357">
        <v>38214</v>
      </c>
    </row>
    <row r="759" spans="28:33">
      <c r="AC759" s="9">
        <f t="shared" si="54"/>
        <v>60000</v>
      </c>
      <c r="AD759" s="9">
        <f>AD757</f>
        <v>20000</v>
      </c>
      <c r="AE759" s="9">
        <f>AE758</f>
        <v>1230</v>
      </c>
      <c r="AF759" s="9">
        <f>SUM(AD758:AE759)-AH759</f>
        <v>22460</v>
      </c>
      <c r="AG759" s="356">
        <v>38398.5</v>
      </c>
    </row>
    <row r="760" spans="28:33">
      <c r="AC760" s="266">
        <f t="shared" si="54"/>
        <v>40000</v>
      </c>
      <c r="AD760" s="266"/>
      <c r="AE760" s="266">
        <v>825</v>
      </c>
      <c r="AF760" s="350"/>
      <c r="AG760" s="357">
        <v>38579</v>
      </c>
    </row>
    <row r="761" spans="28:33">
      <c r="AC761" s="9">
        <f t="shared" si="54"/>
        <v>40000</v>
      </c>
      <c r="AD761" s="9">
        <f>AD759</f>
        <v>20000</v>
      </c>
      <c r="AE761" s="9">
        <f>AE760</f>
        <v>825</v>
      </c>
      <c r="AF761" s="9">
        <f>SUM(AD760:AE761)-AH761</f>
        <v>21650</v>
      </c>
      <c r="AG761" s="356">
        <v>38763.5</v>
      </c>
    </row>
    <row r="762" spans="28:33">
      <c r="AC762" s="266">
        <f t="shared" si="54"/>
        <v>20000</v>
      </c>
      <c r="AD762" s="266"/>
      <c r="AE762" s="266">
        <v>415</v>
      </c>
      <c r="AF762" s="350"/>
      <c r="AG762" s="357">
        <f>AG760+365</f>
        <v>38944</v>
      </c>
    </row>
    <row r="763" spans="28:33">
      <c r="AC763" s="9">
        <f t="shared" si="54"/>
        <v>20000</v>
      </c>
      <c r="AD763" s="9">
        <v>20000</v>
      </c>
      <c r="AE763" s="9">
        <f>AE762</f>
        <v>415</v>
      </c>
      <c r="AF763" s="9">
        <f>SUM(AD762:AE763)-AH763</f>
        <v>20830</v>
      </c>
      <c r="AG763" s="356">
        <f>AG761+365</f>
        <v>39128.5</v>
      </c>
    </row>
    <row r="764" spans="28:33">
      <c r="AC764" s="266"/>
      <c r="AD764" s="266">
        <f>SUM(AD745:AD763)</f>
        <v>200000</v>
      </c>
      <c r="AE764" s="266">
        <f>SUM(AE745:AE763)</f>
        <v>41800</v>
      </c>
      <c r="AF764" s="266">
        <f>SUM(AF745:AF763)</f>
        <v>241800</v>
      </c>
      <c r="AG764" s="266"/>
    </row>
    <row r="765" spans="28:33">
      <c r="AF765" s="9">
        <f>AF764-AE764-AD764</f>
        <v>0</v>
      </c>
    </row>
    <row r="767" spans="28:33">
      <c r="AB767" s="11"/>
      <c r="AC767" s="9" t="s">
        <v>477</v>
      </c>
      <c r="AG767" s="344"/>
    </row>
    <row r="768" spans="28:33">
      <c r="AB768" s="11" t="s">
        <v>39</v>
      </c>
      <c r="AC768" s="9">
        <v>172000</v>
      </c>
      <c r="AD768" s="342"/>
      <c r="AE768" s="342"/>
      <c r="AF768" s="342"/>
      <c r="AG768" s="344"/>
    </row>
    <row r="769" spans="28:33">
      <c r="AB769" s="11" t="s">
        <v>40</v>
      </c>
      <c r="AC769" s="355">
        <v>4.3828392000000001E-2</v>
      </c>
      <c r="AG769" s="344"/>
    </row>
    <row r="770" spans="28:33">
      <c r="AB770" s="11" t="s">
        <v>41</v>
      </c>
      <c r="AC770" s="9">
        <v>10</v>
      </c>
      <c r="AD770" s="335"/>
      <c r="AG770" s="344"/>
    </row>
    <row r="771" spans="28:33">
      <c r="AB771" s="11"/>
      <c r="AC771" s="342" t="s">
        <v>43</v>
      </c>
      <c r="AD771" s="342" t="s">
        <v>44</v>
      </c>
      <c r="AE771" s="341" t="s">
        <v>45</v>
      </c>
      <c r="AF771" s="341" t="s">
        <v>46</v>
      </c>
    </row>
    <row r="772" spans="28:33">
      <c r="AB772" s="11"/>
      <c r="AF772" s="335"/>
      <c r="AG772" s="338"/>
    </row>
    <row r="773" spans="28:33">
      <c r="AB773" s="11" t="s">
        <v>474</v>
      </c>
      <c r="AC773" s="9">
        <f>AC768</f>
        <v>172000</v>
      </c>
      <c r="AF773" s="9">
        <f>SUM(AD772:AE773)</f>
        <v>0</v>
      </c>
      <c r="AG773" s="356">
        <v>35841</v>
      </c>
    </row>
    <row r="774" spans="28:33">
      <c r="AB774" s="11"/>
      <c r="AC774" s="266">
        <f t="shared" ref="AC774:AC793" si="55">AC773-AD773</f>
        <v>172000</v>
      </c>
      <c r="AD774" s="266"/>
      <c r="AE774" s="266">
        <v>4123.75</v>
      </c>
      <c r="AF774" s="350"/>
      <c r="AG774" s="357">
        <v>36022</v>
      </c>
    </row>
    <row r="775" spans="28:33">
      <c r="AB775" s="11"/>
      <c r="AC775" s="9">
        <f t="shared" si="55"/>
        <v>172000</v>
      </c>
      <c r="AD775" s="9">
        <v>22000</v>
      </c>
      <c r="AE775" s="9">
        <f>AE774</f>
        <v>4123.75</v>
      </c>
      <c r="AF775" s="9">
        <f>SUM(AD774:AE775)</f>
        <v>30247.5</v>
      </c>
      <c r="AG775" s="356">
        <v>36206.5</v>
      </c>
    </row>
    <row r="776" spans="28:33">
      <c r="AB776" s="11"/>
      <c r="AC776" s="266">
        <f t="shared" si="55"/>
        <v>150000</v>
      </c>
      <c r="AD776" s="266"/>
      <c r="AE776" s="266">
        <v>3463.75</v>
      </c>
      <c r="AF776" s="350"/>
      <c r="AG776" s="357">
        <v>36387</v>
      </c>
    </row>
    <row r="777" spans="28:33">
      <c r="AB777" s="11"/>
      <c r="AC777" s="9">
        <f t="shared" si="55"/>
        <v>150000</v>
      </c>
      <c r="AD777" s="9">
        <v>20000</v>
      </c>
      <c r="AE777" s="9">
        <f>AE776</f>
        <v>3463.75</v>
      </c>
      <c r="AF777" s="9">
        <f>SUM(AD776:AE777)</f>
        <v>26927.5</v>
      </c>
      <c r="AG777" s="356">
        <v>36571.5</v>
      </c>
    </row>
    <row r="778" spans="28:33">
      <c r="AC778" s="266">
        <f t="shared" si="55"/>
        <v>130000</v>
      </c>
      <c r="AD778" s="266"/>
      <c r="AE778" s="266">
        <v>2863.75</v>
      </c>
      <c r="AF778" s="350"/>
      <c r="AG778" s="357">
        <v>36753</v>
      </c>
    </row>
    <row r="779" spans="28:33">
      <c r="AC779" s="9">
        <f t="shared" si="55"/>
        <v>130000</v>
      </c>
      <c r="AD779" s="9">
        <v>20000</v>
      </c>
      <c r="AE779" s="9">
        <f>AE778</f>
        <v>2863.75</v>
      </c>
      <c r="AF779" s="9">
        <f>SUM(AD778:AE779)</f>
        <v>25727.5</v>
      </c>
      <c r="AG779" s="356">
        <v>36937.5</v>
      </c>
    </row>
    <row r="780" spans="28:33">
      <c r="AB780" s="11"/>
      <c r="AC780" s="266">
        <f t="shared" si="55"/>
        <v>110000</v>
      </c>
      <c r="AD780" s="266"/>
      <c r="AE780" s="266">
        <v>2283.75</v>
      </c>
      <c r="AF780" s="350"/>
      <c r="AG780" s="357">
        <v>37118</v>
      </c>
    </row>
    <row r="781" spans="28:33">
      <c r="AC781" s="9">
        <f t="shared" si="55"/>
        <v>110000</v>
      </c>
      <c r="AD781" s="9">
        <v>20000</v>
      </c>
      <c r="AE781" s="9">
        <f>AE780</f>
        <v>2283.75</v>
      </c>
      <c r="AF781" s="9">
        <f>SUM(AD780:AE781)</f>
        <v>24567.5</v>
      </c>
      <c r="AG781" s="356">
        <v>37302.5</v>
      </c>
    </row>
    <row r="782" spans="28:33">
      <c r="AB782" s="11"/>
      <c r="AC782" s="266">
        <f t="shared" si="55"/>
        <v>90000</v>
      </c>
      <c r="AD782" s="266"/>
      <c r="AE782" s="266">
        <v>1833.75</v>
      </c>
      <c r="AF782" s="350"/>
      <c r="AG782" s="357">
        <v>37483</v>
      </c>
    </row>
    <row r="783" spans="28:33">
      <c r="AC783" s="9">
        <f t="shared" si="55"/>
        <v>90000</v>
      </c>
      <c r="AD783" s="9">
        <v>15000</v>
      </c>
      <c r="AE783" s="9">
        <f>AE782</f>
        <v>1833.75</v>
      </c>
      <c r="AF783" s="9">
        <f>SUM(AD782:AE783)-AH783</f>
        <v>18667.5</v>
      </c>
      <c r="AG783" s="356">
        <v>37667.5</v>
      </c>
    </row>
    <row r="784" spans="28:33">
      <c r="AC784" s="266">
        <f t="shared" si="55"/>
        <v>75000</v>
      </c>
      <c r="AD784" s="266"/>
      <c r="AE784" s="266">
        <v>1537.5</v>
      </c>
      <c r="AF784" s="350"/>
      <c r="AG784" s="357">
        <v>37848</v>
      </c>
    </row>
    <row r="785" spans="28:33">
      <c r="AC785" s="9">
        <f t="shared" si="55"/>
        <v>75000</v>
      </c>
      <c r="AD785" s="9">
        <v>15000</v>
      </c>
      <c r="AE785" s="9">
        <f>AE784</f>
        <v>1537.5</v>
      </c>
      <c r="AF785" s="9">
        <f>SUM(AD784:AE785)-AH785</f>
        <v>18075</v>
      </c>
      <c r="AG785" s="356">
        <v>38032.5</v>
      </c>
    </row>
    <row r="786" spans="28:33">
      <c r="AC786" s="266">
        <f t="shared" si="55"/>
        <v>60000</v>
      </c>
      <c r="AD786" s="266"/>
      <c r="AE786" s="266">
        <v>1237.5</v>
      </c>
      <c r="AF786" s="350"/>
      <c r="AG786" s="357">
        <v>38214</v>
      </c>
    </row>
    <row r="787" spans="28:33">
      <c r="AC787" s="9">
        <f t="shared" si="55"/>
        <v>60000</v>
      </c>
      <c r="AD787" s="9">
        <f>AD785</f>
        <v>15000</v>
      </c>
      <c r="AE787" s="9">
        <f>AE786</f>
        <v>1237.5</v>
      </c>
      <c r="AF787" s="9">
        <f>SUM(AD786:AE787)-AH787</f>
        <v>17475</v>
      </c>
      <c r="AG787" s="356">
        <v>38398.5</v>
      </c>
    </row>
    <row r="788" spans="28:33">
      <c r="AC788" s="266">
        <f t="shared" si="55"/>
        <v>45000</v>
      </c>
      <c r="AD788" s="266"/>
      <c r="AE788" s="266">
        <v>933.75</v>
      </c>
      <c r="AF788" s="350"/>
      <c r="AG788" s="357">
        <v>38579</v>
      </c>
    </row>
    <row r="789" spans="28:33">
      <c r="AC789" s="9">
        <f t="shared" si="55"/>
        <v>45000</v>
      </c>
      <c r="AD789" s="9">
        <f>AD787</f>
        <v>15000</v>
      </c>
      <c r="AE789" s="9">
        <f>AE788</f>
        <v>933.75</v>
      </c>
      <c r="AF789" s="9">
        <f>SUM(AD788:AE789)-AH789</f>
        <v>16867.5</v>
      </c>
      <c r="AG789" s="356">
        <v>38763.5</v>
      </c>
    </row>
    <row r="790" spans="28:33">
      <c r="AC790" s="266">
        <f t="shared" si="55"/>
        <v>30000</v>
      </c>
      <c r="AD790" s="266"/>
      <c r="AE790" s="266">
        <v>626.25</v>
      </c>
      <c r="AF790" s="350"/>
      <c r="AG790" s="357">
        <f>AG788+365</f>
        <v>38944</v>
      </c>
    </row>
    <row r="791" spans="28:33">
      <c r="AC791" s="9">
        <f t="shared" si="55"/>
        <v>30000</v>
      </c>
      <c r="AD791" s="9">
        <v>15000</v>
      </c>
      <c r="AE791" s="9">
        <f>AE790</f>
        <v>626.25</v>
      </c>
      <c r="AF791" s="9">
        <f>SUM(AD790:AE791)-AH791</f>
        <v>16252.5</v>
      </c>
      <c r="AG791" s="356">
        <f>AG789+365</f>
        <v>39128.5</v>
      </c>
    </row>
    <row r="792" spans="28:33">
      <c r="AC792" s="266">
        <f t="shared" si="55"/>
        <v>15000</v>
      </c>
      <c r="AD792" s="266"/>
      <c r="AE792" s="266">
        <v>315</v>
      </c>
      <c r="AF792" s="350"/>
      <c r="AG792" s="357">
        <v>39309</v>
      </c>
    </row>
    <row r="793" spans="28:33">
      <c r="AC793" s="9">
        <f t="shared" si="55"/>
        <v>15000</v>
      </c>
      <c r="AD793" s="9">
        <f>AD791</f>
        <v>15000</v>
      </c>
      <c r="AE793" s="9">
        <f>AE792</f>
        <v>315</v>
      </c>
      <c r="AF793" s="9">
        <f>SUM(AD792:AE793)-AH793</f>
        <v>15630</v>
      </c>
      <c r="AG793" s="356">
        <v>39493.5</v>
      </c>
    </row>
    <row r="794" spans="28:33">
      <c r="AC794" s="266"/>
      <c r="AD794" s="266">
        <f>SUM(AD773:AD793)</f>
        <v>172000</v>
      </c>
      <c r="AE794" s="266">
        <f>SUM(AE773:AE793)</f>
        <v>38437.5</v>
      </c>
      <c r="AF794" s="266">
        <f>SUM(AF773:AF793)</f>
        <v>210437.5</v>
      </c>
      <c r="AG794" s="266"/>
    </row>
    <row r="797" spans="28:33">
      <c r="AB797" s="11"/>
      <c r="AC797" s="9" t="s">
        <v>478</v>
      </c>
      <c r="AG797" s="344"/>
    </row>
    <row r="798" spans="28:33">
      <c r="AB798" s="11" t="s">
        <v>39</v>
      </c>
      <c r="AC798" s="9">
        <v>132000</v>
      </c>
      <c r="AD798" s="342"/>
      <c r="AE798" s="342"/>
      <c r="AF798" s="342"/>
      <c r="AG798" s="344"/>
    </row>
    <row r="799" spans="28:33">
      <c r="AB799" s="11" t="s">
        <v>40</v>
      </c>
      <c r="AC799" s="352">
        <v>4.3748097E-2</v>
      </c>
      <c r="AG799" s="344"/>
    </row>
    <row r="800" spans="28:33">
      <c r="AB800" s="11" t="s">
        <v>41</v>
      </c>
      <c r="AC800" s="9">
        <v>10</v>
      </c>
      <c r="AD800" s="335"/>
      <c r="AG800" s="344"/>
    </row>
    <row r="801" spans="28:33">
      <c r="AB801" s="11"/>
      <c r="AC801" s="342" t="s">
        <v>43</v>
      </c>
      <c r="AD801" s="342" t="s">
        <v>44</v>
      </c>
      <c r="AE801" s="341" t="s">
        <v>45</v>
      </c>
      <c r="AF801" s="341" t="s">
        <v>46</v>
      </c>
    </row>
    <row r="802" spans="28:33">
      <c r="AB802" s="11"/>
      <c r="AF802" s="335"/>
      <c r="AG802" s="338"/>
    </row>
    <row r="803" spans="28:33">
      <c r="AB803" s="11"/>
      <c r="AC803" s="9">
        <f>AC798</f>
        <v>132000</v>
      </c>
      <c r="AF803" s="9">
        <f>SUM(AD802:AE803)</f>
        <v>0</v>
      </c>
      <c r="AG803" s="356">
        <v>35841</v>
      </c>
    </row>
    <row r="804" spans="28:33">
      <c r="AB804" s="11"/>
      <c r="AC804" s="266">
        <f t="shared" ref="AC804:AC823" si="56">AC803-AD803</f>
        <v>132000</v>
      </c>
      <c r="AD804" s="266"/>
      <c r="AE804" s="266">
        <v>3153.75</v>
      </c>
      <c r="AF804" s="350"/>
      <c r="AG804" s="357">
        <v>36022</v>
      </c>
    </row>
    <row r="805" spans="28:33">
      <c r="AB805" s="11"/>
      <c r="AC805" s="9">
        <f t="shared" si="56"/>
        <v>132000</v>
      </c>
      <c r="AD805" s="9">
        <v>17000</v>
      </c>
      <c r="AE805" s="9">
        <v>3153.75</v>
      </c>
      <c r="AF805" s="9">
        <f>SUM(AD804:AE805)</f>
        <v>23307.5</v>
      </c>
      <c r="AG805" s="356">
        <v>36206.5</v>
      </c>
    </row>
    <row r="806" spans="28:33">
      <c r="AB806" s="11"/>
      <c r="AC806" s="266">
        <f t="shared" si="56"/>
        <v>115000</v>
      </c>
      <c r="AD806" s="266"/>
      <c r="AE806" s="266">
        <v>2643.75</v>
      </c>
      <c r="AF806" s="350"/>
      <c r="AG806" s="357">
        <v>36387</v>
      </c>
    </row>
    <row r="807" spans="28:33">
      <c r="AB807" s="11"/>
      <c r="AC807" s="9">
        <f t="shared" si="56"/>
        <v>115000</v>
      </c>
      <c r="AD807" s="9">
        <v>15000</v>
      </c>
      <c r="AE807" s="9">
        <v>2643.75</v>
      </c>
      <c r="AF807" s="9">
        <f>SUM(AD806:AE807)</f>
        <v>20287.5</v>
      </c>
      <c r="AG807" s="356">
        <v>36571.5</v>
      </c>
    </row>
    <row r="808" spans="28:33">
      <c r="AC808" s="266">
        <f t="shared" si="56"/>
        <v>100000</v>
      </c>
      <c r="AD808" s="266"/>
      <c r="AE808" s="266">
        <v>2193.75</v>
      </c>
      <c r="AF808" s="350"/>
      <c r="AG808" s="357">
        <v>36753</v>
      </c>
    </row>
    <row r="809" spans="28:33">
      <c r="AC809" s="9">
        <f t="shared" si="56"/>
        <v>100000</v>
      </c>
      <c r="AD809" s="9">
        <v>15000</v>
      </c>
      <c r="AE809" s="9">
        <f>AE808</f>
        <v>2193.75</v>
      </c>
      <c r="AF809" s="9">
        <f>SUM(AD808:AE809)</f>
        <v>19387.5</v>
      </c>
      <c r="AG809" s="356">
        <v>36937.5</v>
      </c>
    </row>
    <row r="810" spans="28:33">
      <c r="AB810" s="11"/>
      <c r="AC810" s="266">
        <f t="shared" si="56"/>
        <v>85000</v>
      </c>
      <c r="AD810" s="266"/>
      <c r="AE810" s="266">
        <v>1758.75</v>
      </c>
      <c r="AF810" s="350"/>
      <c r="AG810" s="357">
        <v>37118</v>
      </c>
    </row>
    <row r="811" spans="28:33">
      <c r="AC811" s="9">
        <f t="shared" si="56"/>
        <v>85000</v>
      </c>
      <c r="AD811" s="9">
        <v>15000</v>
      </c>
      <c r="AE811" s="9">
        <f>AE810</f>
        <v>1758.75</v>
      </c>
      <c r="AF811" s="9">
        <f>SUM(AD810:AE811)</f>
        <v>18517.5</v>
      </c>
      <c r="AG811" s="356">
        <v>37302.5</v>
      </c>
    </row>
    <row r="812" spans="28:33">
      <c r="AB812" s="11"/>
      <c r="AC812" s="266">
        <f t="shared" si="56"/>
        <v>70000</v>
      </c>
      <c r="AD812" s="266"/>
      <c r="AE812" s="266">
        <v>1421.25</v>
      </c>
      <c r="AF812" s="350"/>
      <c r="AG812" s="357">
        <v>37483</v>
      </c>
    </row>
    <row r="813" spans="28:33">
      <c r="AC813" s="9">
        <f t="shared" si="56"/>
        <v>70000</v>
      </c>
      <c r="AD813" s="9">
        <v>15000</v>
      </c>
      <c r="AE813" s="9">
        <f>AE812</f>
        <v>1421.25</v>
      </c>
      <c r="AF813" s="9">
        <f>SUM(AD812:AE813)-AH813</f>
        <v>17842.5</v>
      </c>
      <c r="AG813" s="356">
        <v>37667.5</v>
      </c>
    </row>
    <row r="814" spans="28:33">
      <c r="AC814" s="266">
        <f t="shared" si="56"/>
        <v>55000</v>
      </c>
      <c r="AD814" s="266"/>
      <c r="AE814" s="266">
        <v>1125</v>
      </c>
      <c r="AF814" s="350"/>
      <c r="AG814" s="357">
        <v>37848</v>
      </c>
    </row>
    <row r="815" spans="28:33">
      <c r="AC815" s="9">
        <f t="shared" si="56"/>
        <v>55000</v>
      </c>
      <c r="AD815" s="9">
        <v>15000</v>
      </c>
      <c r="AE815" s="9">
        <f>AE814</f>
        <v>1125</v>
      </c>
      <c r="AF815" s="9">
        <f>SUM(AD814:AE815)-AH815</f>
        <v>17250</v>
      </c>
      <c r="AG815" s="356">
        <v>38032.5</v>
      </c>
    </row>
    <row r="816" spans="28:33">
      <c r="AC816" s="266">
        <f t="shared" si="56"/>
        <v>40000</v>
      </c>
      <c r="AD816" s="266"/>
      <c r="AE816" s="266">
        <v>825</v>
      </c>
      <c r="AF816" s="350"/>
      <c r="AG816" s="357">
        <v>38214</v>
      </c>
    </row>
    <row r="817" spans="28:36">
      <c r="AC817" s="9">
        <f t="shared" si="56"/>
        <v>40000</v>
      </c>
      <c r="AD817" s="9">
        <v>10000</v>
      </c>
      <c r="AE817" s="9">
        <f>AE816</f>
        <v>825</v>
      </c>
      <c r="AF817" s="9">
        <f>SUM(AD816:AE817)-AH817</f>
        <v>11650</v>
      </c>
      <c r="AG817" s="356">
        <v>38398.5</v>
      </c>
    </row>
    <row r="818" spans="28:36">
      <c r="AC818" s="266">
        <f t="shared" si="56"/>
        <v>30000</v>
      </c>
      <c r="AD818" s="266"/>
      <c r="AE818" s="266">
        <v>622.5</v>
      </c>
      <c r="AF818" s="350"/>
      <c r="AG818" s="357">
        <v>38579</v>
      </c>
    </row>
    <row r="819" spans="28:36">
      <c r="AC819" s="9">
        <f t="shared" si="56"/>
        <v>30000</v>
      </c>
      <c r="AD819" s="9">
        <v>10000</v>
      </c>
      <c r="AE819" s="9">
        <f>AE818</f>
        <v>622.5</v>
      </c>
      <c r="AF819" s="9">
        <f>SUM(AD818:AE819)-AH819</f>
        <v>11245</v>
      </c>
      <c r="AG819" s="356">
        <v>38763.5</v>
      </c>
    </row>
    <row r="820" spans="28:36">
      <c r="AC820" s="266">
        <f t="shared" si="56"/>
        <v>20000</v>
      </c>
      <c r="AD820" s="266"/>
      <c r="AE820" s="266">
        <v>417.5</v>
      </c>
      <c r="AF820" s="350"/>
      <c r="AG820" s="357">
        <v>38944</v>
      </c>
    </row>
    <row r="821" spans="28:36">
      <c r="AC821" s="9">
        <f t="shared" si="56"/>
        <v>20000</v>
      </c>
      <c r="AD821" s="9">
        <v>10000</v>
      </c>
      <c r="AE821" s="9">
        <f>AE820</f>
        <v>417.5</v>
      </c>
      <c r="AF821" s="9">
        <f>SUM(AD820:AE821)-AH821</f>
        <v>10835</v>
      </c>
      <c r="AG821" s="356">
        <v>39128.5</v>
      </c>
    </row>
    <row r="822" spans="28:36">
      <c r="AC822" s="266">
        <f t="shared" si="56"/>
        <v>10000</v>
      </c>
      <c r="AD822" s="266"/>
      <c r="AE822" s="266">
        <v>210</v>
      </c>
      <c r="AF822" s="350"/>
      <c r="AG822" s="357">
        <v>39309</v>
      </c>
    </row>
    <row r="823" spans="28:36">
      <c r="AC823" s="9">
        <f t="shared" si="56"/>
        <v>10000</v>
      </c>
      <c r="AD823" s="9">
        <v>10000</v>
      </c>
      <c r="AE823" s="9">
        <f>AE822</f>
        <v>210</v>
      </c>
      <c r="AF823" s="9">
        <f>SUM(AD822:AE823)-AH823</f>
        <v>10420</v>
      </c>
      <c r="AG823" s="356">
        <v>39493.5</v>
      </c>
    </row>
    <row r="824" spans="28:36">
      <c r="AC824" s="266"/>
      <c r="AD824" s="266">
        <f>SUM(AD803:AD823)</f>
        <v>132000</v>
      </c>
      <c r="AE824" s="266">
        <f>SUM(AE803:AE823)</f>
        <v>28742.5</v>
      </c>
      <c r="AF824" s="266">
        <f>SUM(AF805:AF823)</f>
        <v>160742.5</v>
      </c>
      <c r="AG824" s="266"/>
    </row>
    <row r="825" spans="28:36">
      <c r="AF825" s="9">
        <f>AF824-AE824-AD824</f>
        <v>0</v>
      </c>
    </row>
    <row r="826" spans="28:36">
      <c r="AB826" s="11"/>
      <c r="AC826" s="9" t="s">
        <v>479</v>
      </c>
      <c r="AG826" s="344"/>
      <c r="AJ826" s="344"/>
    </row>
    <row r="827" spans="28:36">
      <c r="AB827" s="11" t="s">
        <v>39</v>
      </c>
      <c r="AC827" s="9">
        <f>141093+230000+300000+2000000</f>
        <v>2671093</v>
      </c>
      <c r="AD827" s="342"/>
      <c r="AE827" s="342"/>
      <c r="AF827" s="342"/>
      <c r="AG827" s="344"/>
      <c r="AH827" s="342"/>
      <c r="AI827" s="342"/>
      <c r="AJ827" s="344"/>
    </row>
    <row r="828" spans="28:36">
      <c r="AB828" s="11" t="s">
        <v>40</v>
      </c>
      <c r="AC828" s="335">
        <f>$AD$131</f>
        <v>5</v>
      </c>
      <c r="AG828" s="344"/>
    </row>
    <row r="829" spans="28:36">
      <c r="AB829" s="11" t="s">
        <v>41</v>
      </c>
      <c r="AC829" s="9">
        <v>20</v>
      </c>
      <c r="AD829" s="335"/>
      <c r="AG829" s="344"/>
    </row>
    <row r="830" spans="28:36">
      <c r="AB830" s="11"/>
      <c r="AC830" s="342" t="s">
        <v>43</v>
      </c>
      <c r="AD830" s="342" t="s">
        <v>44</v>
      </c>
      <c r="AE830" s="341" t="s">
        <v>45</v>
      </c>
      <c r="AF830" s="341" t="s">
        <v>46</v>
      </c>
    </row>
    <row r="831" spans="28:36">
      <c r="AB831" s="11"/>
      <c r="AC831" s="9">
        <f>AC827</f>
        <v>2671093</v>
      </c>
      <c r="AF831" s="335"/>
      <c r="AG831" s="338" t="s">
        <v>394</v>
      </c>
    </row>
    <row r="832" spans="28:36" ht="15.75">
      <c r="AC832" s="9">
        <f>AC831</f>
        <v>2671093</v>
      </c>
      <c r="AF832" s="9">
        <f>SUM(AD831:AE832)</f>
        <v>0</v>
      </c>
      <c r="AG832" s="256" t="s">
        <v>395</v>
      </c>
    </row>
    <row r="833" spans="28:36">
      <c r="AB833" s="11" t="s">
        <v>480</v>
      </c>
      <c r="AC833" s="266">
        <f>AC832</f>
        <v>2671093</v>
      </c>
      <c r="AD833" s="266"/>
      <c r="AE833" s="266"/>
      <c r="AF833" s="350"/>
      <c r="AG833" s="349" t="s">
        <v>396</v>
      </c>
      <c r="AI833" s="9">
        <v>106375.363967123</v>
      </c>
      <c r="AJ833" s="9">
        <v>0</v>
      </c>
    </row>
    <row r="834" spans="28:36" ht="15.75">
      <c r="AB834" s="11" t="s">
        <v>481</v>
      </c>
      <c r="AC834" s="9">
        <f t="shared" ref="AC834:AC874" si="57">AC833-AD833</f>
        <v>2671093</v>
      </c>
      <c r="AF834" s="9">
        <f>SUM(AD833:AE834)</f>
        <v>0</v>
      </c>
      <c r="AG834" s="256" t="s">
        <v>420</v>
      </c>
      <c r="AI834" s="9">
        <v>93246.758920547902</v>
      </c>
      <c r="AJ834" s="9">
        <v>199622.12288767099</v>
      </c>
    </row>
    <row r="835" spans="28:36">
      <c r="AB835" s="11" t="s">
        <v>482</v>
      </c>
      <c r="AC835" s="266">
        <f t="shared" si="57"/>
        <v>2671093</v>
      </c>
      <c r="AD835" s="266"/>
      <c r="AE835" s="266">
        <v>63193.74</v>
      </c>
      <c r="AF835" s="350"/>
      <c r="AG835" s="349" t="s">
        <v>421</v>
      </c>
      <c r="AI835" s="9">
        <v>83471.65625</v>
      </c>
      <c r="AJ835" s="9">
        <v>0</v>
      </c>
    </row>
    <row r="836" spans="28:36" ht="15.75">
      <c r="AB836" s="11"/>
      <c r="AC836" s="9">
        <f t="shared" si="57"/>
        <v>2671093</v>
      </c>
      <c r="AD836" s="9">
        <v>156093</v>
      </c>
      <c r="AE836" s="9">
        <f>AE835</f>
        <v>63193.74</v>
      </c>
      <c r="AF836" s="9">
        <f>SUM(AD835:AE836)</f>
        <v>282480.48</v>
      </c>
      <c r="AG836" s="256" t="s">
        <v>422</v>
      </c>
      <c r="AI836" s="9">
        <v>83471.65625</v>
      </c>
      <c r="AJ836" s="9">
        <v>318036.15460526297</v>
      </c>
    </row>
    <row r="837" spans="28:36">
      <c r="AB837" s="11"/>
      <c r="AC837" s="266">
        <f t="shared" si="57"/>
        <v>2515000</v>
      </c>
      <c r="AD837" s="266"/>
      <c r="AE837" s="266">
        <v>60071.88</v>
      </c>
      <c r="AF837" s="350"/>
      <c r="AG837" s="349" t="s">
        <v>423</v>
      </c>
      <c r="AI837" s="9">
        <v>78750.004934210505</v>
      </c>
      <c r="AJ837" s="9">
        <v>0</v>
      </c>
    </row>
    <row r="838" spans="28:36" ht="15.75">
      <c r="AC838" s="9">
        <f t="shared" si="57"/>
        <v>2515000</v>
      </c>
      <c r="AD838" s="9">
        <v>155000</v>
      </c>
      <c r="AE838" s="9">
        <f>AE837</f>
        <v>60071.88</v>
      </c>
      <c r="AF838" s="9">
        <f>SUM(AD837:AE838)</f>
        <v>275143.76</v>
      </c>
      <c r="AG838" s="256" t="s">
        <v>424</v>
      </c>
      <c r="AI838" s="9">
        <v>78750.004934210505</v>
      </c>
      <c r="AJ838" s="9">
        <v>297500.00986842101</v>
      </c>
    </row>
    <row r="839" spans="28:36">
      <c r="AB839" s="11"/>
      <c r="AC839" s="266">
        <f t="shared" si="57"/>
        <v>2360000</v>
      </c>
      <c r="AD839" s="266">
        <f>AD837</f>
        <v>0</v>
      </c>
      <c r="AE839" s="266">
        <v>56971.88</v>
      </c>
      <c r="AF839" s="350"/>
      <c r="AG839" s="349" t="s">
        <v>425</v>
      </c>
      <c r="AI839" s="9">
        <v>74375.004934210505</v>
      </c>
      <c r="AJ839" s="9">
        <v>0</v>
      </c>
    </row>
    <row r="840" spans="28:36" ht="15.75">
      <c r="AC840" s="9">
        <f t="shared" si="57"/>
        <v>2360000</v>
      </c>
      <c r="AD840" s="9">
        <f>AD838</f>
        <v>155000</v>
      </c>
      <c r="AE840" s="9">
        <f>AE839</f>
        <v>56971.88</v>
      </c>
      <c r="AF840" s="9">
        <f>SUM(AD839:AE840)</f>
        <v>268943.76</v>
      </c>
      <c r="AG840" s="256" t="s">
        <v>426</v>
      </c>
      <c r="AI840" s="9">
        <v>74375.004934210505</v>
      </c>
      <c r="AJ840" s="9">
        <v>288750.00986842101</v>
      </c>
    </row>
    <row r="841" spans="28:36">
      <c r="AB841" s="11"/>
      <c r="AC841" s="266">
        <f t="shared" si="57"/>
        <v>2205000</v>
      </c>
      <c r="AD841" s="266">
        <f>AD839</f>
        <v>0</v>
      </c>
      <c r="AE841" s="266">
        <v>53871.88</v>
      </c>
      <c r="AF841" s="350"/>
      <c r="AG841" s="349" t="s">
        <v>427</v>
      </c>
      <c r="AI841" s="9">
        <v>70000.004934210505</v>
      </c>
      <c r="AJ841" s="9">
        <v>0</v>
      </c>
    </row>
    <row r="842" spans="28:36" ht="15.75">
      <c r="AC842" s="9">
        <f t="shared" si="57"/>
        <v>2205000</v>
      </c>
      <c r="AD842" s="9">
        <f>AD840</f>
        <v>155000</v>
      </c>
      <c r="AE842" s="9">
        <f>AE841</f>
        <v>53871.88</v>
      </c>
      <c r="AF842" s="9">
        <f>SUM(AD841:AE842)</f>
        <v>262743.76</v>
      </c>
      <c r="AG842" s="256" t="s">
        <v>428</v>
      </c>
      <c r="AI842" s="9">
        <v>70000.004934210505</v>
      </c>
      <c r="AJ842" s="9">
        <v>280000.00986842101</v>
      </c>
    </row>
    <row r="843" spans="28:36">
      <c r="AC843" s="266">
        <f t="shared" si="57"/>
        <v>2050000</v>
      </c>
      <c r="AD843" s="266">
        <f>AD841</f>
        <v>0</v>
      </c>
      <c r="AE843" s="266">
        <v>51159.38</v>
      </c>
      <c r="AF843" s="350"/>
      <c r="AG843" s="349" t="s">
        <v>429</v>
      </c>
      <c r="AI843" s="9">
        <v>55125.004144736798</v>
      </c>
      <c r="AJ843" s="9">
        <v>0</v>
      </c>
    </row>
    <row r="844" spans="28:36" ht="15.75">
      <c r="AC844" s="9">
        <f t="shared" si="57"/>
        <v>2050000</v>
      </c>
      <c r="AD844" s="9">
        <v>150000</v>
      </c>
      <c r="AE844" s="9">
        <f>AE843</f>
        <v>51159.38</v>
      </c>
      <c r="AF844" s="9">
        <f>SUM(AD843:AE844)</f>
        <v>252318.76</v>
      </c>
      <c r="AG844" s="256" t="s">
        <v>430</v>
      </c>
      <c r="AI844" s="9">
        <v>55125.004144736798</v>
      </c>
      <c r="AJ844" s="9">
        <v>250250.008289474</v>
      </c>
    </row>
    <row r="845" spans="28:36">
      <c r="AC845" s="266">
        <f t="shared" si="57"/>
        <v>1900000</v>
      </c>
      <c r="AD845" s="266">
        <f t="shared" ref="AD845:AD855" si="58">AD843</f>
        <v>0</v>
      </c>
      <c r="AE845" s="266">
        <v>47784.38</v>
      </c>
      <c r="AF845" s="350"/>
      <c r="AG845" s="349" t="s">
        <v>431</v>
      </c>
      <c r="AI845" s="9">
        <v>61250.004934210498</v>
      </c>
      <c r="AJ845" s="9">
        <v>0</v>
      </c>
    </row>
    <row r="846" spans="28:36" ht="15.75">
      <c r="AC846" s="9">
        <f t="shared" si="57"/>
        <v>1900000</v>
      </c>
      <c r="AD846" s="9">
        <f t="shared" si="58"/>
        <v>150000</v>
      </c>
      <c r="AE846" s="9">
        <f>AE845</f>
        <v>47784.38</v>
      </c>
      <c r="AF846" s="9">
        <f>SUM(AD845:AE846)</f>
        <v>245568.76</v>
      </c>
      <c r="AG846" s="256" t="s">
        <v>432</v>
      </c>
      <c r="AI846" s="9">
        <v>61250.004934210498</v>
      </c>
      <c r="AJ846" s="9">
        <v>262500.00986842101</v>
      </c>
    </row>
    <row r="847" spans="28:36">
      <c r="AC847" s="266">
        <f t="shared" si="57"/>
        <v>1750000</v>
      </c>
      <c r="AD847" s="266">
        <f t="shared" si="58"/>
        <v>0</v>
      </c>
      <c r="AE847" s="266">
        <v>44034.38</v>
      </c>
      <c r="AF847" s="350"/>
      <c r="AG847" s="349" t="s">
        <v>433</v>
      </c>
      <c r="AI847" s="9">
        <v>56875.004934210498</v>
      </c>
      <c r="AJ847" s="9">
        <v>0</v>
      </c>
    </row>
    <row r="848" spans="28:36" ht="15.75">
      <c r="AC848" s="9">
        <f t="shared" si="57"/>
        <v>1750000</v>
      </c>
      <c r="AD848" s="9">
        <f t="shared" si="58"/>
        <v>150000</v>
      </c>
      <c r="AE848" s="9">
        <f>AE847</f>
        <v>44034.38</v>
      </c>
      <c r="AF848" s="9">
        <f>SUM(AD847:AE848)</f>
        <v>238068.76</v>
      </c>
      <c r="AG848" s="256" t="s">
        <v>434</v>
      </c>
      <c r="AI848" s="9">
        <v>56875.004934210498</v>
      </c>
      <c r="AJ848" s="9">
        <v>253750.00986842101</v>
      </c>
    </row>
    <row r="849" spans="29:36">
      <c r="AC849" s="266">
        <f t="shared" si="57"/>
        <v>1600000</v>
      </c>
      <c r="AD849" s="266">
        <f t="shared" si="58"/>
        <v>0</v>
      </c>
      <c r="AE849" s="266">
        <v>40284.379999999997</v>
      </c>
      <c r="AF849" s="350"/>
      <c r="AG849" s="349" t="s">
        <v>435</v>
      </c>
      <c r="AI849" s="9">
        <v>52500.004934210498</v>
      </c>
      <c r="AJ849" s="9">
        <v>0</v>
      </c>
    </row>
    <row r="850" spans="29:36" ht="15.75">
      <c r="AC850" s="9">
        <f t="shared" si="57"/>
        <v>1600000</v>
      </c>
      <c r="AD850" s="9">
        <f t="shared" si="58"/>
        <v>150000</v>
      </c>
      <c r="AE850" s="9">
        <f>AE849</f>
        <v>40284.379999999997</v>
      </c>
      <c r="AF850" s="9">
        <f>SUM(AD849:AE850)</f>
        <v>230568.76</v>
      </c>
      <c r="AG850" s="256" t="s">
        <v>436</v>
      </c>
      <c r="AI850" s="9">
        <v>52500.004934210498</v>
      </c>
      <c r="AJ850" s="9">
        <v>245000.00986842101</v>
      </c>
    </row>
    <row r="851" spans="29:36">
      <c r="AC851" s="266">
        <f t="shared" si="57"/>
        <v>1450000</v>
      </c>
      <c r="AD851" s="266">
        <f t="shared" si="58"/>
        <v>0</v>
      </c>
      <c r="AE851" s="266">
        <v>36534.379999999997</v>
      </c>
      <c r="AF851" s="350"/>
      <c r="AG851" s="349" t="s">
        <v>438</v>
      </c>
      <c r="AI851" s="9">
        <v>48125.004934210498</v>
      </c>
      <c r="AJ851" s="9">
        <v>0</v>
      </c>
    </row>
    <row r="852" spans="29:36" ht="15.75">
      <c r="AC852" s="9">
        <f t="shared" si="57"/>
        <v>1450000</v>
      </c>
      <c r="AD852" s="9">
        <f t="shared" si="58"/>
        <v>150000</v>
      </c>
      <c r="AE852" s="9">
        <f>AE851</f>
        <v>36534.379999999997</v>
      </c>
      <c r="AF852" s="9">
        <f>SUM(AD851:AE852)</f>
        <v>223068.76</v>
      </c>
      <c r="AG852" s="256" t="s">
        <v>439</v>
      </c>
      <c r="AI852" s="9">
        <v>48125.004934210498</v>
      </c>
      <c r="AJ852" s="9">
        <v>236250.00986842101</v>
      </c>
    </row>
    <row r="853" spans="29:36">
      <c r="AC853" s="266">
        <f t="shared" si="57"/>
        <v>1300000</v>
      </c>
      <c r="AD853" s="266">
        <f t="shared" si="58"/>
        <v>0</v>
      </c>
      <c r="AE853" s="266">
        <v>33253.129999999997</v>
      </c>
      <c r="AF853" s="350"/>
      <c r="AG853" s="349" t="s">
        <v>224</v>
      </c>
      <c r="AI853" s="9">
        <v>43750.004934210498</v>
      </c>
      <c r="AJ853" s="9">
        <v>0</v>
      </c>
    </row>
    <row r="854" spans="29:36" ht="15.75">
      <c r="AC854" s="9">
        <f t="shared" si="57"/>
        <v>1300000</v>
      </c>
      <c r="AD854" s="9">
        <f t="shared" si="58"/>
        <v>150000</v>
      </c>
      <c r="AE854" s="9">
        <f>AE853</f>
        <v>33253.129999999997</v>
      </c>
      <c r="AF854" s="9">
        <f>SUM(AD853:AE854)</f>
        <v>216506.26</v>
      </c>
      <c r="AG854" s="256" t="s">
        <v>225</v>
      </c>
      <c r="AI854" s="9">
        <v>43750.004934210498</v>
      </c>
      <c r="AJ854" s="9">
        <v>227500.00986842101</v>
      </c>
    </row>
    <row r="855" spans="29:36">
      <c r="AC855" s="266">
        <f t="shared" si="57"/>
        <v>1150000</v>
      </c>
      <c r="AD855" s="266">
        <f t="shared" si="58"/>
        <v>0</v>
      </c>
      <c r="AE855" s="266">
        <v>29971.88</v>
      </c>
      <c r="AF855" s="350"/>
      <c r="AG855" s="349" t="s">
        <v>226</v>
      </c>
      <c r="AI855" s="9">
        <v>39375.004934210498</v>
      </c>
      <c r="AJ855" s="9">
        <v>0</v>
      </c>
    </row>
    <row r="856" spans="29:36" ht="15.75">
      <c r="AC856" s="9">
        <f t="shared" si="57"/>
        <v>1150000</v>
      </c>
      <c r="AD856" s="9">
        <v>115000</v>
      </c>
      <c r="AE856" s="9">
        <f>AE855</f>
        <v>29971.88</v>
      </c>
      <c r="AF856" s="9">
        <f>SUM(AD855:AE856)</f>
        <v>174943.76</v>
      </c>
      <c r="AG856" s="256" t="s">
        <v>227</v>
      </c>
      <c r="AI856" s="9">
        <v>39375.004934210498</v>
      </c>
      <c r="AJ856" s="9">
        <v>218750.00986842101</v>
      </c>
    </row>
    <row r="857" spans="29:36">
      <c r="AC857" s="266">
        <f t="shared" si="57"/>
        <v>1035000</v>
      </c>
      <c r="AD857" s="266">
        <f t="shared" ref="AD857:AD874" si="59">AD855</f>
        <v>0</v>
      </c>
      <c r="AE857" s="266">
        <v>26953.13</v>
      </c>
      <c r="AF857" s="350"/>
      <c r="AG857" s="349" t="s">
        <v>228</v>
      </c>
      <c r="AI857" s="9">
        <v>35000.004934210498</v>
      </c>
      <c r="AJ857" s="9">
        <v>0</v>
      </c>
    </row>
    <row r="858" spans="29:36" ht="15.75">
      <c r="AC858" s="9">
        <f t="shared" si="57"/>
        <v>1035000</v>
      </c>
      <c r="AD858" s="9">
        <f t="shared" si="59"/>
        <v>115000</v>
      </c>
      <c r="AE858" s="9">
        <v>26953.13</v>
      </c>
      <c r="AF858" s="9">
        <f>SUM(AD857:AE858)</f>
        <v>168906.26</v>
      </c>
      <c r="AG858" s="256" t="s">
        <v>229</v>
      </c>
      <c r="AI858" s="9">
        <v>35000.004934210498</v>
      </c>
      <c r="AJ858" s="9">
        <v>210000.00986842101</v>
      </c>
    </row>
    <row r="859" spans="29:36">
      <c r="AC859" s="266">
        <f t="shared" si="57"/>
        <v>920000</v>
      </c>
      <c r="AD859" s="266">
        <f t="shared" si="59"/>
        <v>0</v>
      </c>
      <c r="AE859" s="266">
        <v>23953.13</v>
      </c>
      <c r="AF859" s="350"/>
      <c r="AG859" s="349" t="s">
        <v>230</v>
      </c>
      <c r="AI859" s="9">
        <v>30625.004934210501</v>
      </c>
      <c r="AJ859" s="9">
        <v>0</v>
      </c>
    </row>
    <row r="860" spans="29:36" ht="15.75">
      <c r="AC860" s="9">
        <f t="shared" si="57"/>
        <v>920000</v>
      </c>
      <c r="AD860" s="9">
        <f t="shared" si="59"/>
        <v>115000</v>
      </c>
      <c r="AE860" s="9">
        <f>AE859</f>
        <v>23953.13</v>
      </c>
      <c r="AF860" s="9">
        <f>SUM(AD859:AE860)</f>
        <v>162906.26</v>
      </c>
      <c r="AG860" s="256" t="s">
        <v>231</v>
      </c>
      <c r="AI860" s="9">
        <v>30625.004934210501</v>
      </c>
      <c r="AJ860" s="9">
        <v>201250.00986842101</v>
      </c>
    </row>
    <row r="861" spans="29:36">
      <c r="AC861" s="266">
        <f t="shared" si="57"/>
        <v>805000</v>
      </c>
      <c r="AD861" s="266">
        <f t="shared" si="59"/>
        <v>0</v>
      </c>
      <c r="AE861" s="266">
        <v>20771.88</v>
      </c>
      <c r="AF861" s="350"/>
      <c r="AG861" s="349" t="s">
        <v>232</v>
      </c>
      <c r="AI861" s="9">
        <v>26250.004934210501</v>
      </c>
      <c r="AJ861" s="9">
        <v>0</v>
      </c>
    </row>
    <row r="862" spans="29:36" ht="15.75">
      <c r="AC862" s="9">
        <f t="shared" si="57"/>
        <v>805000</v>
      </c>
      <c r="AD862" s="9">
        <f t="shared" si="59"/>
        <v>115000</v>
      </c>
      <c r="AE862" s="9">
        <f>AE861</f>
        <v>20771.88</v>
      </c>
      <c r="AF862" s="9">
        <f>SUM(AD861:AE862)</f>
        <v>156543.76</v>
      </c>
      <c r="AG862" s="256" t="s">
        <v>233</v>
      </c>
      <c r="AI862" s="9">
        <v>26250.004934210501</v>
      </c>
      <c r="AJ862" s="9">
        <v>192500.00986842101</v>
      </c>
    </row>
    <row r="863" spans="29:36">
      <c r="AC863" s="266">
        <f t="shared" si="57"/>
        <v>690000</v>
      </c>
      <c r="AD863" s="266">
        <f t="shared" si="59"/>
        <v>0</v>
      </c>
      <c r="AE863" s="266">
        <v>17609.38</v>
      </c>
      <c r="AF863" s="350"/>
      <c r="AG863" s="349" t="s">
        <v>234</v>
      </c>
      <c r="AI863" s="9">
        <v>21875.004934210501</v>
      </c>
      <c r="AJ863" s="9">
        <v>0</v>
      </c>
    </row>
    <row r="864" spans="29:36" ht="15.75">
      <c r="AC864" s="9">
        <f t="shared" si="57"/>
        <v>690000</v>
      </c>
      <c r="AD864" s="9">
        <f t="shared" si="59"/>
        <v>115000</v>
      </c>
      <c r="AE864" s="9">
        <f>AE863</f>
        <v>17609.38</v>
      </c>
      <c r="AF864" s="9">
        <f>SUM(AD863:AE864)</f>
        <v>150218.76</v>
      </c>
      <c r="AG864" s="256" t="s">
        <v>235</v>
      </c>
      <c r="AI864" s="9">
        <v>21875.004934210501</v>
      </c>
      <c r="AJ864" s="9">
        <v>183750.00986842101</v>
      </c>
    </row>
    <row r="865" spans="27:36">
      <c r="AC865" s="266">
        <f t="shared" si="57"/>
        <v>575000</v>
      </c>
      <c r="AD865" s="266">
        <f t="shared" si="59"/>
        <v>0</v>
      </c>
      <c r="AE865" s="266">
        <v>14518.75</v>
      </c>
      <c r="AF865" s="350"/>
      <c r="AG865" s="349" t="s">
        <v>236</v>
      </c>
      <c r="AI865" s="9">
        <v>17500.004934210501</v>
      </c>
      <c r="AJ865" s="9">
        <v>0</v>
      </c>
    </row>
    <row r="866" spans="27:36" ht="15.75">
      <c r="AC866" s="9">
        <f t="shared" si="57"/>
        <v>575000</v>
      </c>
      <c r="AD866" s="9">
        <f t="shared" si="59"/>
        <v>115000</v>
      </c>
      <c r="AE866" s="9">
        <f>AE865</f>
        <v>14518.75</v>
      </c>
      <c r="AF866" s="9">
        <f>SUM(AD865:AE866)</f>
        <v>144037.5</v>
      </c>
      <c r="AG866" s="256" t="s">
        <v>237</v>
      </c>
      <c r="AI866" s="9">
        <v>17500.004934210501</v>
      </c>
      <c r="AJ866" s="9">
        <v>175000.00986842101</v>
      </c>
    </row>
    <row r="867" spans="27:36">
      <c r="AC867" s="266">
        <f t="shared" si="57"/>
        <v>460000</v>
      </c>
      <c r="AD867" s="266">
        <f t="shared" si="59"/>
        <v>0</v>
      </c>
      <c r="AE867" s="266">
        <v>11643.75</v>
      </c>
      <c r="AF867" s="350"/>
      <c r="AG867" s="349" t="s">
        <v>238</v>
      </c>
      <c r="AI867" s="9">
        <v>13125.004934210499</v>
      </c>
      <c r="AJ867" s="9">
        <v>0</v>
      </c>
    </row>
    <row r="868" spans="27:36" ht="15.75">
      <c r="AC868" s="9">
        <f t="shared" si="57"/>
        <v>460000</v>
      </c>
      <c r="AD868" s="9">
        <f t="shared" si="59"/>
        <v>115000</v>
      </c>
      <c r="AE868" s="9">
        <f>AE867</f>
        <v>11643.75</v>
      </c>
      <c r="AF868" s="9">
        <f>SUM(AD867:AE868)</f>
        <v>138287.5</v>
      </c>
      <c r="AG868" s="256" t="s">
        <v>239</v>
      </c>
      <c r="AI868" s="9">
        <v>13125.004934210499</v>
      </c>
      <c r="AJ868" s="9">
        <v>166250.00986842101</v>
      </c>
    </row>
    <row r="869" spans="27:36">
      <c r="AC869" s="266">
        <f t="shared" si="57"/>
        <v>345000</v>
      </c>
      <c r="AD869" s="266">
        <f t="shared" si="59"/>
        <v>0</v>
      </c>
      <c r="AE869" s="266">
        <v>8768.75</v>
      </c>
      <c r="AF869" s="350"/>
      <c r="AG869" s="349" t="s">
        <v>240</v>
      </c>
      <c r="AI869" s="9">
        <v>8750.0049342105303</v>
      </c>
      <c r="AJ869" s="9">
        <v>0</v>
      </c>
    </row>
    <row r="870" spans="27:36" ht="15.75">
      <c r="AC870" s="9">
        <f t="shared" si="57"/>
        <v>345000</v>
      </c>
      <c r="AD870" s="9">
        <f t="shared" si="59"/>
        <v>115000</v>
      </c>
      <c r="AE870" s="9">
        <f>AE869</f>
        <v>8768.75</v>
      </c>
      <c r="AF870" s="9">
        <f>SUM(AD869:AE870)</f>
        <v>132537.5</v>
      </c>
      <c r="AG870" s="256" t="s">
        <v>241</v>
      </c>
      <c r="AI870" s="9">
        <v>8750.0049342105303</v>
      </c>
      <c r="AJ870" s="9">
        <v>157500.00986842101</v>
      </c>
    </row>
    <row r="871" spans="27:36">
      <c r="AC871" s="266">
        <f t="shared" si="57"/>
        <v>230000</v>
      </c>
      <c r="AD871" s="266">
        <f t="shared" si="59"/>
        <v>0</v>
      </c>
      <c r="AE871" s="266">
        <v>5821.88</v>
      </c>
      <c r="AF871" s="350"/>
      <c r="AG871" s="349" t="s">
        <v>242</v>
      </c>
      <c r="AI871" s="9">
        <v>4375.0049342105303</v>
      </c>
      <c r="AJ871" s="9">
        <v>0</v>
      </c>
    </row>
    <row r="872" spans="27:36" ht="15.75">
      <c r="AC872" s="9">
        <f t="shared" si="57"/>
        <v>230000</v>
      </c>
      <c r="AD872" s="9">
        <f t="shared" si="59"/>
        <v>115000</v>
      </c>
      <c r="AE872" s="9">
        <f>AE871</f>
        <v>5821.88</v>
      </c>
      <c r="AF872" s="9">
        <f>SUM(AD871:AE872)</f>
        <v>126643.76000000001</v>
      </c>
      <c r="AG872" s="256" t="s">
        <v>243</v>
      </c>
      <c r="AI872" s="9">
        <v>4375.0049342105303</v>
      </c>
      <c r="AJ872" s="9">
        <v>148750.00986842101</v>
      </c>
    </row>
    <row r="873" spans="27:36">
      <c r="AC873" s="266">
        <f t="shared" si="57"/>
        <v>115000</v>
      </c>
      <c r="AD873" s="266">
        <f t="shared" si="59"/>
        <v>0</v>
      </c>
      <c r="AE873" s="266">
        <v>2946.88</v>
      </c>
      <c r="AF873" s="350"/>
      <c r="AG873" s="349" t="s">
        <v>244</v>
      </c>
      <c r="AI873" s="9">
        <v>4.1447368485387397E-3</v>
      </c>
      <c r="AJ873" s="9">
        <v>0</v>
      </c>
    </row>
    <row r="874" spans="27:36" ht="15.75">
      <c r="AC874" s="9">
        <f t="shared" si="57"/>
        <v>115000</v>
      </c>
      <c r="AD874" s="9">
        <f t="shared" si="59"/>
        <v>115000</v>
      </c>
      <c r="AE874" s="9">
        <f>AE873</f>
        <v>2946.88</v>
      </c>
      <c r="AF874" s="9">
        <f>SUM(AD873:AE874)</f>
        <v>120893.76000000001</v>
      </c>
      <c r="AG874" s="256" t="s">
        <v>245</v>
      </c>
      <c r="AI874" s="9">
        <v>4.1447368485387397E-3</v>
      </c>
      <c r="AJ874" s="9">
        <v>8.2894736970774794E-3</v>
      </c>
    </row>
    <row r="875" spans="27:36">
      <c r="AC875" s="266"/>
      <c r="AD875" s="266">
        <f>SUM(AD835:AD874)</f>
        <v>2671093</v>
      </c>
      <c r="AE875" s="266">
        <f>SUM(AE835:AE874)</f>
        <v>1300237.6399999987</v>
      </c>
      <c r="AF875" s="266">
        <f>SUM(AF835:AF874)</f>
        <v>3971330.6399999987</v>
      </c>
      <c r="AG875" s="266"/>
      <c r="AI875" s="9">
        <v>1642193.4968421101</v>
      </c>
      <c r="AJ875" s="9">
        <v>4313286.3389473697</v>
      </c>
    </row>
    <row r="876" spans="27:36">
      <c r="AI876" s="9">
        <v>0</v>
      </c>
      <c r="AJ876" s="9">
        <v>0</v>
      </c>
    </row>
    <row r="880" spans="27:36">
      <c r="AA880" s="9" t="s">
        <v>483</v>
      </c>
      <c r="AB880" s="11"/>
      <c r="AG880" s="344"/>
    </row>
    <row r="881" spans="27:36">
      <c r="AB881" s="11" t="s">
        <v>39</v>
      </c>
      <c r="AC881" s="9">
        <v>-550000</v>
      </c>
      <c r="AD881" s="342">
        <f>PMT(0.04,15,AC881)</f>
        <v>49467.605204035259</v>
      </c>
      <c r="AE881" s="342"/>
      <c r="AF881" s="342"/>
      <c r="AG881" s="344"/>
      <c r="AH881" s="342"/>
      <c r="AI881" s="342"/>
    </row>
    <row r="882" spans="27:36">
      <c r="AB882" s="11" t="s">
        <v>40</v>
      </c>
      <c r="AC882" s="335">
        <v>0.04</v>
      </c>
      <c r="AG882" s="344"/>
    </row>
    <row r="883" spans="27:36">
      <c r="AB883" s="11" t="s">
        <v>41</v>
      </c>
      <c r="AC883" s="9">
        <v>10</v>
      </c>
      <c r="AD883" s="335"/>
      <c r="AG883" s="344"/>
    </row>
    <row r="884" spans="27:36">
      <c r="AB884" s="11"/>
      <c r="AC884" s="342" t="s">
        <v>43</v>
      </c>
      <c r="AD884" s="342" t="s">
        <v>44</v>
      </c>
      <c r="AE884" s="341" t="s">
        <v>45</v>
      </c>
      <c r="AF884" s="341" t="s">
        <v>46</v>
      </c>
    </row>
    <row r="885" spans="27:36">
      <c r="AB885" s="11"/>
      <c r="AC885" s="9">
        <f>+AC881</f>
        <v>-550000</v>
      </c>
      <c r="AF885" s="335"/>
      <c r="AG885" s="9">
        <v>1</v>
      </c>
      <c r="AH885" s="345">
        <v>2013</v>
      </c>
    </row>
    <row r="886" spans="27:36">
      <c r="AB886" s="11"/>
      <c r="AF886" s="9">
        <f>SUM(AD885:AE886)</f>
        <v>0</v>
      </c>
      <c r="AG886" s="9">
        <v>1</v>
      </c>
      <c r="AH886" s="345">
        <f>+AH885</f>
        <v>2013</v>
      </c>
    </row>
    <row r="887" spans="27:36">
      <c r="AB887" s="11"/>
      <c r="AC887" s="266">
        <f>+AC885</f>
        <v>-550000</v>
      </c>
      <c r="AD887" s="266">
        <f>+AC887/15</f>
        <v>-36666.666666666664</v>
      </c>
      <c r="AE887" s="266">
        <f>+AC885*0.01</f>
        <v>-5500</v>
      </c>
      <c r="AF887" s="350"/>
      <c r="AG887" s="266">
        <f>+AG885+1</f>
        <v>2</v>
      </c>
      <c r="AH887" s="365">
        <f>+AH885+1</f>
        <v>2014</v>
      </c>
    </row>
    <row r="888" spans="27:36">
      <c r="AA888" s="9">
        <v>71500</v>
      </c>
      <c r="AB888" s="11"/>
      <c r="AC888" s="9">
        <f t="shared" ref="AC888:AC916" si="60">AC887-AD887</f>
        <v>-513333.33333333331</v>
      </c>
      <c r="AE888" s="9">
        <f>+AC888*0.04/2</f>
        <v>-10266.666666666666</v>
      </c>
      <c r="AF888" s="9">
        <f>SUM(AD887:AE888)</f>
        <v>-52433.333333333328</v>
      </c>
      <c r="AG888" s="9">
        <f>+AG887</f>
        <v>2</v>
      </c>
      <c r="AH888" s="345">
        <f>+AH887</f>
        <v>2014</v>
      </c>
      <c r="AI888" s="339"/>
      <c r="AJ888" s="9">
        <f>AI888*4000</f>
        <v>0</v>
      </c>
    </row>
    <row r="889" spans="27:36">
      <c r="AB889" s="11"/>
      <c r="AC889" s="266">
        <f t="shared" si="60"/>
        <v>-513333.33333333331</v>
      </c>
      <c r="AD889" s="266">
        <f>+AD887</f>
        <v>-36666.666666666664</v>
      </c>
      <c r="AE889" s="266">
        <f>+AE888</f>
        <v>-10266.666666666666</v>
      </c>
      <c r="AF889" s="350"/>
      <c r="AG889" s="266">
        <f>+AG887+1</f>
        <v>3</v>
      </c>
      <c r="AH889" s="365">
        <f>+AH887+1</f>
        <v>2015</v>
      </c>
    </row>
    <row r="890" spans="27:36">
      <c r="AA890" s="9">
        <v>77000</v>
      </c>
      <c r="AB890" s="11"/>
      <c r="AC890" s="9">
        <f t="shared" si="60"/>
        <v>-476666.66666666663</v>
      </c>
      <c r="AE890" s="9">
        <f>+AC890*0.04/2</f>
        <v>-9533.3333333333321</v>
      </c>
      <c r="AF890" s="9">
        <f>SUM(AD889:AE890)</f>
        <v>-56466.666666666657</v>
      </c>
      <c r="AG890" s="9">
        <f>+AG889</f>
        <v>3</v>
      </c>
      <c r="AH890" s="345">
        <f>+AH889</f>
        <v>2015</v>
      </c>
      <c r="AI890" s="9">
        <f>+AF890</f>
        <v>-56466.666666666657</v>
      </c>
    </row>
    <row r="891" spans="27:36">
      <c r="AB891" s="11"/>
      <c r="AC891" s="266">
        <f t="shared" si="60"/>
        <v>-476666.66666666663</v>
      </c>
      <c r="AD891" s="266">
        <f>+AD889</f>
        <v>-36666.666666666664</v>
      </c>
      <c r="AE891" s="266">
        <f>+AE890</f>
        <v>-9533.3333333333321</v>
      </c>
      <c r="AF891" s="350"/>
      <c r="AG891" s="266">
        <f>+AG889+1</f>
        <v>4</v>
      </c>
      <c r="AH891" s="365">
        <f>+AH889+1</f>
        <v>2016</v>
      </c>
    </row>
    <row r="892" spans="27:36">
      <c r="AA892" s="9">
        <v>75000</v>
      </c>
      <c r="AC892" s="9">
        <f t="shared" si="60"/>
        <v>-439999.99999999994</v>
      </c>
      <c r="AE892" s="9">
        <f>+AC892*0.04/2</f>
        <v>-8799.9999999999982</v>
      </c>
      <c r="AF892" s="9">
        <f>SUM(AD891:AE892)</f>
        <v>-55000</v>
      </c>
      <c r="AG892" s="9">
        <f>+AG891</f>
        <v>4</v>
      </c>
      <c r="AH892" s="345">
        <f>+AH891</f>
        <v>2016</v>
      </c>
      <c r="AI892" s="9">
        <f>+AF892</f>
        <v>-55000</v>
      </c>
      <c r="AJ892" s="9">
        <f>+AI890-AI892</f>
        <v>-1466.666666666657</v>
      </c>
    </row>
    <row r="893" spans="27:36">
      <c r="AC893" s="266">
        <f t="shared" si="60"/>
        <v>-439999.99999999994</v>
      </c>
      <c r="AD893" s="266">
        <f>+AD891</f>
        <v>-36666.666666666664</v>
      </c>
      <c r="AE893" s="266">
        <f>+AE892</f>
        <v>-8799.9999999999982</v>
      </c>
      <c r="AF893" s="350"/>
      <c r="AG893" s="266">
        <f>+AG891+1</f>
        <v>5</v>
      </c>
      <c r="AH893" s="365">
        <f>+AH891+1</f>
        <v>2017</v>
      </c>
      <c r="AI893" s="338"/>
    </row>
    <row r="894" spans="27:36">
      <c r="AA894" s="9">
        <v>73000</v>
      </c>
      <c r="AC894" s="9">
        <f t="shared" si="60"/>
        <v>-403333.33333333326</v>
      </c>
      <c r="AE894" s="9">
        <f>+AC894*0.04/2</f>
        <v>-8066.6666666666652</v>
      </c>
      <c r="AF894" s="9">
        <f>SUM(AD893:AE894)</f>
        <v>-53533.333333333328</v>
      </c>
      <c r="AG894" s="9">
        <f>+AG893</f>
        <v>5</v>
      </c>
      <c r="AH894" s="345">
        <f>+AH893</f>
        <v>2017</v>
      </c>
      <c r="AI894" s="9">
        <f>+AF894</f>
        <v>-53533.333333333328</v>
      </c>
      <c r="AJ894" s="9">
        <f>+AI892-AI894</f>
        <v>-1466.6666666666715</v>
      </c>
    </row>
    <row r="895" spans="27:36">
      <c r="AC895" s="266">
        <f t="shared" si="60"/>
        <v>-403333.33333333326</v>
      </c>
      <c r="AD895" s="266">
        <f>+AD893</f>
        <v>-36666.666666666664</v>
      </c>
      <c r="AE895" s="266">
        <f>+AE894</f>
        <v>-8066.6666666666652</v>
      </c>
      <c r="AF895" s="350"/>
      <c r="AG895" s="266">
        <f>+AG893+1</f>
        <v>6</v>
      </c>
      <c r="AH895" s="365">
        <f>+AH893+1</f>
        <v>2018</v>
      </c>
    </row>
    <row r="896" spans="27:36">
      <c r="AA896" s="9">
        <v>71000</v>
      </c>
      <c r="AC896" s="9">
        <f t="shared" si="60"/>
        <v>-366666.66666666657</v>
      </c>
      <c r="AE896" s="9">
        <f>+AC896*0.04/2</f>
        <v>-7333.3333333333312</v>
      </c>
      <c r="AF896" s="9">
        <f>SUM(AD895:AE896)</f>
        <v>-52066.666666666657</v>
      </c>
      <c r="AG896" s="9">
        <f>+AG895</f>
        <v>6</v>
      </c>
      <c r="AH896" s="345">
        <f>+AH895</f>
        <v>2018</v>
      </c>
      <c r="AI896" s="9">
        <f>+AF896</f>
        <v>-52066.666666666657</v>
      </c>
      <c r="AJ896" s="9">
        <f>+AI894-AI896</f>
        <v>-1466.6666666666715</v>
      </c>
    </row>
    <row r="897" spans="27:36">
      <c r="AC897" s="266">
        <f t="shared" si="60"/>
        <v>-366666.66666666657</v>
      </c>
      <c r="AD897" s="266">
        <f>+AD895</f>
        <v>-36666.666666666664</v>
      </c>
      <c r="AE897" s="266">
        <f>+AE896</f>
        <v>-7333.3333333333312</v>
      </c>
      <c r="AF897" s="350"/>
      <c r="AG897" s="266">
        <f>+AG895+1</f>
        <v>7</v>
      </c>
      <c r="AH897" s="365">
        <f>+AH895+1</f>
        <v>2019</v>
      </c>
      <c r="AI897" s="338"/>
    </row>
    <row r="898" spans="27:36">
      <c r="AA898" s="9">
        <v>69000</v>
      </c>
      <c r="AC898" s="9">
        <f t="shared" si="60"/>
        <v>-329999.99999999988</v>
      </c>
      <c r="AE898" s="9">
        <f>+AC898*0.04/2</f>
        <v>-6599.9999999999982</v>
      </c>
      <c r="AF898" s="9">
        <f>SUM(AD897:AE898)</f>
        <v>-50599.999999999993</v>
      </c>
      <c r="AG898" s="9">
        <f>+AG897</f>
        <v>7</v>
      </c>
      <c r="AH898" s="345">
        <f>+AH897</f>
        <v>2019</v>
      </c>
      <c r="AI898" s="9">
        <f>+AF898</f>
        <v>-50599.999999999993</v>
      </c>
      <c r="AJ898" s="9">
        <f>+AI896-AI898</f>
        <v>-1466.6666666666642</v>
      </c>
    </row>
    <row r="899" spans="27:36">
      <c r="AC899" s="266">
        <f t="shared" si="60"/>
        <v>-329999.99999999988</v>
      </c>
      <c r="AD899" s="266">
        <f>+AD897</f>
        <v>-36666.666666666664</v>
      </c>
      <c r="AE899" s="266">
        <f>+AE898</f>
        <v>-6599.9999999999982</v>
      </c>
      <c r="AF899" s="350"/>
      <c r="AG899" s="266">
        <f>+AG897+1</f>
        <v>8</v>
      </c>
      <c r="AH899" s="365">
        <f>+AH897+1</f>
        <v>2020</v>
      </c>
    </row>
    <row r="900" spans="27:36">
      <c r="AA900" s="9">
        <v>67000</v>
      </c>
      <c r="AC900" s="9">
        <f t="shared" si="60"/>
        <v>-293333.3333333332</v>
      </c>
      <c r="AE900" s="9">
        <f>+AC900*0.04/2</f>
        <v>-5866.6666666666642</v>
      </c>
      <c r="AF900" s="9">
        <f>SUM(AD899:AE900)</f>
        <v>-49133.333333333328</v>
      </c>
      <c r="AG900" s="9">
        <f>+AG899</f>
        <v>8</v>
      </c>
      <c r="AH900" s="345">
        <f>+AH899</f>
        <v>2020</v>
      </c>
      <c r="AI900" s="9">
        <f>+AF900</f>
        <v>-49133.333333333328</v>
      </c>
      <c r="AJ900" s="9">
        <f>+AI898-AI900</f>
        <v>-1466.6666666666642</v>
      </c>
    </row>
    <row r="901" spans="27:36">
      <c r="AC901" s="266">
        <f t="shared" si="60"/>
        <v>-293333.3333333332</v>
      </c>
      <c r="AD901" s="266">
        <f>+AD899</f>
        <v>-36666.666666666664</v>
      </c>
      <c r="AE901" s="266">
        <f>+AE900</f>
        <v>-5866.6666666666642</v>
      </c>
      <c r="AF901" s="350"/>
      <c r="AG901" s="266">
        <f>+AG899+1</f>
        <v>9</v>
      </c>
      <c r="AH901" s="365">
        <f>+AH899+1</f>
        <v>2021</v>
      </c>
      <c r="AI901" s="338"/>
    </row>
    <row r="902" spans="27:36">
      <c r="AA902" s="9">
        <v>65000</v>
      </c>
      <c r="AC902" s="9">
        <f t="shared" si="60"/>
        <v>-256666.66666666654</v>
      </c>
      <c r="AE902" s="9">
        <f>+AC902*0.04/2</f>
        <v>-5133.3333333333312</v>
      </c>
      <c r="AF902" s="9">
        <f>SUM(AD901:AE902)</f>
        <v>-47666.666666666657</v>
      </c>
      <c r="AG902" s="9">
        <f>+AG901</f>
        <v>9</v>
      </c>
      <c r="AH902" s="345">
        <f>+AH901</f>
        <v>2021</v>
      </c>
      <c r="AI902" s="9">
        <f>+AF902</f>
        <v>-47666.666666666657</v>
      </c>
      <c r="AJ902" s="9">
        <f>+AI900-AI902</f>
        <v>-1466.6666666666715</v>
      </c>
    </row>
    <row r="903" spans="27:36">
      <c r="AC903" s="266">
        <f t="shared" si="60"/>
        <v>-256666.66666666654</v>
      </c>
      <c r="AD903" s="266">
        <f>+AD901</f>
        <v>-36666.666666666664</v>
      </c>
      <c r="AE903" s="266">
        <f>+AE902</f>
        <v>-5133.3333333333312</v>
      </c>
      <c r="AF903" s="350"/>
      <c r="AG903" s="266">
        <f>+AG901+1</f>
        <v>10</v>
      </c>
      <c r="AH903" s="365">
        <f>+AH901+1</f>
        <v>2022</v>
      </c>
    </row>
    <row r="904" spans="27:36">
      <c r="AA904" s="9">
        <v>63000</v>
      </c>
      <c r="AC904" s="9">
        <f t="shared" si="60"/>
        <v>-219999.99999999988</v>
      </c>
      <c r="AE904" s="9">
        <f>+AC904*0.04/2</f>
        <v>-4399.9999999999982</v>
      </c>
      <c r="AF904" s="9">
        <f>SUM(AD903:AE904)</f>
        <v>-46199.999999999993</v>
      </c>
      <c r="AG904" s="9">
        <f>+AG903</f>
        <v>10</v>
      </c>
      <c r="AH904" s="345">
        <f>+AH903</f>
        <v>2022</v>
      </c>
      <c r="AI904" s="9">
        <f>+AF904</f>
        <v>-46199.999999999993</v>
      </c>
      <c r="AJ904" s="9">
        <f>+AI902-AI904</f>
        <v>-1466.6666666666642</v>
      </c>
    </row>
    <row r="905" spans="27:36">
      <c r="AC905" s="266">
        <f t="shared" si="60"/>
        <v>-219999.99999999988</v>
      </c>
      <c r="AD905" s="266">
        <f>+AD903</f>
        <v>-36666.666666666664</v>
      </c>
      <c r="AE905" s="266">
        <f>+AE904</f>
        <v>-4399.9999999999982</v>
      </c>
      <c r="AF905" s="350"/>
      <c r="AG905" s="266">
        <f>+AG903+1</f>
        <v>11</v>
      </c>
      <c r="AH905" s="365">
        <f>+AH903+1</f>
        <v>2023</v>
      </c>
      <c r="AI905" s="338"/>
    </row>
    <row r="906" spans="27:36">
      <c r="AA906" s="9">
        <v>61000</v>
      </c>
      <c r="AC906" s="9">
        <f t="shared" si="60"/>
        <v>-183333.33333333323</v>
      </c>
      <c r="AE906" s="9">
        <f>+AC906*0.04/2</f>
        <v>-3666.6666666666647</v>
      </c>
      <c r="AF906" s="9">
        <f>SUM(AD905:AE906)</f>
        <v>-44733.333333333328</v>
      </c>
      <c r="AG906" s="9">
        <f>+AG905</f>
        <v>11</v>
      </c>
      <c r="AH906" s="345">
        <f>+AH905</f>
        <v>2023</v>
      </c>
      <c r="AI906" s="9">
        <f>+AF906</f>
        <v>-44733.333333333328</v>
      </c>
      <c r="AJ906" s="9">
        <f>+AI904-AI906</f>
        <v>-1466.6666666666642</v>
      </c>
    </row>
    <row r="907" spans="27:36">
      <c r="AC907" s="266">
        <f t="shared" si="60"/>
        <v>-183333.33333333323</v>
      </c>
      <c r="AD907" s="266">
        <f>+AD905</f>
        <v>-36666.666666666664</v>
      </c>
      <c r="AE907" s="266">
        <f>+AE906</f>
        <v>-3666.6666666666647</v>
      </c>
      <c r="AF907" s="350"/>
      <c r="AG907" s="266">
        <f>+AG905+1</f>
        <v>12</v>
      </c>
      <c r="AH907" s="365">
        <f>+AH905+1</f>
        <v>2024</v>
      </c>
    </row>
    <row r="908" spans="27:36">
      <c r="AA908" s="9">
        <v>59000</v>
      </c>
      <c r="AC908" s="9">
        <f t="shared" si="60"/>
        <v>-146666.66666666657</v>
      </c>
      <c r="AE908" s="9">
        <f>+AC908*0.04/2</f>
        <v>-2933.3333333333317</v>
      </c>
      <c r="AF908" s="9">
        <f>SUM(AD907:AE908)</f>
        <v>-43266.666666666657</v>
      </c>
      <c r="AG908" s="9">
        <f>+AG907</f>
        <v>12</v>
      </c>
      <c r="AH908" s="345">
        <f>+AH907</f>
        <v>2024</v>
      </c>
    </row>
    <row r="909" spans="27:36">
      <c r="AC909" s="266">
        <f t="shared" si="60"/>
        <v>-146666.66666666657</v>
      </c>
      <c r="AD909" s="266">
        <f>+AD907</f>
        <v>-36666.666666666664</v>
      </c>
      <c r="AE909" s="266">
        <f>+AE908</f>
        <v>-2933.3333333333317</v>
      </c>
      <c r="AF909" s="350"/>
      <c r="AG909" s="266">
        <f>+AG907+1</f>
        <v>13</v>
      </c>
      <c r="AH909" s="365">
        <f>+AH907+1</f>
        <v>2025</v>
      </c>
    </row>
    <row r="910" spans="27:36">
      <c r="AA910" s="9">
        <v>57000</v>
      </c>
      <c r="AC910" s="9">
        <f t="shared" si="60"/>
        <v>-109999.99999999991</v>
      </c>
      <c r="AE910" s="9">
        <f>+AC910*0.04/2</f>
        <v>-2199.9999999999982</v>
      </c>
      <c r="AF910" s="9">
        <f>SUM(AD909:AE910)</f>
        <v>-41799.999999999993</v>
      </c>
      <c r="AG910" s="9">
        <f>+AG909</f>
        <v>13</v>
      </c>
      <c r="AH910" s="345">
        <f>+AH909</f>
        <v>2025</v>
      </c>
    </row>
    <row r="911" spans="27:36">
      <c r="AC911" s="266">
        <f t="shared" si="60"/>
        <v>-109999.99999999991</v>
      </c>
      <c r="AD911" s="266">
        <f>+AD909</f>
        <v>-36666.666666666664</v>
      </c>
      <c r="AE911" s="266">
        <f>+AE910</f>
        <v>-2199.9999999999982</v>
      </c>
      <c r="AF911" s="350"/>
      <c r="AG911" s="266">
        <f>+AG909+1</f>
        <v>14</v>
      </c>
      <c r="AH911" s="365">
        <f>+AH909+1</f>
        <v>2026</v>
      </c>
    </row>
    <row r="912" spans="27:36">
      <c r="AA912" s="9">
        <v>55000</v>
      </c>
      <c r="AC912" s="9">
        <f t="shared" si="60"/>
        <v>-73333.333333333256</v>
      </c>
      <c r="AE912" s="9">
        <f>+AC912*0.04/2</f>
        <v>-1466.6666666666652</v>
      </c>
      <c r="AF912" s="9">
        <f>SUM(AD911:AE912)</f>
        <v>-40333.333333333328</v>
      </c>
      <c r="AG912" s="9">
        <f>+AG911</f>
        <v>14</v>
      </c>
      <c r="AH912" s="345">
        <f>+AH911</f>
        <v>2026</v>
      </c>
    </row>
    <row r="913" spans="27:34">
      <c r="AC913" s="266">
        <f t="shared" si="60"/>
        <v>-73333.333333333256</v>
      </c>
      <c r="AD913" s="266">
        <f>+AD911</f>
        <v>-36666.666666666664</v>
      </c>
      <c r="AE913" s="266">
        <f>+AE912</f>
        <v>-1466.6666666666652</v>
      </c>
      <c r="AF913" s="350"/>
      <c r="AG913" s="266">
        <f>+AG911+1</f>
        <v>15</v>
      </c>
      <c r="AH913" s="365">
        <f>+AH911+1</f>
        <v>2027</v>
      </c>
    </row>
    <row r="914" spans="27:34">
      <c r="AA914" s="9">
        <v>53000</v>
      </c>
      <c r="AC914" s="9">
        <f t="shared" si="60"/>
        <v>-36666.666666666591</v>
      </c>
      <c r="AE914" s="9">
        <f>+AC914*0.04/2</f>
        <v>-733.33333333333189</v>
      </c>
      <c r="AF914" s="9">
        <f>SUM(AD913:AE914)</f>
        <v>-38866.666666666657</v>
      </c>
      <c r="AG914" s="9">
        <f>+AG913</f>
        <v>15</v>
      </c>
      <c r="AH914" s="345">
        <f>+AH913</f>
        <v>2027</v>
      </c>
    </row>
    <row r="915" spans="27:34">
      <c r="AC915" s="266">
        <f t="shared" si="60"/>
        <v>-36666.666666666591</v>
      </c>
      <c r="AD915" s="266">
        <f>+AD913</f>
        <v>-36666.666666666664</v>
      </c>
      <c r="AE915" s="266">
        <f>+AE914</f>
        <v>-733.33333333333189</v>
      </c>
      <c r="AF915" s="350"/>
      <c r="AG915" s="266">
        <f>+AG913+1</f>
        <v>16</v>
      </c>
      <c r="AH915" s="365">
        <f>+AH913+1</f>
        <v>2028</v>
      </c>
    </row>
    <row r="916" spans="27:34">
      <c r="AA916" s="9">
        <v>51000</v>
      </c>
      <c r="AC916" s="9">
        <f t="shared" si="60"/>
        <v>7.2759576141834259E-11</v>
      </c>
      <c r="AE916" s="9">
        <f>+AC916*0.04/2</f>
        <v>1.4551915228366853E-12</v>
      </c>
      <c r="AF916" s="9">
        <f>SUM(AD915:AE916)</f>
        <v>-37399.999999999993</v>
      </c>
      <c r="AG916" s="9">
        <f>+AG915</f>
        <v>16</v>
      </c>
      <c r="AH916" s="345">
        <f>+AH915</f>
        <v>2028</v>
      </c>
    </row>
    <row r="917" spans="27:34">
      <c r="AC917" s="266"/>
      <c r="AD917" s="266"/>
      <c r="AE917" s="266"/>
      <c r="AF917" s="350"/>
      <c r="AG917" s="266">
        <f>+AG915+1</f>
        <v>17</v>
      </c>
      <c r="AH917" s="365">
        <f>+AH915+1</f>
        <v>2029</v>
      </c>
    </row>
    <row r="918" spans="27:34">
      <c r="AG918" s="9">
        <f>+AG917</f>
        <v>17</v>
      </c>
      <c r="AH918" s="345">
        <f>+AH917</f>
        <v>2029</v>
      </c>
    </row>
    <row r="919" spans="27:34">
      <c r="AC919" s="266"/>
      <c r="AD919" s="266"/>
      <c r="AE919" s="266"/>
      <c r="AF919" s="350"/>
      <c r="AG919" s="266">
        <f>+AG917+1</f>
        <v>18</v>
      </c>
      <c r="AH919" s="365">
        <f>+AH917+1</f>
        <v>2030</v>
      </c>
    </row>
    <row r="920" spans="27:34">
      <c r="AG920" s="9">
        <f>+AG919</f>
        <v>18</v>
      </c>
      <c r="AH920" s="345">
        <f>+AH919</f>
        <v>2030</v>
      </c>
    </row>
    <row r="921" spans="27:34">
      <c r="AC921" s="266"/>
      <c r="AD921" s="266"/>
      <c r="AE921" s="266"/>
      <c r="AF921" s="350"/>
      <c r="AG921" s="266">
        <f>+AG919+1</f>
        <v>19</v>
      </c>
      <c r="AH921" s="365">
        <f>+AH919+1</f>
        <v>2031</v>
      </c>
    </row>
    <row r="922" spans="27:34">
      <c r="AG922" s="9">
        <f>+AG921</f>
        <v>19</v>
      </c>
      <c r="AH922" s="345">
        <f>+AH921</f>
        <v>2031</v>
      </c>
    </row>
    <row r="923" spans="27:34">
      <c r="AC923" s="266"/>
      <c r="AD923" s="266"/>
      <c r="AE923" s="266"/>
      <c r="AF923" s="350"/>
      <c r="AG923" s="266">
        <f>+AG921+1</f>
        <v>20</v>
      </c>
      <c r="AH923" s="365">
        <f>+AH921+1</f>
        <v>2032</v>
      </c>
    </row>
    <row r="924" spans="27:34">
      <c r="AG924" s="9">
        <f>+AG923</f>
        <v>20</v>
      </c>
      <c r="AH924" s="345">
        <f>+AH923</f>
        <v>2032</v>
      </c>
    </row>
    <row r="925" spans="27:34">
      <c r="AC925" s="266"/>
      <c r="AD925" s="266"/>
      <c r="AE925" s="266"/>
      <c r="AF925" s="350"/>
      <c r="AG925" s="266">
        <f>+AG923+1</f>
        <v>21</v>
      </c>
      <c r="AH925" s="365">
        <f>+AH923+1</f>
        <v>2033</v>
      </c>
    </row>
    <row r="926" spans="27:34">
      <c r="AG926" s="9">
        <f>+AG925</f>
        <v>21</v>
      </c>
      <c r="AH926" s="345">
        <f>+AH925</f>
        <v>2033</v>
      </c>
    </row>
    <row r="927" spans="27:34">
      <c r="AC927" s="266"/>
      <c r="AD927" s="266"/>
      <c r="AE927" s="266"/>
      <c r="AF927" s="350"/>
      <c r="AG927" s="266">
        <f>+AG925+1</f>
        <v>22</v>
      </c>
      <c r="AH927" s="365">
        <f>+AH925+1</f>
        <v>2034</v>
      </c>
    </row>
    <row r="928" spans="27:34">
      <c r="AG928" s="9">
        <f>+AG927</f>
        <v>22</v>
      </c>
      <c r="AH928" s="345">
        <f>+AH927</f>
        <v>2034</v>
      </c>
    </row>
    <row r="929" spans="26:37">
      <c r="AC929" s="266"/>
      <c r="AD929" s="266">
        <f>SUM(AD885:AD928)</f>
        <v>-550000.00000000012</v>
      </c>
      <c r="AE929" s="266">
        <f>SUM(AE885:AE928)</f>
        <v>-159499.99999999997</v>
      </c>
      <c r="AF929" s="266">
        <f>SUM(AF885:AF928)</f>
        <v>-709500</v>
      </c>
      <c r="AG929" s="266"/>
    </row>
    <row r="930" spans="26:37">
      <c r="AF930" s="9">
        <f>AF929-AE929-AD929</f>
        <v>0</v>
      </c>
    </row>
    <row r="932" spans="26:37">
      <c r="AA932" s="9" t="s">
        <v>484</v>
      </c>
      <c r="AB932" s="11"/>
    </row>
    <row r="933" spans="26:37" ht="15.75">
      <c r="Z933" s="10"/>
      <c r="AB933" s="11" t="s">
        <v>39</v>
      </c>
      <c r="AC933" s="9">
        <v>632000</v>
      </c>
      <c r="AD933" s="342"/>
      <c r="AE933" s="342"/>
      <c r="AF933" s="342"/>
      <c r="AG933" s="344"/>
    </row>
    <row r="934" spans="26:37">
      <c r="AB934" s="11" t="s">
        <v>40</v>
      </c>
      <c r="AC934" s="335">
        <f>$AD$131</f>
        <v>5</v>
      </c>
      <c r="AG934" s="344"/>
    </row>
    <row r="935" spans="26:37">
      <c r="AB935" s="11" t="s">
        <v>41</v>
      </c>
      <c r="AC935" s="9">
        <v>20</v>
      </c>
      <c r="AD935" s="335"/>
      <c r="AG935" s="344"/>
    </row>
    <row r="936" spans="26:37">
      <c r="AB936" s="11"/>
      <c r="AC936" s="342" t="s">
        <v>43</v>
      </c>
      <c r="AD936" s="342" t="s">
        <v>44</v>
      </c>
      <c r="AE936" s="341" t="s">
        <v>45</v>
      </c>
      <c r="AF936" s="341" t="s">
        <v>46</v>
      </c>
    </row>
    <row r="937" spans="26:37">
      <c r="AB937" s="11" t="s">
        <v>485</v>
      </c>
      <c r="AC937" s="9">
        <v>632000</v>
      </c>
      <c r="AF937" s="335"/>
      <c r="AG937" s="338" t="s">
        <v>418</v>
      </c>
      <c r="AJ937" s="335"/>
      <c r="AK937" s="259"/>
    </row>
    <row r="938" spans="26:37" ht="15.75">
      <c r="AB938" s="11" t="s">
        <v>486</v>
      </c>
      <c r="AC938" s="9">
        <v>632000</v>
      </c>
      <c r="AE938" s="9">
        <f>AC937*0.046*(277/365)</f>
        <v>22062.860273972601</v>
      </c>
      <c r="AF938" s="9">
        <f>SUM(AD937:AE938)</f>
        <v>22062.860273972601</v>
      </c>
      <c r="AG938" s="256" t="s">
        <v>397</v>
      </c>
      <c r="AI938" s="9">
        <v>22062.860273972601</v>
      </c>
      <c r="AJ938" s="9">
        <v>24062.860273972601</v>
      </c>
    </row>
    <row r="939" spans="26:37">
      <c r="AC939" s="266">
        <f t="shared" ref="AC939:AC958" si="61">AC938-AD938</f>
        <v>632000</v>
      </c>
      <c r="AD939" s="266"/>
      <c r="AE939" s="266">
        <v>13790</v>
      </c>
      <c r="AF939" s="350"/>
      <c r="AG939" s="349" t="s">
        <v>421</v>
      </c>
      <c r="AI939" s="266">
        <v>19687.5</v>
      </c>
      <c r="AJ939" s="350"/>
    </row>
    <row r="940" spans="26:37" ht="15.75">
      <c r="AC940" s="9">
        <f t="shared" si="61"/>
        <v>632000</v>
      </c>
      <c r="AD940" s="9">
        <v>67000</v>
      </c>
      <c r="AE940" s="9">
        <f>AE939</f>
        <v>13790</v>
      </c>
      <c r="AF940" s="9">
        <f>SUM(AD939:AE940)</f>
        <v>94580</v>
      </c>
      <c r="AG940" s="256" t="s">
        <v>422</v>
      </c>
      <c r="AI940" s="9">
        <v>19687.5</v>
      </c>
      <c r="AJ940" s="9">
        <v>70875</v>
      </c>
    </row>
    <row r="941" spans="26:37">
      <c r="AB941" s="11"/>
      <c r="AC941" s="266">
        <f t="shared" si="61"/>
        <v>565000</v>
      </c>
      <c r="AD941" s="266"/>
      <c r="AE941" s="266">
        <v>12450</v>
      </c>
      <c r="AF941" s="350"/>
      <c r="AG941" s="349" t="s">
        <v>423</v>
      </c>
      <c r="AI941" s="266">
        <v>18703.125</v>
      </c>
      <c r="AJ941" s="350"/>
    </row>
    <row r="942" spans="26:37" ht="15.75">
      <c r="AB942" s="11"/>
      <c r="AC942" s="9">
        <f t="shared" si="61"/>
        <v>565000</v>
      </c>
      <c r="AD942" s="9">
        <v>65000</v>
      </c>
      <c r="AE942" s="9">
        <f>AE941</f>
        <v>12450</v>
      </c>
      <c r="AF942" s="9">
        <f>SUM(AD941:AE942)</f>
        <v>89900</v>
      </c>
      <c r="AG942" s="256" t="s">
        <v>424</v>
      </c>
      <c r="AI942" s="9">
        <v>18703.125</v>
      </c>
      <c r="AJ942" s="9">
        <v>68906.25</v>
      </c>
    </row>
    <row r="943" spans="26:37">
      <c r="AA943" s="11" t="s">
        <v>487</v>
      </c>
      <c r="AB943" s="11"/>
      <c r="AC943" s="266">
        <f t="shared" si="61"/>
        <v>500000</v>
      </c>
      <c r="AD943" s="266"/>
      <c r="AE943" s="266">
        <v>11150</v>
      </c>
      <c r="AF943" s="350"/>
      <c r="AG943" s="349" t="s">
        <v>425</v>
      </c>
      <c r="AI943" s="266">
        <v>17718.75</v>
      </c>
      <c r="AJ943" s="350"/>
    </row>
    <row r="944" spans="26:37" ht="15.75">
      <c r="AA944" s="11" t="s">
        <v>488</v>
      </c>
      <c r="AB944" s="9">
        <v>128996</v>
      </c>
      <c r="AC944" s="9">
        <f t="shared" si="61"/>
        <v>500000</v>
      </c>
      <c r="AD944" s="9">
        <f>AD942</f>
        <v>65000</v>
      </c>
      <c r="AE944" s="9">
        <f>AE943</f>
        <v>11150</v>
      </c>
      <c r="AF944" s="9">
        <f>SUM(AD943:AE944)</f>
        <v>87300</v>
      </c>
      <c r="AG944" s="256" t="s">
        <v>426</v>
      </c>
      <c r="AI944" s="9">
        <v>17718.75</v>
      </c>
      <c r="AJ944" s="9">
        <v>66937.5</v>
      </c>
    </row>
    <row r="945" spans="27:36">
      <c r="AA945" s="11" t="s">
        <v>489</v>
      </c>
      <c r="AB945" s="11">
        <v>59061.05</v>
      </c>
      <c r="AC945" s="266">
        <f t="shared" si="61"/>
        <v>435000</v>
      </c>
      <c r="AD945" s="266"/>
      <c r="AE945" s="266">
        <v>9850</v>
      </c>
      <c r="AF945" s="350"/>
      <c r="AG945" s="349" t="s">
        <v>427</v>
      </c>
      <c r="AI945" s="266">
        <v>16734.375</v>
      </c>
      <c r="AJ945" s="350"/>
    </row>
    <row r="946" spans="27:36" ht="15.75">
      <c r="AA946" s="11" t="s">
        <v>490</v>
      </c>
      <c r="AB946" s="9">
        <v>-22063</v>
      </c>
      <c r="AC946" s="9">
        <f t="shared" si="61"/>
        <v>435000</v>
      </c>
      <c r="AD946" s="9">
        <f>AD944</f>
        <v>65000</v>
      </c>
      <c r="AE946" s="9">
        <f>AE945</f>
        <v>9850</v>
      </c>
      <c r="AF946" s="9">
        <f>SUM(AD945:AE946)</f>
        <v>84700</v>
      </c>
      <c r="AG946" s="256" t="s">
        <v>428</v>
      </c>
      <c r="AI946" s="9">
        <v>16734.375</v>
      </c>
      <c r="AJ946" s="9">
        <v>64968.75</v>
      </c>
    </row>
    <row r="947" spans="27:36">
      <c r="AA947" s="11" t="s">
        <v>491</v>
      </c>
      <c r="AB947" s="11">
        <v>-97020</v>
      </c>
      <c r="AC947" s="266">
        <f t="shared" si="61"/>
        <v>370000</v>
      </c>
      <c r="AD947" s="266"/>
      <c r="AE947" s="266">
        <v>8712.5</v>
      </c>
      <c r="AF947" s="350"/>
      <c r="AG947" s="349" t="s">
        <v>429</v>
      </c>
      <c r="AI947" s="266">
        <v>15750</v>
      </c>
      <c r="AJ947" s="350"/>
    </row>
    <row r="948" spans="27:36" ht="15.75">
      <c r="AA948" s="11" t="s">
        <v>492</v>
      </c>
      <c r="AB948" s="9">
        <f>SUM(AB944:AB947)</f>
        <v>68974.049999999988</v>
      </c>
      <c r="AC948" s="9">
        <f t="shared" si="61"/>
        <v>370000</v>
      </c>
      <c r="AD948" s="9">
        <f>AD946</f>
        <v>65000</v>
      </c>
      <c r="AE948" s="9">
        <f>AE947</f>
        <v>8712.5</v>
      </c>
      <c r="AF948" s="9">
        <f>SUM(AD947:AE948)</f>
        <v>82425</v>
      </c>
      <c r="AG948" s="256" t="s">
        <v>430</v>
      </c>
      <c r="AI948" s="9">
        <v>15750</v>
      </c>
      <c r="AJ948" s="9">
        <v>63000</v>
      </c>
    </row>
    <row r="949" spans="27:36">
      <c r="AC949" s="266">
        <f t="shared" si="61"/>
        <v>305000</v>
      </c>
      <c r="AD949" s="266"/>
      <c r="AE949" s="266">
        <v>7250</v>
      </c>
      <c r="AF949" s="350"/>
      <c r="AG949" s="349" t="s">
        <v>431</v>
      </c>
      <c r="AI949" s="266">
        <v>14765.625</v>
      </c>
      <c r="AJ949" s="350"/>
    </row>
    <row r="950" spans="27:36" ht="15.75">
      <c r="AC950" s="9">
        <f t="shared" si="61"/>
        <v>305000</v>
      </c>
      <c r="AD950" s="9">
        <f>AD948</f>
        <v>65000</v>
      </c>
      <c r="AE950" s="9">
        <f>AE949</f>
        <v>7250</v>
      </c>
      <c r="AF950" s="9">
        <f>SUM(AD949:AE950)</f>
        <v>79500</v>
      </c>
      <c r="AG950" s="256" t="s">
        <v>432</v>
      </c>
      <c r="AI950" s="9">
        <v>14765.625</v>
      </c>
      <c r="AJ950" s="9">
        <v>61031.25</v>
      </c>
    </row>
    <row r="951" spans="27:36">
      <c r="AC951" s="266">
        <f t="shared" si="61"/>
        <v>240000</v>
      </c>
      <c r="AD951" s="266"/>
      <c r="AE951" s="266">
        <v>5625</v>
      </c>
      <c r="AF951" s="350"/>
      <c r="AG951" s="349" t="s">
        <v>433</v>
      </c>
      <c r="AI951" s="266">
        <v>13781.25</v>
      </c>
      <c r="AJ951" s="350"/>
    </row>
    <row r="952" spans="27:36" ht="15.75">
      <c r="AC952" s="9">
        <f t="shared" si="61"/>
        <v>240000</v>
      </c>
      <c r="AD952" s="9">
        <v>60000</v>
      </c>
      <c r="AE952" s="9">
        <f>AE951</f>
        <v>5625</v>
      </c>
      <c r="AF952" s="9">
        <f>SUM(AD951:AE952)</f>
        <v>71250</v>
      </c>
      <c r="AG952" s="256" t="s">
        <v>434</v>
      </c>
      <c r="AI952" s="9">
        <v>13781.25</v>
      </c>
      <c r="AJ952" s="9">
        <v>59062.5</v>
      </c>
    </row>
    <row r="953" spans="27:36">
      <c r="AC953" s="266">
        <f t="shared" si="61"/>
        <v>180000</v>
      </c>
      <c r="AD953" s="266"/>
      <c r="AE953" s="266">
        <v>4125</v>
      </c>
      <c r="AF953" s="350"/>
      <c r="AG953" s="349" t="s">
        <v>435</v>
      </c>
      <c r="AI953" s="266">
        <v>12796.875</v>
      </c>
      <c r="AJ953" s="350"/>
    </row>
    <row r="954" spans="27:36" ht="15.75">
      <c r="AC954" s="9">
        <f t="shared" si="61"/>
        <v>180000</v>
      </c>
      <c r="AD954" s="9">
        <f>AD952</f>
        <v>60000</v>
      </c>
      <c r="AE954" s="9">
        <f>AE953</f>
        <v>4125</v>
      </c>
      <c r="AF954" s="9">
        <f>SUM(AD953:AE954)</f>
        <v>68250</v>
      </c>
      <c r="AG954" s="256" t="s">
        <v>436</v>
      </c>
      <c r="AI954" s="9">
        <v>12796.875</v>
      </c>
      <c r="AJ954" s="9">
        <v>57093.75</v>
      </c>
    </row>
    <row r="955" spans="27:36">
      <c r="AC955" s="266">
        <f t="shared" si="61"/>
        <v>120000</v>
      </c>
      <c r="AD955" s="266"/>
      <c r="AE955" s="266">
        <v>2625</v>
      </c>
      <c r="AF955" s="350"/>
      <c r="AG955" s="349" t="s">
        <v>438</v>
      </c>
      <c r="AI955" s="266">
        <v>11812.5</v>
      </c>
      <c r="AJ955" s="350"/>
    </row>
    <row r="956" spans="27:36" ht="15.75">
      <c r="AC956" s="9">
        <f t="shared" si="61"/>
        <v>120000</v>
      </c>
      <c r="AD956" s="9">
        <f>AD954</f>
        <v>60000</v>
      </c>
      <c r="AE956" s="9">
        <f>AE955</f>
        <v>2625</v>
      </c>
      <c r="AF956" s="9">
        <f>SUM(AD955:AE956)</f>
        <v>65250</v>
      </c>
      <c r="AG956" s="256" t="s">
        <v>439</v>
      </c>
      <c r="AI956" s="9">
        <v>11812.5</v>
      </c>
      <c r="AJ956" s="9">
        <v>55125</v>
      </c>
    </row>
    <row r="957" spans="27:36">
      <c r="AC957" s="266">
        <f t="shared" si="61"/>
        <v>60000</v>
      </c>
      <c r="AD957" s="266"/>
      <c r="AE957" s="266">
        <v>1312.5</v>
      </c>
      <c r="AF957" s="350"/>
      <c r="AG957" s="349" t="s">
        <v>224</v>
      </c>
    </row>
    <row r="958" spans="27:36" ht="15.75">
      <c r="AC958" s="9">
        <f t="shared" si="61"/>
        <v>60000</v>
      </c>
      <c r="AD958" s="9">
        <v>60000</v>
      </c>
      <c r="AE958" s="9">
        <f>AE957</f>
        <v>1312.5</v>
      </c>
      <c r="AF958" s="9">
        <f>SUM(AD957:AE958)</f>
        <v>62625</v>
      </c>
      <c r="AG958" s="256" t="s">
        <v>225</v>
      </c>
    </row>
    <row r="959" spans="27:36">
      <c r="AC959" s="266"/>
      <c r="AD959" s="266">
        <f>SUM(AD938:AD958)</f>
        <v>632000</v>
      </c>
      <c r="AE959" s="266">
        <f>SUM(AE938:AE956)</f>
        <v>173217.86027397262</v>
      </c>
      <c r="AF959" s="266">
        <f>SUM(AF938:AF956)</f>
        <v>745217.86027397262</v>
      </c>
      <c r="AG959" s="266"/>
    </row>
    <row r="963" spans="28:33">
      <c r="AB963" s="11"/>
      <c r="AC963" s="9" t="s">
        <v>478</v>
      </c>
      <c r="AG963" s="344"/>
    </row>
    <row r="964" spans="28:33">
      <c r="AB964" s="11" t="s">
        <v>39</v>
      </c>
      <c r="AC964" s="9">
        <f>127968-29500</f>
        <v>98468</v>
      </c>
      <c r="AD964" s="342"/>
      <c r="AE964" s="342"/>
      <c r="AF964" s="342"/>
      <c r="AG964" s="344"/>
    </row>
    <row r="965" spans="28:33">
      <c r="AB965" s="11" t="s">
        <v>40</v>
      </c>
      <c r="AC965" s="335">
        <f>$AD$131</f>
        <v>5</v>
      </c>
      <c r="AG965" s="344"/>
    </row>
    <row r="966" spans="28:33">
      <c r="AB966" s="11" t="s">
        <v>41</v>
      </c>
      <c r="AC966" s="9">
        <v>10</v>
      </c>
      <c r="AD966" s="335"/>
      <c r="AG966" s="344"/>
    </row>
    <row r="967" spans="28:33">
      <c r="AB967" s="11"/>
      <c r="AC967" s="342" t="s">
        <v>43</v>
      </c>
      <c r="AD967" s="342" t="s">
        <v>44</v>
      </c>
      <c r="AE967" s="341" t="s">
        <v>45</v>
      </c>
      <c r="AF967" s="341" t="s">
        <v>46</v>
      </c>
    </row>
    <row r="968" spans="28:33">
      <c r="AB968" s="11" t="s">
        <v>493</v>
      </c>
      <c r="AC968" s="9">
        <f>AC964</f>
        <v>98468</v>
      </c>
      <c r="AF968" s="335"/>
      <c r="AG968" s="338" t="s">
        <v>494</v>
      </c>
    </row>
    <row r="969" spans="28:33" ht="15.75">
      <c r="AB969" s="11"/>
      <c r="AC969" s="9">
        <v>98468</v>
      </c>
      <c r="AF969" s="9">
        <f>SUM(AD968:AE969)</f>
        <v>0</v>
      </c>
      <c r="AG969" s="256" t="s">
        <v>495</v>
      </c>
    </row>
    <row r="970" spans="28:33">
      <c r="AB970" s="11" t="s">
        <v>496</v>
      </c>
      <c r="AC970" s="266">
        <f t="shared" ref="AC970:AC989" si="62">AC969-AD969</f>
        <v>98468</v>
      </c>
      <c r="AD970" s="266"/>
      <c r="AE970" s="266">
        <v>2147.4899999999998</v>
      </c>
      <c r="AF970" s="350"/>
      <c r="AG970" s="349" t="s">
        <v>421</v>
      </c>
    </row>
    <row r="971" spans="28:33" ht="15.75">
      <c r="AB971" s="11" t="s">
        <v>497</v>
      </c>
      <c r="AC971" s="9">
        <f t="shared" si="62"/>
        <v>98468</v>
      </c>
      <c r="AD971" s="9">
        <v>13468</v>
      </c>
      <c r="AE971" s="9">
        <v>2147.4899999999998</v>
      </c>
      <c r="AF971" s="9">
        <f>SUM(AD970:AE971)</f>
        <v>17762.98</v>
      </c>
      <c r="AG971" s="256" t="s">
        <v>422</v>
      </c>
    </row>
    <row r="972" spans="28:33">
      <c r="AB972" s="11"/>
      <c r="AC972" s="266">
        <f t="shared" si="62"/>
        <v>85000</v>
      </c>
      <c r="AD972" s="266"/>
      <c r="AE972" s="266">
        <v>1878.13</v>
      </c>
      <c r="AF972" s="350"/>
      <c r="AG972" s="349" t="s">
        <v>423</v>
      </c>
    </row>
    <row r="973" spans="28:33" ht="15.75">
      <c r="AC973" s="9">
        <f t="shared" si="62"/>
        <v>85000</v>
      </c>
      <c r="AD973" s="9">
        <v>10000</v>
      </c>
      <c r="AE973" s="9">
        <f>AE972</f>
        <v>1878.13</v>
      </c>
      <c r="AF973" s="9">
        <f>SUM(AD972:AE973)</f>
        <v>13756.260000000002</v>
      </c>
      <c r="AG973" s="256" t="s">
        <v>424</v>
      </c>
    </row>
    <row r="974" spans="28:33">
      <c r="AB974" s="11"/>
      <c r="AC974" s="266">
        <f t="shared" si="62"/>
        <v>75000</v>
      </c>
      <c r="AD974" s="266"/>
      <c r="AE974" s="266">
        <v>1678.13</v>
      </c>
      <c r="AF974" s="350"/>
      <c r="AG974" s="349" t="s">
        <v>425</v>
      </c>
    </row>
    <row r="975" spans="28:33" ht="15.75">
      <c r="AB975" s="11"/>
      <c r="AC975" s="9">
        <f t="shared" si="62"/>
        <v>75000</v>
      </c>
      <c r="AD975" s="9">
        <f>AD973</f>
        <v>10000</v>
      </c>
      <c r="AE975" s="9">
        <f>AE974</f>
        <v>1678.13</v>
      </c>
      <c r="AF975" s="9">
        <f>SUM(AD974:AE975)-AH975</f>
        <v>13356.260000000002</v>
      </c>
      <c r="AG975" s="256" t="s">
        <v>426</v>
      </c>
    </row>
    <row r="976" spans="28:33">
      <c r="AC976" s="266">
        <f t="shared" si="62"/>
        <v>65000</v>
      </c>
      <c r="AD976" s="266"/>
      <c r="AE976" s="266">
        <v>1478.13</v>
      </c>
      <c r="AF976" s="350"/>
      <c r="AG976" s="349" t="s">
        <v>427</v>
      </c>
    </row>
    <row r="977" spans="29:33" ht="15.75">
      <c r="AC977" s="9">
        <f t="shared" si="62"/>
        <v>65000</v>
      </c>
      <c r="AD977" s="9">
        <f>AD975</f>
        <v>10000</v>
      </c>
      <c r="AE977" s="9">
        <f>AE976</f>
        <v>1478.13</v>
      </c>
      <c r="AF977" s="9">
        <f>SUM(AD976:AE977)-AH977</f>
        <v>12956.260000000002</v>
      </c>
      <c r="AG977" s="256" t="s">
        <v>428</v>
      </c>
    </row>
    <row r="978" spans="29:33">
      <c r="AC978" s="266">
        <f t="shared" si="62"/>
        <v>55000</v>
      </c>
      <c r="AD978" s="266"/>
      <c r="AE978" s="266">
        <v>1303.1300000000001</v>
      </c>
      <c r="AF978" s="350"/>
      <c r="AG978" s="349" t="s">
        <v>429</v>
      </c>
    </row>
    <row r="979" spans="29:33" ht="15.75">
      <c r="AC979" s="9">
        <f t="shared" si="62"/>
        <v>55000</v>
      </c>
      <c r="AD979" s="9">
        <f>AD977</f>
        <v>10000</v>
      </c>
      <c r="AE979" s="9">
        <f>AE978</f>
        <v>1303.1300000000001</v>
      </c>
      <c r="AF979" s="9">
        <f>SUM(AD978:AE979)-AH979</f>
        <v>12606.260000000002</v>
      </c>
      <c r="AG979" s="256" t="s">
        <v>430</v>
      </c>
    </row>
    <row r="980" spans="29:33">
      <c r="AC980" s="266">
        <f t="shared" si="62"/>
        <v>45000</v>
      </c>
      <c r="AD980" s="266"/>
      <c r="AE980" s="266">
        <v>1078.1300000000001</v>
      </c>
      <c r="AF980" s="350"/>
      <c r="AG980" s="349" t="s">
        <v>431</v>
      </c>
    </row>
    <row r="981" spans="29:33" ht="15.75">
      <c r="AC981" s="9">
        <f t="shared" si="62"/>
        <v>45000</v>
      </c>
      <c r="AD981" s="9">
        <f>AD979</f>
        <v>10000</v>
      </c>
      <c r="AE981" s="9">
        <f>AE980</f>
        <v>1078.1300000000001</v>
      </c>
      <c r="AF981" s="9">
        <f>SUM(AD980:AE981)-AH981</f>
        <v>12156.260000000002</v>
      </c>
      <c r="AG981" s="256" t="s">
        <v>432</v>
      </c>
    </row>
    <row r="982" spans="29:33">
      <c r="AC982" s="266">
        <f t="shared" si="62"/>
        <v>35000</v>
      </c>
      <c r="AD982" s="266"/>
      <c r="AE982" s="266">
        <v>828.13</v>
      </c>
      <c r="AF982" s="350"/>
      <c r="AG982" s="349" t="s">
        <v>433</v>
      </c>
    </row>
    <row r="983" spans="29:33" ht="15.75">
      <c r="AC983" s="9">
        <f t="shared" si="62"/>
        <v>35000</v>
      </c>
      <c r="AD983" s="9">
        <f>AD981</f>
        <v>10000</v>
      </c>
      <c r="AE983" s="9">
        <f>AE982</f>
        <v>828.13</v>
      </c>
      <c r="AF983" s="9">
        <f>SUM(AD982:AE983)-AH983</f>
        <v>11656.259999999998</v>
      </c>
      <c r="AG983" s="256" t="s">
        <v>434</v>
      </c>
    </row>
    <row r="984" spans="29:33">
      <c r="AC984" s="266">
        <f t="shared" si="62"/>
        <v>25000</v>
      </c>
      <c r="AD984" s="266"/>
      <c r="AE984" s="266">
        <v>578.13</v>
      </c>
      <c r="AF984" s="350"/>
      <c r="AG984" s="349" t="s">
        <v>435</v>
      </c>
    </row>
    <row r="985" spans="29:33" ht="15.75">
      <c r="AC985" s="9">
        <f t="shared" si="62"/>
        <v>25000</v>
      </c>
      <c r="AD985" s="9">
        <f>AD983</f>
        <v>10000</v>
      </c>
      <c r="AE985" s="9">
        <f>AE984</f>
        <v>578.13</v>
      </c>
      <c r="AF985" s="9">
        <f>SUM(AD984:AE985)-AH985</f>
        <v>11156.259999999998</v>
      </c>
      <c r="AG985" s="256" t="s">
        <v>436</v>
      </c>
    </row>
    <row r="986" spans="29:33">
      <c r="AC986" s="266">
        <f t="shared" si="62"/>
        <v>15000</v>
      </c>
      <c r="AD986" s="266"/>
      <c r="AE986" s="266">
        <v>328.13</v>
      </c>
      <c r="AF986" s="350"/>
      <c r="AG986" s="349" t="s">
        <v>438</v>
      </c>
    </row>
    <row r="987" spans="29:33" ht="15.75">
      <c r="AC987" s="9">
        <f t="shared" si="62"/>
        <v>15000</v>
      </c>
      <c r="AD987" s="9">
        <f>AD985</f>
        <v>10000</v>
      </c>
      <c r="AE987" s="9">
        <f>AE986</f>
        <v>328.13</v>
      </c>
      <c r="AF987" s="9">
        <f>SUM(AD986:AE987)-AH987</f>
        <v>10656.259999999998</v>
      </c>
      <c r="AG987" s="256" t="s">
        <v>439</v>
      </c>
    </row>
    <row r="988" spans="29:33">
      <c r="AC988" s="266">
        <f t="shared" si="62"/>
        <v>5000</v>
      </c>
      <c r="AD988" s="266"/>
      <c r="AE988" s="266">
        <v>109.38</v>
      </c>
      <c r="AF988" s="350"/>
      <c r="AG988" s="349" t="s">
        <v>438</v>
      </c>
    </row>
    <row r="989" spans="29:33" ht="15.75">
      <c r="AC989" s="9">
        <f t="shared" si="62"/>
        <v>5000</v>
      </c>
      <c r="AD989" s="9">
        <v>5000</v>
      </c>
      <c r="AE989" s="9">
        <f>AE988</f>
        <v>109.38</v>
      </c>
      <c r="AF989" s="9">
        <f>SUM(AD988:AE989)-AH989</f>
        <v>5218.76</v>
      </c>
      <c r="AG989" s="256" t="s">
        <v>439</v>
      </c>
    </row>
    <row r="990" spans="29:33">
      <c r="AC990" s="266"/>
      <c r="AD990" s="266">
        <f>SUM(AD969:AD989)</f>
        <v>98468</v>
      </c>
      <c r="AE990" s="266">
        <f>SUM(AE969:AE989)</f>
        <v>22813.820000000014</v>
      </c>
      <c r="AF990" s="266">
        <f>SUM(AF971:AF989)</f>
        <v>121281.81999999998</v>
      </c>
      <c r="AG990" s="349"/>
    </row>
    <row r="993" spans="28:33">
      <c r="AB993" s="11"/>
      <c r="AC993" s="9" t="s">
        <v>134</v>
      </c>
      <c r="AG993" s="344"/>
    </row>
    <row r="994" spans="28:33">
      <c r="AB994" s="11" t="s">
        <v>39</v>
      </c>
      <c r="AC994" s="9">
        <v>200000</v>
      </c>
      <c r="AD994" s="342"/>
      <c r="AE994" s="342"/>
      <c r="AF994" s="342"/>
      <c r="AG994" s="344"/>
    </row>
    <row r="995" spans="28:33">
      <c r="AB995" s="11" t="s">
        <v>40</v>
      </c>
      <c r="AC995" s="335">
        <v>3.5000000000000003E-2</v>
      </c>
      <c r="AG995" s="344"/>
    </row>
    <row r="996" spans="28:33">
      <c r="AB996" s="11" t="s">
        <v>41</v>
      </c>
      <c r="AC996" s="9">
        <v>10</v>
      </c>
      <c r="AD996" s="335"/>
      <c r="AG996" s="344"/>
    </row>
    <row r="997" spans="28:33">
      <c r="AB997" s="11"/>
      <c r="AC997" s="342" t="s">
        <v>43</v>
      </c>
      <c r="AD997" s="342" t="s">
        <v>44</v>
      </c>
      <c r="AE997" s="341" t="s">
        <v>45</v>
      </c>
      <c r="AF997" s="341" t="s">
        <v>46</v>
      </c>
    </row>
    <row r="998" spans="28:33">
      <c r="AB998" s="11"/>
      <c r="AC998" s="266">
        <v>200000</v>
      </c>
      <c r="AD998" s="266"/>
      <c r="AE998" s="266"/>
      <c r="AF998" s="350"/>
      <c r="AG998" s="349" t="s">
        <v>50</v>
      </c>
    </row>
    <row r="999" spans="28:33" ht="15.75">
      <c r="AB999" s="11"/>
      <c r="AC999" s="9">
        <f t="shared" ref="AC999:AC1019" si="63">AC998-AD998</f>
        <v>200000</v>
      </c>
      <c r="AF999" s="9">
        <f>SUM(AD998:AE999)</f>
        <v>0</v>
      </c>
      <c r="AG999" s="256" t="s">
        <v>50</v>
      </c>
    </row>
    <row r="1000" spans="28:33" ht="15.75">
      <c r="AB1000" s="11"/>
      <c r="AC1000" s="266">
        <f t="shared" si="63"/>
        <v>200000</v>
      </c>
      <c r="AD1000" s="266"/>
      <c r="AE1000" s="266">
        <f>AC1000*AC$995/2</f>
        <v>3500.0000000000005</v>
      </c>
      <c r="AF1000" s="350"/>
      <c r="AG1000" s="256" t="s">
        <v>51</v>
      </c>
    </row>
    <row r="1001" spans="28:33" ht="15.75">
      <c r="AC1001" s="9">
        <f t="shared" si="63"/>
        <v>200000</v>
      </c>
      <c r="AD1001" s="9">
        <f>AC1001/10</f>
        <v>20000</v>
      </c>
      <c r="AE1001" s="9">
        <f>AE1000</f>
        <v>3500.0000000000005</v>
      </c>
      <c r="AF1001" s="9">
        <f>SUM(AD1000:AE1001)</f>
        <v>27000</v>
      </c>
      <c r="AG1001" s="256" t="str">
        <f>AG1000</f>
        <v>FY2021</v>
      </c>
    </row>
    <row r="1002" spans="28:33" ht="15.75">
      <c r="AB1002" s="11"/>
      <c r="AC1002" s="266">
        <f t="shared" si="63"/>
        <v>180000</v>
      </c>
      <c r="AD1002" s="266">
        <f t="shared" ref="AD1002:AD1019" si="64">AD1000</f>
        <v>0</v>
      </c>
      <c r="AE1002" s="266">
        <f t="shared" ref="AE1002" si="65">AC1002*AC$995/2</f>
        <v>3150.0000000000005</v>
      </c>
      <c r="AF1002" s="350"/>
      <c r="AG1002" s="256" t="s">
        <v>52</v>
      </c>
    </row>
    <row r="1003" spans="28:33" ht="15.75">
      <c r="AB1003" s="11"/>
      <c r="AC1003" s="9">
        <f t="shared" si="63"/>
        <v>180000</v>
      </c>
      <c r="AD1003" s="9">
        <f t="shared" si="64"/>
        <v>20000</v>
      </c>
      <c r="AE1003" s="9">
        <f t="shared" ref="AE1003" si="66">AE1002</f>
        <v>3150.0000000000005</v>
      </c>
      <c r="AF1003" s="9">
        <f>SUM(AD1002:AE1003)</f>
        <v>26300</v>
      </c>
      <c r="AG1003" s="256" t="str">
        <f>AG1002</f>
        <v>FY2022</v>
      </c>
    </row>
    <row r="1004" spans="28:33" ht="15.75">
      <c r="AC1004" s="266">
        <f t="shared" si="63"/>
        <v>160000</v>
      </c>
      <c r="AD1004" s="266">
        <f t="shared" si="64"/>
        <v>0</v>
      </c>
      <c r="AE1004" s="266">
        <f t="shared" ref="AE1004" si="67">AC1004*AC$995/2</f>
        <v>2800.0000000000005</v>
      </c>
      <c r="AF1004" s="350"/>
      <c r="AG1004" s="256" t="s">
        <v>53</v>
      </c>
    </row>
    <row r="1005" spans="28:33" ht="15.75">
      <c r="AC1005" s="9">
        <f t="shared" si="63"/>
        <v>160000</v>
      </c>
      <c r="AD1005" s="9">
        <f t="shared" si="64"/>
        <v>20000</v>
      </c>
      <c r="AE1005" s="9">
        <f t="shared" ref="AE1005" si="68">AE1004</f>
        <v>2800.0000000000005</v>
      </c>
      <c r="AF1005" s="9">
        <f>SUM(AD1004:AE1005)</f>
        <v>25600</v>
      </c>
      <c r="AG1005" s="256" t="str">
        <f t="shared" ref="AG1005" si="69">AG1004</f>
        <v>FY2023</v>
      </c>
    </row>
    <row r="1006" spans="28:33" ht="15.75">
      <c r="AC1006" s="266">
        <f t="shared" si="63"/>
        <v>140000</v>
      </c>
      <c r="AD1006" s="266">
        <f t="shared" si="64"/>
        <v>0</v>
      </c>
      <c r="AE1006" s="266">
        <f t="shared" ref="AE1006" si="70">AC1006*AC$995/2</f>
        <v>2450.0000000000005</v>
      </c>
      <c r="AF1006" s="350"/>
      <c r="AG1006" s="256" t="s">
        <v>54</v>
      </c>
    </row>
    <row r="1007" spans="28:33" ht="15.75">
      <c r="AC1007" s="9">
        <f t="shared" si="63"/>
        <v>140000</v>
      </c>
      <c r="AD1007" s="9">
        <f t="shared" si="64"/>
        <v>20000</v>
      </c>
      <c r="AE1007" s="9">
        <f t="shared" ref="AE1007" si="71">AE1006</f>
        <v>2450.0000000000005</v>
      </c>
      <c r="AF1007" s="9">
        <f>SUM(AD1006:AE1007)</f>
        <v>24900</v>
      </c>
      <c r="AG1007" s="256" t="str">
        <f t="shared" ref="AG1007" si="72">AG1006</f>
        <v>FY2024</v>
      </c>
    </row>
    <row r="1008" spans="28:33" ht="15.75">
      <c r="AC1008" s="266">
        <f t="shared" si="63"/>
        <v>120000</v>
      </c>
      <c r="AD1008" s="266">
        <f t="shared" si="64"/>
        <v>0</v>
      </c>
      <c r="AE1008" s="266">
        <f t="shared" ref="AE1008" si="73">AC1008*AC$995/2</f>
        <v>2100</v>
      </c>
      <c r="AF1008" s="350"/>
      <c r="AG1008" s="256" t="s">
        <v>55</v>
      </c>
    </row>
    <row r="1009" spans="28:33" ht="15.75">
      <c r="AC1009" s="9">
        <f t="shared" si="63"/>
        <v>120000</v>
      </c>
      <c r="AD1009" s="9">
        <f t="shared" si="64"/>
        <v>20000</v>
      </c>
      <c r="AE1009" s="9">
        <f t="shared" ref="AE1009" si="74">AE1008</f>
        <v>2100</v>
      </c>
      <c r="AF1009" s="9">
        <f>SUM(AD1008:AE1009)</f>
        <v>24200</v>
      </c>
      <c r="AG1009" s="256" t="str">
        <f t="shared" ref="AG1009" si="75">AG1008</f>
        <v>FY2025</v>
      </c>
    </row>
    <row r="1010" spans="28:33" ht="15.75">
      <c r="AC1010" s="266">
        <f t="shared" si="63"/>
        <v>100000</v>
      </c>
      <c r="AD1010" s="266">
        <f t="shared" si="64"/>
        <v>0</v>
      </c>
      <c r="AE1010" s="266">
        <f t="shared" ref="AE1010" si="76">AC1010*AC$995/2</f>
        <v>1750.0000000000002</v>
      </c>
      <c r="AF1010" s="350"/>
      <c r="AG1010" s="256" t="s">
        <v>56</v>
      </c>
    </row>
    <row r="1011" spans="28:33" ht="15.75">
      <c r="AC1011" s="9">
        <f t="shared" si="63"/>
        <v>100000</v>
      </c>
      <c r="AD1011" s="9">
        <f t="shared" si="64"/>
        <v>20000</v>
      </c>
      <c r="AE1011" s="9">
        <f t="shared" ref="AE1011" si="77">AE1010</f>
        <v>1750.0000000000002</v>
      </c>
      <c r="AF1011" s="9">
        <f>SUM(AD1010:AE1011)</f>
        <v>23500</v>
      </c>
      <c r="AG1011" s="256" t="str">
        <f t="shared" ref="AG1011" si="78">AG1010</f>
        <v>FY2026</v>
      </c>
    </row>
    <row r="1012" spans="28:33" ht="15.75">
      <c r="AC1012" s="266">
        <f t="shared" si="63"/>
        <v>80000</v>
      </c>
      <c r="AD1012" s="266">
        <f t="shared" si="64"/>
        <v>0</v>
      </c>
      <c r="AE1012" s="266">
        <f t="shared" ref="AE1012" si="79">AC1012*AC$995/2</f>
        <v>1400.0000000000002</v>
      </c>
      <c r="AF1012" s="350"/>
      <c r="AG1012" s="256" t="s">
        <v>57</v>
      </c>
    </row>
    <row r="1013" spans="28:33" ht="15.75">
      <c r="AC1013" s="9">
        <f t="shared" si="63"/>
        <v>80000</v>
      </c>
      <c r="AD1013" s="9">
        <f t="shared" si="64"/>
        <v>20000</v>
      </c>
      <c r="AE1013" s="9">
        <f t="shared" ref="AE1013" si="80">AE1012</f>
        <v>1400.0000000000002</v>
      </c>
      <c r="AF1013" s="9">
        <f>SUM(AD1012:AE1013)</f>
        <v>22800</v>
      </c>
      <c r="AG1013" s="256" t="str">
        <f t="shared" ref="AG1013" si="81">AG1012</f>
        <v>FY2027</v>
      </c>
    </row>
    <row r="1014" spans="28:33" ht="15.75">
      <c r="AC1014" s="266">
        <f t="shared" si="63"/>
        <v>60000</v>
      </c>
      <c r="AD1014" s="266">
        <f t="shared" si="64"/>
        <v>0</v>
      </c>
      <c r="AE1014" s="266">
        <f t="shared" ref="AE1014" si="82">AC1014*AC$995/2</f>
        <v>1050</v>
      </c>
      <c r="AF1014" s="350"/>
      <c r="AG1014" s="256" t="s">
        <v>59</v>
      </c>
    </row>
    <row r="1015" spans="28:33" ht="15.75">
      <c r="AC1015" s="9">
        <f t="shared" si="63"/>
        <v>60000</v>
      </c>
      <c r="AD1015" s="9">
        <f t="shared" si="64"/>
        <v>20000</v>
      </c>
      <c r="AE1015" s="9">
        <f t="shared" ref="AE1015" si="83">AE1014</f>
        <v>1050</v>
      </c>
      <c r="AF1015" s="9">
        <f>SUM(AD1014:AE1015)</f>
        <v>22100</v>
      </c>
      <c r="AG1015" s="256" t="str">
        <f t="shared" ref="AG1015" si="84">AG1014</f>
        <v>FY2028</v>
      </c>
    </row>
    <row r="1016" spans="28:33" ht="15.75">
      <c r="AC1016" s="266">
        <f t="shared" si="63"/>
        <v>40000</v>
      </c>
      <c r="AD1016" s="266">
        <f t="shared" si="64"/>
        <v>0</v>
      </c>
      <c r="AE1016" s="266">
        <f t="shared" ref="AE1016" si="85">AC1016*AC$995/2</f>
        <v>700.00000000000011</v>
      </c>
      <c r="AF1016" s="350"/>
      <c r="AG1016" s="256" t="s">
        <v>60</v>
      </c>
    </row>
    <row r="1017" spans="28:33" ht="15.75">
      <c r="AC1017" s="9">
        <f t="shared" si="63"/>
        <v>40000</v>
      </c>
      <c r="AD1017" s="9">
        <f t="shared" si="64"/>
        <v>20000</v>
      </c>
      <c r="AE1017" s="9">
        <f t="shared" ref="AE1017" si="86">AE1016</f>
        <v>700.00000000000011</v>
      </c>
      <c r="AF1017" s="9">
        <f>SUM(AD1016:AE1017)</f>
        <v>21400</v>
      </c>
      <c r="AG1017" s="256" t="str">
        <f t="shared" ref="AG1017" si="87">AG1016</f>
        <v>FY2029</v>
      </c>
    </row>
    <row r="1018" spans="28:33" ht="15.75">
      <c r="AC1018" s="266">
        <f t="shared" si="63"/>
        <v>20000</v>
      </c>
      <c r="AD1018" s="266">
        <f t="shared" si="64"/>
        <v>0</v>
      </c>
      <c r="AE1018" s="266">
        <f t="shared" ref="AE1018" si="88">AC1018*AC$995/2</f>
        <v>350.00000000000006</v>
      </c>
      <c r="AF1018" s="350"/>
      <c r="AG1018" s="256" t="s">
        <v>61</v>
      </c>
    </row>
    <row r="1019" spans="28:33" ht="15.75">
      <c r="AC1019" s="9">
        <f t="shared" si="63"/>
        <v>20000</v>
      </c>
      <c r="AD1019" s="9">
        <f t="shared" si="64"/>
        <v>20000</v>
      </c>
      <c r="AE1019" s="9">
        <f t="shared" ref="AE1019" si="89">AE1018</f>
        <v>350.00000000000006</v>
      </c>
      <c r="AF1019" s="9">
        <f>SUM(AD1018:AE1019)</f>
        <v>20700</v>
      </c>
      <c r="AG1019" s="256" t="str">
        <f t="shared" ref="AG1019" si="90">AG1018</f>
        <v>FY2030</v>
      </c>
    </row>
    <row r="1020" spans="28:33">
      <c r="AC1020" s="266"/>
      <c r="AD1020" s="266">
        <f>SUM(AD999:AD1019)</f>
        <v>200000</v>
      </c>
      <c r="AE1020" s="266">
        <f>SUM(AE999:AE1019)</f>
        <v>38500.000000000007</v>
      </c>
      <c r="AF1020" s="266">
        <f>SUM(AF999:AF1019)</f>
        <v>238500</v>
      </c>
      <c r="AG1020" s="349"/>
    </row>
    <row r="1021" spans="28:33" ht="15.75">
      <c r="AG1021" s="256"/>
    </row>
    <row r="1023" spans="28:33">
      <c r="AB1023" s="11"/>
      <c r="AC1023" s="9" t="s">
        <v>498</v>
      </c>
      <c r="AG1023" s="344"/>
    </row>
    <row r="1024" spans="28:33">
      <c r="AB1024" s="11" t="s">
        <v>39</v>
      </c>
      <c r="AC1024" s="9">
        <v>353000</v>
      </c>
      <c r="AD1024" s="342"/>
      <c r="AE1024" s="342"/>
      <c r="AF1024" s="342"/>
      <c r="AG1024" s="344"/>
    </row>
    <row r="1025" spans="28:33">
      <c r="AB1025" s="11" t="s">
        <v>40</v>
      </c>
      <c r="AC1025" s="335">
        <v>3.5000000000000003E-2</v>
      </c>
      <c r="AG1025" s="344"/>
    </row>
    <row r="1026" spans="28:33">
      <c r="AB1026" s="11" t="s">
        <v>41</v>
      </c>
      <c r="AC1026" s="9">
        <v>10</v>
      </c>
      <c r="AD1026" s="335"/>
      <c r="AG1026" s="344"/>
    </row>
    <row r="1027" spans="28:33">
      <c r="AB1027" s="11"/>
      <c r="AC1027" s="342" t="s">
        <v>43</v>
      </c>
      <c r="AD1027" s="342" t="s">
        <v>44</v>
      </c>
      <c r="AE1027" s="341" t="s">
        <v>45</v>
      </c>
      <c r="AF1027" s="341" t="s">
        <v>46</v>
      </c>
    </row>
    <row r="1028" spans="28:33">
      <c r="AB1028" s="11"/>
      <c r="AC1028" s="266">
        <f>AC1024</f>
        <v>353000</v>
      </c>
      <c r="AD1028" s="266"/>
      <c r="AE1028" s="266"/>
      <c r="AF1028" s="350"/>
      <c r="AG1028" s="349" t="s">
        <v>50</v>
      </c>
    </row>
    <row r="1029" spans="28:33" ht="15.75">
      <c r="AB1029" s="11"/>
      <c r="AC1029" s="9">
        <f t="shared" ref="AC1029:AC1049" si="91">AC1028-AD1028</f>
        <v>353000</v>
      </c>
      <c r="AF1029" s="9">
        <f>SUM(AD1028:AE1029)</f>
        <v>0</v>
      </c>
      <c r="AG1029" s="256" t="str">
        <f>AG1028</f>
        <v>FY2020</v>
      </c>
    </row>
    <row r="1030" spans="28:33">
      <c r="AB1030" s="11"/>
      <c r="AC1030" s="266">
        <f t="shared" si="91"/>
        <v>353000</v>
      </c>
      <c r="AD1030" s="266"/>
      <c r="AE1030" s="266">
        <f>AC1030*AC$1025/2</f>
        <v>6177.5000000000009</v>
      </c>
      <c r="AF1030" s="350"/>
      <c r="AG1030" s="349" t="s">
        <v>51</v>
      </c>
    </row>
    <row r="1031" spans="28:33" ht="15.75">
      <c r="AC1031" s="9">
        <f t="shared" si="91"/>
        <v>353000</v>
      </c>
      <c r="AD1031" s="9">
        <f>AC1031/10</f>
        <v>35300</v>
      </c>
      <c r="AE1031" s="9">
        <f>AE1030</f>
        <v>6177.5000000000009</v>
      </c>
      <c r="AF1031" s="9">
        <f>SUM(AD1030:AE1031)</f>
        <v>47655</v>
      </c>
      <c r="AG1031" s="256" t="str">
        <f t="shared" ref="AG1031" si="92">AG1030</f>
        <v>FY2021</v>
      </c>
    </row>
    <row r="1032" spans="28:33">
      <c r="AB1032" s="11"/>
      <c r="AC1032" s="266">
        <f t="shared" si="91"/>
        <v>317700</v>
      </c>
      <c r="AD1032" s="266">
        <f t="shared" ref="AD1032:AD1049" si="93">AD1030</f>
        <v>0</v>
      </c>
      <c r="AE1032" s="266">
        <f t="shared" ref="AE1032" si="94">AC1032*AC$1025/2</f>
        <v>5559.7500000000009</v>
      </c>
      <c r="AF1032" s="350"/>
      <c r="AG1032" s="349" t="s">
        <v>52</v>
      </c>
    </row>
    <row r="1033" spans="28:33" ht="15.75">
      <c r="AB1033" s="11"/>
      <c r="AC1033" s="9">
        <f t="shared" si="91"/>
        <v>317700</v>
      </c>
      <c r="AD1033" s="9">
        <f t="shared" si="93"/>
        <v>35300</v>
      </c>
      <c r="AE1033" s="9">
        <f t="shared" ref="AE1033" si="95">AE1032</f>
        <v>5559.7500000000009</v>
      </c>
      <c r="AF1033" s="9">
        <f>SUM(AD1032:AE1033)</f>
        <v>46419.5</v>
      </c>
      <c r="AG1033" s="256" t="str">
        <f t="shared" ref="AG1033" si="96">AG1032</f>
        <v>FY2022</v>
      </c>
    </row>
    <row r="1034" spans="28:33">
      <c r="AC1034" s="266">
        <f t="shared" si="91"/>
        <v>282400</v>
      </c>
      <c r="AD1034" s="266">
        <f t="shared" si="93"/>
        <v>0</v>
      </c>
      <c r="AE1034" s="266">
        <f t="shared" ref="AE1034" si="97">AC1034*AC$1025/2</f>
        <v>4942.0000000000009</v>
      </c>
      <c r="AF1034" s="350"/>
      <c r="AG1034" s="349" t="s">
        <v>53</v>
      </c>
    </row>
    <row r="1035" spans="28:33" ht="15.75">
      <c r="AC1035" s="9">
        <f t="shared" si="91"/>
        <v>282400</v>
      </c>
      <c r="AD1035" s="9">
        <f t="shared" si="93"/>
        <v>35300</v>
      </c>
      <c r="AE1035" s="9">
        <f t="shared" ref="AE1035" si="98">AE1034</f>
        <v>4942.0000000000009</v>
      </c>
      <c r="AF1035" s="9">
        <f>SUM(AD1034:AE1035)</f>
        <v>45184</v>
      </c>
      <c r="AG1035" s="256" t="str">
        <f t="shared" ref="AG1035" si="99">AG1034</f>
        <v>FY2023</v>
      </c>
    </row>
    <row r="1036" spans="28:33">
      <c r="AC1036" s="266">
        <f t="shared" si="91"/>
        <v>247100</v>
      </c>
      <c r="AD1036" s="266">
        <f t="shared" si="93"/>
        <v>0</v>
      </c>
      <c r="AE1036" s="266">
        <f t="shared" ref="AE1036" si="100">AC1036*AC$1025/2</f>
        <v>4324.25</v>
      </c>
      <c r="AF1036" s="350"/>
      <c r="AG1036" s="349" t="s">
        <v>54</v>
      </c>
    </row>
    <row r="1037" spans="28:33" ht="15.75">
      <c r="AC1037" s="9">
        <f t="shared" si="91"/>
        <v>247100</v>
      </c>
      <c r="AD1037" s="9">
        <f t="shared" si="93"/>
        <v>35300</v>
      </c>
      <c r="AE1037" s="9">
        <f t="shared" ref="AE1037" si="101">AE1036</f>
        <v>4324.25</v>
      </c>
      <c r="AF1037" s="9">
        <f>SUM(AD1036:AE1037)</f>
        <v>43948.5</v>
      </c>
      <c r="AG1037" s="256" t="str">
        <f t="shared" ref="AG1037" si="102">AG1036</f>
        <v>FY2024</v>
      </c>
    </row>
    <row r="1038" spans="28:33">
      <c r="AC1038" s="266">
        <f t="shared" si="91"/>
        <v>211800</v>
      </c>
      <c r="AD1038" s="266">
        <f t="shared" si="93"/>
        <v>0</v>
      </c>
      <c r="AE1038" s="266">
        <f t="shared" ref="AE1038" si="103">AC1038*AC$1025/2</f>
        <v>3706.5000000000005</v>
      </c>
      <c r="AF1038" s="350"/>
      <c r="AG1038" s="349" t="s">
        <v>55</v>
      </c>
    </row>
    <row r="1039" spans="28:33" ht="15.75">
      <c r="AC1039" s="9">
        <f t="shared" si="91"/>
        <v>211800</v>
      </c>
      <c r="AD1039" s="9">
        <f t="shared" si="93"/>
        <v>35300</v>
      </c>
      <c r="AE1039" s="9">
        <f t="shared" ref="AE1039" si="104">AE1038</f>
        <v>3706.5000000000005</v>
      </c>
      <c r="AF1039" s="9">
        <f>SUM(AD1038:AE1039)</f>
        <v>42713</v>
      </c>
      <c r="AG1039" s="256" t="str">
        <f t="shared" ref="AG1039" si="105">AG1038</f>
        <v>FY2025</v>
      </c>
    </row>
    <row r="1040" spans="28:33">
      <c r="AC1040" s="266">
        <f t="shared" si="91"/>
        <v>176500</v>
      </c>
      <c r="AD1040" s="266">
        <f t="shared" si="93"/>
        <v>0</v>
      </c>
      <c r="AE1040" s="266">
        <f t="shared" ref="AE1040" si="106">AC1040*AC$1025/2</f>
        <v>3088.7500000000005</v>
      </c>
      <c r="AF1040" s="350"/>
      <c r="AG1040" s="349" t="s">
        <v>56</v>
      </c>
    </row>
    <row r="1041" spans="28:40" ht="15.75">
      <c r="AC1041" s="9">
        <f t="shared" si="91"/>
        <v>176500</v>
      </c>
      <c r="AD1041" s="9">
        <f t="shared" si="93"/>
        <v>35300</v>
      </c>
      <c r="AE1041" s="9">
        <f t="shared" ref="AE1041" si="107">AE1040</f>
        <v>3088.7500000000005</v>
      </c>
      <c r="AF1041" s="9">
        <f>SUM(AD1040:AE1041)</f>
        <v>41477.5</v>
      </c>
      <c r="AG1041" s="256" t="str">
        <f t="shared" ref="AG1041" si="108">AG1040</f>
        <v>FY2026</v>
      </c>
    </row>
    <row r="1042" spans="28:40">
      <c r="AC1042" s="266">
        <f t="shared" si="91"/>
        <v>141200</v>
      </c>
      <c r="AD1042" s="266">
        <f t="shared" si="93"/>
        <v>0</v>
      </c>
      <c r="AE1042" s="266">
        <f t="shared" ref="AE1042" si="109">AC1042*AC$1025/2</f>
        <v>2471.0000000000005</v>
      </c>
      <c r="AF1042" s="350"/>
      <c r="AG1042" s="349" t="s">
        <v>57</v>
      </c>
    </row>
    <row r="1043" spans="28:40" ht="15.75">
      <c r="AC1043" s="9">
        <f t="shared" si="91"/>
        <v>141200</v>
      </c>
      <c r="AD1043" s="9">
        <f t="shared" si="93"/>
        <v>35300</v>
      </c>
      <c r="AE1043" s="9">
        <f t="shared" ref="AE1043" si="110">AE1042</f>
        <v>2471.0000000000005</v>
      </c>
      <c r="AF1043" s="9">
        <f>SUM(AD1042:AE1043)</f>
        <v>40242</v>
      </c>
      <c r="AG1043" s="256" t="str">
        <f t="shared" ref="AG1043" si="111">AG1042</f>
        <v>FY2027</v>
      </c>
    </row>
    <row r="1044" spans="28:40">
      <c r="AC1044" s="266">
        <f t="shared" si="91"/>
        <v>105900</v>
      </c>
      <c r="AD1044" s="266">
        <f t="shared" si="93"/>
        <v>0</v>
      </c>
      <c r="AE1044" s="266">
        <f t="shared" ref="AE1044" si="112">AC1044*AC$1025/2</f>
        <v>1853.2500000000002</v>
      </c>
      <c r="AF1044" s="350"/>
      <c r="AG1044" s="349" t="s">
        <v>59</v>
      </c>
    </row>
    <row r="1045" spans="28:40" ht="15.75">
      <c r="AC1045" s="9">
        <f t="shared" si="91"/>
        <v>105900</v>
      </c>
      <c r="AD1045" s="9">
        <f t="shared" si="93"/>
        <v>35300</v>
      </c>
      <c r="AE1045" s="9">
        <f t="shared" ref="AE1045" si="113">AE1044</f>
        <v>1853.2500000000002</v>
      </c>
      <c r="AF1045" s="9">
        <f>SUM(AD1044:AE1045)</f>
        <v>39006.5</v>
      </c>
      <c r="AG1045" s="256" t="str">
        <f t="shared" ref="AG1045" si="114">AG1044</f>
        <v>FY2028</v>
      </c>
    </row>
    <row r="1046" spans="28:40">
      <c r="AC1046" s="266">
        <f t="shared" si="91"/>
        <v>70600</v>
      </c>
      <c r="AD1046" s="266">
        <f t="shared" si="93"/>
        <v>0</v>
      </c>
      <c r="AE1046" s="266">
        <f t="shared" ref="AE1046" si="115">AC1046*AC$1025/2</f>
        <v>1235.5000000000002</v>
      </c>
      <c r="AF1046" s="350"/>
      <c r="AG1046" s="349" t="s">
        <v>60</v>
      </c>
    </row>
    <row r="1047" spans="28:40" ht="15.75">
      <c r="AC1047" s="9">
        <f t="shared" si="91"/>
        <v>70600</v>
      </c>
      <c r="AD1047" s="9">
        <f t="shared" si="93"/>
        <v>35300</v>
      </c>
      <c r="AE1047" s="9">
        <f t="shared" ref="AE1047" si="116">AE1046</f>
        <v>1235.5000000000002</v>
      </c>
      <c r="AF1047" s="9">
        <f>SUM(AD1046:AE1047)</f>
        <v>37771</v>
      </c>
      <c r="AG1047" s="256" t="str">
        <f t="shared" ref="AG1047" si="117">AG1046</f>
        <v>FY2029</v>
      </c>
    </row>
    <row r="1048" spans="28:40">
      <c r="AC1048" s="266">
        <f t="shared" si="91"/>
        <v>35300</v>
      </c>
      <c r="AD1048" s="266">
        <f t="shared" si="93"/>
        <v>0</v>
      </c>
      <c r="AE1048" s="266">
        <f t="shared" ref="AE1048" si="118">AC1048*AC$1025/2</f>
        <v>617.75000000000011</v>
      </c>
      <c r="AF1048" s="350"/>
      <c r="AG1048" s="349" t="s">
        <v>61</v>
      </c>
    </row>
    <row r="1049" spans="28:40" ht="15.75">
      <c r="AC1049" s="9">
        <f t="shared" si="91"/>
        <v>35300</v>
      </c>
      <c r="AD1049" s="9">
        <f t="shared" si="93"/>
        <v>35300</v>
      </c>
      <c r="AE1049" s="9">
        <f t="shared" ref="AE1049" si="119">AE1048</f>
        <v>617.75000000000011</v>
      </c>
      <c r="AF1049" s="9">
        <f>SUM(AD1048:AE1049)</f>
        <v>36535.5</v>
      </c>
      <c r="AG1049" s="256" t="str">
        <f t="shared" ref="AG1049" si="120">AG1048</f>
        <v>FY2030</v>
      </c>
    </row>
    <row r="1050" spans="28:40">
      <c r="AC1050" s="266"/>
      <c r="AD1050" s="266">
        <f>SUM(AD1029:AD1049)</f>
        <v>353000</v>
      </c>
      <c r="AE1050" s="266">
        <f>SUM(AE1029:AE1049)</f>
        <v>67952.500000000015</v>
      </c>
      <c r="AF1050" s="266">
        <f>SUM(AF1029:AF1049)</f>
        <v>420952.5</v>
      </c>
      <c r="AG1050" s="349"/>
    </row>
    <row r="1051" spans="28:40" ht="15.75">
      <c r="AG1051" s="256"/>
    </row>
    <row r="1052" spans="28:40">
      <c r="AB1052" s="11"/>
      <c r="AC1052" s="9" t="s">
        <v>58</v>
      </c>
      <c r="AG1052" s="344"/>
      <c r="AI1052" s="11"/>
      <c r="AJ1052" s="9" t="s">
        <v>58</v>
      </c>
      <c r="AN1052" s="344"/>
    </row>
    <row r="1053" spans="28:40">
      <c r="AB1053" s="11" t="s">
        <v>39</v>
      </c>
      <c r="AC1053" s="9">
        <v>6700000</v>
      </c>
      <c r="AD1053" s="342"/>
      <c r="AE1053" s="342"/>
      <c r="AF1053" s="342"/>
      <c r="AG1053" s="344"/>
      <c r="AI1053" s="11" t="s">
        <v>39</v>
      </c>
      <c r="AJ1053" s="9">
        <v>200000</v>
      </c>
      <c r="AK1053" s="342"/>
      <c r="AL1053" s="342"/>
      <c r="AM1053" s="342"/>
      <c r="AN1053" s="344"/>
    </row>
    <row r="1054" spans="28:40">
      <c r="AB1054" s="11" t="s">
        <v>40</v>
      </c>
      <c r="AC1054" s="335">
        <v>0.04</v>
      </c>
      <c r="AG1054" s="344"/>
      <c r="AI1054" s="11" t="s">
        <v>40</v>
      </c>
      <c r="AJ1054" s="335">
        <v>0.04</v>
      </c>
      <c r="AK1054" s="335">
        <v>2.5000000000000001E-2</v>
      </c>
      <c r="AN1054" s="344"/>
    </row>
    <row r="1055" spans="28:40">
      <c r="AB1055" s="11" t="s">
        <v>41</v>
      </c>
      <c r="AC1055" s="9">
        <v>20</v>
      </c>
      <c r="AD1055" s="335"/>
      <c r="AG1055" s="344"/>
      <c r="AI1055" s="11" t="s">
        <v>41</v>
      </c>
      <c r="AJ1055" s="9">
        <v>20</v>
      </c>
      <c r="AK1055" s="335"/>
      <c r="AN1055" s="344"/>
    </row>
    <row r="1056" spans="28:40">
      <c r="AB1056" s="11"/>
      <c r="AC1056" s="342" t="s">
        <v>43</v>
      </c>
      <c r="AD1056" s="342" t="s">
        <v>44</v>
      </c>
      <c r="AE1056" s="341" t="s">
        <v>45</v>
      </c>
      <c r="AF1056" s="341" t="s">
        <v>46</v>
      </c>
      <c r="AG1056" s="338" t="s">
        <v>47</v>
      </c>
      <c r="AI1056" s="11"/>
      <c r="AJ1056" s="342" t="s">
        <v>43</v>
      </c>
      <c r="AK1056" s="342" t="s">
        <v>44</v>
      </c>
      <c r="AL1056" s="341" t="s">
        <v>45</v>
      </c>
      <c r="AM1056" s="341" t="s">
        <v>46</v>
      </c>
      <c r="AN1056" s="338" t="s">
        <v>47</v>
      </c>
    </row>
    <row r="1057" spans="28:40">
      <c r="AB1057" s="11"/>
      <c r="AC1057" s="266">
        <f>AC1053</f>
        <v>6700000</v>
      </c>
      <c r="AD1057" s="266"/>
      <c r="AE1057" s="266"/>
      <c r="AF1057" s="350"/>
      <c r="AG1057" s="366">
        <v>2009</v>
      </c>
      <c r="AI1057" s="11"/>
      <c r="AJ1057" s="266">
        <f>AJ1053</f>
        <v>200000</v>
      </c>
      <c r="AK1057" s="266"/>
      <c r="AL1057" s="266"/>
      <c r="AM1057" s="350"/>
      <c r="AN1057" s="366">
        <v>2013</v>
      </c>
    </row>
    <row r="1058" spans="28:40" ht="15.75">
      <c r="AB1058" s="11"/>
      <c r="AC1058" s="9">
        <f t="shared" ref="AC1058:AC1096" si="121">AC1057-AD1057</f>
        <v>6700000</v>
      </c>
      <c r="AF1058" s="9">
        <f>SUM(AD1057:AE1058)</f>
        <v>0</v>
      </c>
      <c r="AG1058" s="256">
        <f>+AG1057</f>
        <v>2009</v>
      </c>
      <c r="AI1058" s="11"/>
      <c r="AJ1058" s="9">
        <f t="shared" ref="AJ1058:AJ1096" si="122">AJ1057-AK1057</f>
        <v>200000</v>
      </c>
      <c r="AM1058" s="9">
        <f>SUM(AK1057:AL1058)</f>
        <v>0</v>
      </c>
      <c r="AN1058" s="256">
        <f>+AN1057</f>
        <v>2013</v>
      </c>
    </row>
    <row r="1059" spans="28:40">
      <c r="AB1059" s="11"/>
      <c r="AC1059" s="266">
        <f t="shared" si="121"/>
        <v>6700000</v>
      </c>
      <c r="AD1059" s="266"/>
      <c r="AE1059" s="266">
        <v>0</v>
      </c>
      <c r="AF1059" s="350"/>
      <c r="AG1059" s="349">
        <f>+AG1057+1</f>
        <v>2010</v>
      </c>
      <c r="AI1059" s="11"/>
      <c r="AJ1059" s="266">
        <f t="shared" si="122"/>
        <v>200000</v>
      </c>
      <c r="AK1059" s="266"/>
      <c r="AL1059" s="266">
        <v>0</v>
      </c>
      <c r="AM1059" s="350"/>
      <c r="AN1059" s="349">
        <f>+AN1057+1</f>
        <v>2014</v>
      </c>
    </row>
    <row r="1060" spans="28:40" ht="15.75">
      <c r="AC1060" s="9">
        <f t="shared" si="121"/>
        <v>6700000</v>
      </c>
      <c r="AD1060" s="9">
        <v>355000</v>
      </c>
      <c r="AE1060" s="9">
        <v>118512.1</v>
      </c>
      <c r="AF1060" s="9">
        <f>SUM(AD1059:AE1060)</f>
        <v>473512.1</v>
      </c>
      <c r="AG1060" s="256">
        <f>+AG1059</f>
        <v>2010</v>
      </c>
      <c r="AJ1060" s="9">
        <f t="shared" si="122"/>
        <v>200000</v>
      </c>
      <c r="AK1060" s="9">
        <v>0</v>
      </c>
      <c r="AL1060" s="9">
        <v>8000</v>
      </c>
      <c r="AM1060" s="9">
        <f>SUM(AK1059:AL1060)</f>
        <v>8000</v>
      </c>
      <c r="AN1060" s="256">
        <f>+AN1059</f>
        <v>2014</v>
      </c>
    </row>
    <row r="1061" spans="28:40">
      <c r="AB1061" s="11"/>
      <c r="AC1061" s="266">
        <f t="shared" si="121"/>
        <v>6345000</v>
      </c>
      <c r="AD1061" s="266">
        <f t="shared" ref="AD1061:AD1096" si="123">AD1059</f>
        <v>0</v>
      </c>
      <c r="AE1061" s="266">
        <v>122412.5</v>
      </c>
      <c r="AF1061" s="350"/>
      <c r="AG1061" s="349">
        <f>+AG1059+1</f>
        <v>2011</v>
      </c>
      <c r="AI1061" s="11"/>
      <c r="AJ1061" s="266">
        <f t="shared" si="122"/>
        <v>200000</v>
      </c>
      <c r="AK1061" s="266">
        <f t="shared" ref="AK1061:AK1096" si="124">AK1059</f>
        <v>0</v>
      </c>
      <c r="AL1061" s="266">
        <v>3700</v>
      </c>
      <c r="AM1061" s="350"/>
      <c r="AN1061" s="349">
        <f>+AN1059+1</f>
        <v>2015</v>
      </c>
    </row>
    <row r="1062" spans="28:40" ht="15.75">
      <c r="AB1062" s="11"/>
      <c r="AC1062" s="9">
        <f t="shared" si="121"/>
        <v>6345000</v>
      </c>
      <c r="AD1062" s="9">
        <v>355000</v>
      </c>
      <c r="AE1062" s="9">
        <f>AE1061</f>
        <v>122412.5</v>
      </c>
      <c r="AF1062" s="9">
        <f>SUM(AD1061:AE1062)</f>
        <v>599825</v>
      </c>
      <c r="AG1062" s="256">
        <f>+AG1061</f>
        <v>2011</v>
      </c>
      <c r="AI1062" s="11"/>
      <c r="AJ1062" s="9">
        <f t="shared" si="122"/>
        <v>200000</v>
      </c>
      <c r="AK1062" s="9">
        <v>0</v>
      </c>
      <c r="AL1062" s="9">
        <f>AL1061</f>
        <v>3700</v>
      </c>
      <c r="AM1062" s="9">
        <f>SUM(AK1061:AL1062)</f>
        <v>7400</v>
      </c>
      <c r="AN1062" s="256">
        <f>+AN1061</f>
        <v>2015</v>
      </c>
    </row>
    <row r="1063" spans="28:40">
      <c r="AC1063" s="266">
        <f t="shared" si="121"/>
        <v>5990000</v>
      </c>
      <c r="AD1063" s="266">
        <f t="shared" si="123"/>
        <v>0</v>
      </c>
      <c r="AE1063" s="266">
        <v>117087.5</v>
      </c>
      <c r="AF1063" s="350"/>
      <c r="AG1063" s="349">
        <f>+AG1061+1</f>
        <v>2012</v>
      </c>
      <c r="AJ1063" s="266">
        <f t="shared" si="122"/>
        <v>200000</v>
      </c>
      <c r="AK1063" s="266">
        <f t="shared" si="124"/>
        <v>0</v>
      </c>
      <c r="AL1063" s="266">
        <f>AJ1063*AK1054/2</f>
        <v>2500</v>
      </c>
      <c r="AM1063" s="350"/>
      <c r="AN1063" s="349">
        <f>+AN1061+1</f>
        <v>2016</v>
      </c>
    </row>
    <row r="1064" spans="28:40" ht="15.75">
      <c r="AC1064" s="9">
        <f t="shared" si="121"/>
        <v>5990000</v>
      </c>
      <c r="AD1064" s="9">
        <f t="shared" si="123"/>
        <v>355000</v>
      </c>
      <c r="AE1064" s="9">
        <f>AE1063</f>
        <v>117087.5</v>
      </c>
      <c r="AF1064" s="9">
        <f>SUM(AD1063:AE1064)</f>
        <v>589175</v>
      </c>
      <c r="AG1064" s="256">
        <f>+AG1063</f>
        <v>2012</v>
      </c>
      <c r="AJ1064" s="9">
        <f t="shared" si="122"/>
        <v>200000</v>
      </c>
      <c r="AK1064" s="9">
        <f>AJ1064/17</f>
        <v>11764.705882352941</v>
      </c>
      <c r="AL1064" s="9">
        <f>AL1063</f>
        <v>2500</v>
      </c>
      <c r="AM1064" s="9">
        <f>SUM(AK1063:AL1064)</f>
        <v>16764.705882352941</v>
      </c>
      <c r="AN1064" s="256">
        <f>+AN1063</f>
        <v>2016</v>
      </c>
    </row>
    <row r="1065" spans="28:40">
      <c r="AC1065" s="266">
        <f t="shared" si="121"/>
        <v>5635000</v>
      </c>
      <c r="AD1065" s="266">
        <f t="shared" si="123"/>
        <v>0</v>
      </c>
      <c r="AE1065" s="266">
        <v>111762.5</v>
      </c>
      <c r="AF1065" s="350"/>
      <c r="AG1065" s="349">
        <f>+AG1063+1</f>
        <v>2013</v>
      </c>
      <c r="AJ1065" s="266">
        <f t="shared" si="122"/>
        <v>188235.29411764705</v>
      </c>
      <c r="AK1065" s="266">
        <f t="shared" si="124"/>
        <v>0</v>
      </c>
      <c r="AL1065" s="266">
        <f>AJ1065*0.025/2</f>
        <v>2352.9411764705883</v>
      </c>
      <c r="AM1065" s="350"/>
      <c r="AN1065" s="349">
        <f>+AN1063+1</f>
        <v>2017</v>
      </c>
    </row>
    <row r="1066" spans="28:40" ht="15.75">
      <c r="AC1066" s="9">
        <f t="shared" si="121"/>
        <v>5635000</v>
      </c>
      <c r="AD1066" s="9">
        <f t="shared" si="123"/>
        <v>355000</v>
      </c>
      <c r="AE1066" s="9">
        <f>AE1065</f>
        <v>111762.5</v>
      </c>
      <c r="AF1066" s="9">
        <f>SUM(AD1065:AE1066)</f>
        <v>578525</v>
      </c>
      <c r="AG1066" s="256">
        <f>+AG1065</f>
        <v>2013</v>
      </c>
      <c r="AJ1066" s="9">
        <f t="shared" si="122"/>
        <v>188235.29411764705</v>
      </c>
      <c r="AK1066" s="9">
        <f t="shared" si="124"/>
        <v>11764.705882352941</v>
      </c>
      <c r="AL1066" s="9">
        <f>AL1065</f>
        <v>2352.9411764705883</v>
      </c>
      <c r="AM1066" s="9">
        <f>SUM(AK1065:AL1066)</f>
        <v>16470.588235294115</v>
      </c>
      <c r="AN1066" s="256">
        <f>+AN1065</f>
        <v>2017</v>
      </c>
    </row>
    <row r="1067" spans="28:40">
      <c r="AC1067" s="266">
        <f t="shared" si="121"/>
        <v>5280000</v>
      </c>
      <c r="AD1067" s="266">
        <f t="shared" si="123"/>
        <v>0</v>
      </c>
      <c r="AE1067" s="266">
        <v>106437.5</v>
      </c>
      <c r="AF1067" s="350"/>
      <c r="AG1067" s="349">
        <f>+AG1065+1</f>
        <v>2014</v>
      </c>
      <c r="AJ1067" s="266">
        <f t="shared" si="122"/>
        <v>176470.5882352941</v>
      </c>
      <c r="AK1067" s="266">
        <f t="shared" si="124"/>
        <v>0</v>
      </c>
      <c r="AL1067" s="266">
        <f>AJ1067*0.025/2</f>
        <v>2205.8823529411761</v>
      </c>
      <c r="AM1067" s="350"/>
      <c r="AN1067" s="349">
        <f>+AN1065+1</f>
        <v>2018</v>
      </c>
    </row>
    <row r="1068" spans="28:40" ht="15.75">
      <c r="AC1068" s="9">
        <f t="shared" si="121"/>
        <v>5280000</v>
      </c>
      <c r="AD1068" s="9">
        <f t="shared" si="123"/>
        <v>355000</v>
      </c>
      <c r="AE1068" s="9">
        <f>AE1067</f>
        <v>106437.5</v>
      </c>
      <c r="AF1068" s="9">
        <f>SUM(AD1067:AE1068)</f>
        <v>567875</v>
      </c>
      <c r="AG1068" s="256">
        <f>+AG1067</f>
        <v>2014</v>
      </c>
      <c r="AJ1068" s="9">
        <f t="shared" si="122"/>
        <v>176470.5882352941</v>
      </c>
      <c r="AK1068" s="9">
        <f t="shared" si="124"/>
        <v>11764.705882352941</v>
      </c>
      <c r="AL1068" s="9">
        <f>AL1067</f>
        <v>2205.8823529411761</v>
      </c>
      <c r="AM1068" s="9">
        <f>SUM(AK1067:AL1068)</f>
        <v>16176.470588235294</v>
      </c>
      <c r="AN1068" s="256">
        <f>+AN1067</f>
        <v>2018</v>
      </c>
    </row>
    <row r="1069" spans="28:40">
      <c r="AC1069" s="266">
        <f t="shared" si="121"/>
        <v>4925000</v>
      </c>
      <c r="AD1069" s="266">
        <f t="shared" si="123"/>
        <v>0</v>
      </c>
      <c r="AE1069" s="266">
        <v>98450</v>
      </c>
      <c r="AF1069" s="350"/>
      <c r="AG1069" s="349">
        <f>+AG1067+1</f>
        <v>2015</v>
      </c>
      <c r="AJ1069" s="266">
        <f t="shared" si="122"/>
        <v>164705.88235294115</v>
      </c>
      <c r="AK1069" s="266">
        <f t="shared" si="124"/>
        <v>0</v>
      </c>
      <c r="AL1069" s="266">
        <f>AJ1069*0.025/2</f>
        <v>2058.8235294117644</v>
      </c>
      <c r="AM1069" s="350"/>
      <c r="AN1069" s="349">
        <f>+AN1067+1</f>
        <v>2019</v>
      </c>
    </row>
    <row r="1070" spans="28:40" ht="15.75">
      <c r="AC1070" s="9">
        <f t="shared" si="121"/>
        <v>4925000</v>
      </c>
      <c r="AD1070" s="9">
        <f t="shared" si="123"/>
        <v>355000</v>
      </c>
      <c r="AE1070" s="9">
        <f>AE1069</f>
        <v>98450</v>
      </c>
      <c r="AF1070" s="9">
        <f>SUM(AD1069:AE1070)</f>
        <v>551900</v>
      </c>
      <c r="AG1070" s="256">
        <f>+AG1069</f>
        <v>2015</v>
      </c>
      <c r="AJ1070" s="9">
        <f t="shared" si="122"/>
        <v>164705.88235294115</v>
      </c>
      <c r="AK1070" s="9">
        <f t="shared" si="124"/>
        <v>11764.705882352941</v>
      </c>
      <c r="AL1070" s="9">
        <f>AL1069</f>
        <v>2058.8235294117644</v>
      </c>
      <c r="AM1070" s="9">
        <f>SUM(AK1069:AL1070)</f>
        <v>15882.352941176468</v>
      </c>
      <c r="AN1070" s="256">
        <f>+AN1069</f>
        <v>2019</v>
      </c>
    </row>
    <row r="1071" spans="28:40">
      <c r="AC1071" s="266">
        <f t="shared" si="121"/>
        <v>4570000</v>
      </c>
      <c r="AD1071" s="266">
        <f t="shared" si="123"/>
        <v>0</v>
      </c>
      <c r="AE1071" s="266">
        <v>93125</v>
      </c>
      <c r="AF1071" s="350"/>
      <c r="AG1071" s="349">
        <f>+AG1069+1</f>
        <v>2016</v>
      </c>
      <c r="AJ1071" s="266">
        <f t="shared" si="122"/>
        <v>152941.17647058819</v>
      </c>
      <c r="AK1071" s="266">
        <f t="shared" si="124"/>
        <v>0</v>
      </c>
      <c r="AL1071" s="266">
        <f>AJ1071*0.025/2</f>
        <v>1911.7647058823525</v>
      </c>
      <c r="AM1071" s="350"/>
      <c r="AN1071" s="349">
        <f>+AN1069+1</f>
        <v>2020</v>
      </c>
    </row>
    <row r="1072" spans="28:40" ht="15.75">
      <c r="AC1072" s="9">
        <f t="shared" si="121"/>
        <v>4570000</v>
      </c>
      <c r="AD1072" s="9">
        <f t="shared" si="123"/>
        <v>355000</v>
      </c>
      <c r="AE1072" s="9">
        <f>AE1071</f>
        <v>93125</v>
      </c>
      <c r="AF1072" s="9">
        <f>SUM(AD1071:AE1072)</f>
        <v>541250</v>
      </c>
      <c r="AG1072" s="256">
        <f>+AG1071</f>
        <v>2016</v>
      </c>
      <c r="AJ1072" s="9">
        <f t="shared" si="122"/>
        <v>152941.17647058819</v>
      </c>
      <c r="AK1072" s="9">
        <f t="shared" si="124"/>
        <v>11764.705882352941</v>
      </c>
      <c r="AL1072" s="9">
        <f>AL1071</f>
        <v>1911.7647058823525</v>
      </c>
      <c r="AM1072" s="9">
        <f>SUM(AK1071:AL1072)</f>
        <v>15588.235294117647</v>
      </c>
      <c r="AN1072" s="256">
        <f>+AN1071</f>
        <v>2020</v>
      </c>
    </row>
    <row r="1073" spans="29:40">
      <c r="AC1073" s="266">
        <f t="shared" si="121"/>
        <v>4215000</v>
      </c>
      <c r="AD1073" s="266">
        <f t="shared" si="123"/>
        <v>0</v>
      </c>
      <c r="AE1073" s="266">
        <v>87800</v>
      </c>
      <c r="AF1073" s="350"/>
      <c r="AG1073" s="349">
        <f>+AG1071+1</f>
        <v>2017</v>
      </c>
      <c r="AJ1073" s="266">
        <f t="shared" si="122"/>
        <v>141176.47058823524</v>
      </c>
      <c r="AK1073" s="266">
        <f t="shared" si="124"/>
        <v>0</v>
      </c>
      <c r="AL1073" s="266">
        <f>AJ1073*0.025/2</f>
        <v>1764.7058823529405</v>
      </c>
      <c r="AM1073" s="350"/>
      <c r="AN1073" s="349">
        <f>+AN1071+1</f>
        <v>2021</v>
      </c>
    </row>
    <row r="1074" spans="29:40" ht="15.75">
      <c r="AC1074" s="9">
        <f t="shared" si="121"/>
        <v>4215000</v>
      </c>
      <c r="AD1074" s="9">
        <f t="shared" si="123"/>
        <v>355000</v>
      </c>
      <c r="AE1074" s="9">
        <f>AE1073</f>
        <v>87800</v>
      </c>
      <c r="AF1074" s="9">
        <f>SUM(AD1073:AE1074)</f>
        <v>530600</v>
      </c>
      <c r="AG1074" s="256">
        <f>+AG1073</f>
        <v>2017</v>
      </c>
      <c r="AJ1074" s="9">
        <f t="shared" si="122"/>
        <v>141176.47058823524</v>
      </c>
      <c r="AK1074" s="9">
        <f t="shared" si="124"/>
        <v>11764.705882352941</v>
      </c>
      <c r="AL1074" s="9">
        <f>AL1073</f>
        <v>1764.7058823529405</v>
      </c>
      <c r="AM1074" s="9">
        <f>SUM(AK1073:AL1074)</f>
        <v>15294.117647058822</v>
      </c>
      <c r="AN1074" s="256">
        <f>+AN1073</f>
        <v>2021</v>
      </c>
    </row>
    <row r="1075" spans="29:40">
      <c r="AC1075" s="266">
        <f t="shared" si="121"/>
        <v>3860000</v>
      </c>
      <c r="AD1075" s="266">
        <f t="shared" si="123"/>
        <v>0</v>
      </c>
      <c r="AE1075" s="266">
        <v>82475</v>
      </c>
      <c r="AF1075" s="350"/>
      <c r="AG1075" s="349">
        <f>+AG1073+1</f>
        <v>2018</v>
      </c>
      <c r="AJ1075" s="266">
        <f t="shared" si="122"/>
        <v>129411.76470588231</v>
      </c>
      <c r="AK1075" s="266">
        <f t="shared" si="124"/>
        <v>0</v>
      </c>
      <c r="AL1075" s="266">
        <f>AJ1075*0.025/2</f>
        <v>1617.6470588235288</v>
      </c>
      <c r="AM1075" s="350"/>
      <c r="AN1075" s="349">
        <f>+AN1073+1</f>
        <v>2022</v>
      </c>
    </row>
    <row r="1076" spans="29:40" ht="15.75">
      <c r="AC1076" s="9">
        <f t="shared" si="121"/>
        <v>3860000</v>
      </c>
      <c r="AD1076" s="9">
        <f t="shared" si="123"/>
        <v>355000</v>
      </c>
      <c r="AE1076" s="9">
        <f>AE1075</f>
        <v>82475</v>
      </c>
      <c r="AF1076" s="9">
        <f>SUM(AD1075:AE1076)</f>
        <v>519950</v>
      </c>
      <c r="AG1076" s="256">
        <f>+AG1075</f>
        <v>2018</v>
      </c>
      <c r="AJ1076" s="9">
        <f t="shared" si="122"/>
        <v>129411.76470588231</v>
      </c>
      <c r="AK1076" s="9">
        <f t="shared" si="124"/>
        <v>11764.705882352941</v>
      </c>
      <c r="AL1076" s="9">
        <f>AL1075</f>
        <v>1617.6470588235288</v>
      </c>
      <c r="AM1076" s="9">
        <f>SUM(AK1075:AL1076)</f>
        <v>14999.999999999996</v>
      </c>
      <c r="AN1076" s="256">
        <f>+AN1075</f>
        <v>2022</v>
      </c>
    </row>
    <row r="1077" spans="29:40">
      <c r="AC1077" s="266">
        <f t="shared" si="121"/>
        <v>3505000</v>
      </c>
      <c r="AD1077" s="266">
        <f t="shared" si="123"/>
        <v>0</v>
      </c>
      <c r="AE1077" s="266">
        <v>73600</v>
      </c>
      <c r="AF1077" s="350"/>
      <c r="AG1077" s="349">
        <f>+AG1075+1</f>
        <v>2019</v>
      </c>
      <c r="AJ1077" s="266">
        <f t="shared" si="122"/>
        <v>117647.05882352937</v>
      </c>
      <c r="AK1077" s="266">
        <f t="shared" si="124"/>
        <v>0</v>
      </c>
      <c r="AL1077" s="266">
        <f>AJ1077*0.025/2</f>
        <v>1470.5882352941171</v>
      </c>
      <c r="AM1077" s="350"/>
      <c r="AN1077" s="349">
        <f>+AN1075+1</f>
        <v>2023</v>
      </c>
    </row>
    <row r="1078" spans="29:40" ht="15.75">
      <c r="AC1078" s="9">
        <f t="shared" si="121"/>
        <v>3505000</v>
      </c>
      <c r="AD1078" s="9">
        <f t="shared" si="123"/>
        <v>355000</v>
      </c>
      <c r="AE1078" s="9">
        <f>AE1077</f>
        <v>73600</v>
      </c>
      <c r="AF1078" s="9">
        <f>SUM(AD1077:AE1078)</f>
        <v>502200</v>
      </c>
      <c r="AG1078" s="256">
        <f>+AG1077</f>
        <v>2019</v>
      </c>
      <c r="AJ1078" s="9">
        <f t="shared" si="122"/>
        <v>117647.05882352937</v>
      </c>
      <c r="AK1078" s="9">
        <f t="shared" si="124"/>
        <v>11764.705882352941</v>
      </c>
      <c r="AL1078" s="9">
        <f>AL1077</f>
        <v>1470.5882352941171</v>
      </c>
      <c r="AM1078" s="9">
        <f>SUM(AK1077:AL1078)</f>
        <v>14705.882352941175</v>
      </c>
      <c r="AN1078" s="256">
        <f>+AN1077</f>
        <v>2023</v>
      </c>
    </row>
    <row r="1079" spans="29:40">
      <c r="AC1079" s="266">
        <f t="shared" si="121"/>
        <v>3150000</v>
      </c>
      <c r="AD1079" s="266">
        <f t="shared" si="123"/>
        <v>0</v>
      </c>
      <c r="AE1079" s="266">
        <v>66500</v>
      </c>
      <c r="AF1079" s="350"/>
      <c r="AG1079" s="349">
        <f>+AG1077+1</f>
        <v>2020</v>
      </c>
      <c r="AJ1079" s="266">
        <f t="shared" si="122"/>
        <v>105882.35294117643</v>
      </c>
      <c r="AK1079" s="266">
        <f t="shared" si="124"/>
        <v>0</v>
      </c>
      <c r="AL1079" s="266">
        <f>AJ1079*0.025/2</f>
        <v>1323.5294117647054</v>
      </c>
      <c r="AM1079" s="350"/>
      <c r="AN1079" s="349">
        <f>+AN1077+1</f>
        <v>2024</v>
      </c>
    </row>
    <row r="1080" spans="29:40" ht="15.75">
      <c r="AC1080" s="9">
        <f t="shared" si="121"/>
        <v>3150000</v>
      </c>
      <c r="AD1080" s="9">
        <v>350000</v>
      </c>
      <c r="AE1080" s="9">
        <f>AE1079</f>
        <v>66500</v>
      </c>
      <c r="AF1080" s="9">
        <f>SUM(AD1079:AE1080)</f>
        <v>483000</v>
      </c>
      <c r="AG1080" s="256">
        <f>+AG1079</f>
        <v>2020</v>
      </c>
      <c r="AJ1080" s="9">
        <f t="shared" si="122"/>
        <v>105882.35294117643</v>
      </c>
      <c r="AK1080" s="9">
        <f t="shared" si="124"/>
        <v>11764.705882352941</v>
      </c>
      <c r="AL1080" s="9">
        <f>AL1079</f>
        <v>1323.5294117647054</v>
      </c>
      <c r="AM1080" s="9">
        <f>SUM(AK1079:AL1080)</f>
        <v>14411.764705882353</v>
      </c>
      <c r="AN1080" s="256">
        <f>+AN1079</f>
        <v>2024</v>
      </c>
    </row>
    <row r="1081" spans="29:40">
      <c r="AC1081" s="266">
        <f t="shared" si="121"/>
        <v>2800000</v>
      </c>
      <c r="AD1081" s="266">
        <f t="shared" si="123"/>
        <v>0</v>
      </c>
      <c r="AE1081" s="266">
        <v>57750</v>
      </c>
      <c r="AF1081" s="350"/>
      <c r="AG1081" s="349">
        <f>+AG1079+1</f>
        <v>2021</v>
      </c>
      <c r="AJ1081" s="266">
        <f t="shared" si="122"/>
        <v>94117.647058823495</v>
      </c>
      <c r="AK1081" s="266">
        <f t="shared" si="124"/>
        <v>0</v>
      </c>
      <c r="AL1081" s="266">
        <f>AJ1081*0.025/2</f>
        <v>1176.4705882352937</v>
      </c>
      <c r="AM1081" s="350"/>
      <c r="AN1081" s="349">
        <f>+AN1079+1</f>
        <v>2025</v>
      </c>
    </row>
    <row r="1082" spans="29:40" ht="15.75">
      <c r="AC1082" s="9">
        <f t="shared" si="121"/>
        <v>2800000</v>
      </c>
      <c r="AD1082" s="9">
        <f t="shared" si="123"/>
        <v>350000</v>
      </c>
      <c r="AE1082" s="9">
        <f>AE1081</f>
        <v>57750</v>
      </c>
      <c r="AF1082" s="9">
        <f>SUM(AD1081:AE1082)</f>
        <v>465500</v>
      </c>
      <c r="AG1082" s="256">
        <f>+AG1081</f>
        <v>2021</v>
      </c>
      <c r="AJ1082" s="9">
        <f t="shared" si="122"/>
        <v>94117.647058823495</v>
      </c>
      <c r="AK1082" s="9">
        <f t="shared" si="124"/>
        <v>11764.705882352941</v>
      </c>
      <c r="AL1082" s="9">
        <f>AL1081</f>
        <v>1176.4705882352937</v>
      </c>
      <c r="AM1082" s="9">
        <f>SUM(AK1081:AL1082)</f>
        <v>14117.647058823528</v>
      </c>
      <c r="AN1082" s="256">
        <f>+AN1081</f>
        <v>2025</v>
      </c>
    </row>
    <row r="1083" spans="29:40">
      <c r="AC1083" s="266">
        <f t="shared" si="121"/>
        <v>2450000</v>
      </c>
      <c r="AD1083" s="266">
        <f t="shared" si="123"/>
        <v>0</v>
      </c>
      <c r="AE1083" s="266">
        <v>49000</v>
      </c>
      <c r="AF1083" s="350"/>
      <c r="AG1083" s="349">
        <f>+AG1081+1</f>
        <v>2022</v>
      </c>
      <c r="AJ1083" s="266">
        <f t="shared" si="122"/>
        <v>82352.941176470558</v>
      </c>
      <c r="AK1083" s="266">
        <f t="shared" si="124"/>
        <v>0</v>
      </c>
      <c r="AL1083" s="266">
        <f>AJ1083*0.025/2</f>
        <v>1029.411764705882</v>
      </c>
      <c r="AM1083" s="350"/>
      <c r="AN1083" s="349">
        <f>+AN1081+1</f>
        <v>2026</v>
      </c>
    </row>
    <row r="1084" spans="29:40" ht="15.75">
      <c r="AC1084" s="9">
        <f t="shared" si="121"/>
        <v>2450000</v>
      </c>
      <c r="AD1084" s="9">
        <f t="shared" si="123"/>
        <v>350000</v>
      </c>
      <c r="AE1084" s="9">
        <f>AE1083</f>
        <v>49000</v>
      </c>
      <c r="AF1084" s="9">
        <f>SUM(AD1083:AE1084)</f>
        <v>448000</v>
      </c>
      <c r="AG1084" s="256">
        <f>+AG1083</f>
        <v>2022</v>
      </c>
      <c r="AJ1084" s="9">
        <f t="shared" si="122"/>
        <v>82352.941176470558</v>
      </c>
      <c r="AK1084" s="9">
        <f t="shared" si="124"/>
        <v>11764.705882352941</v>
      </c>
      <c r="AL1084" s="9">
        <f>AL1083</f>
        <v>1029.411764705882</v>
      </c>
      <c r="AM1084" s="9">
        <f>SUM(AK1083:AL1084)</f>
        <v>13823.529411764703</v>
      </c>
      <c r="AN1084" s="256">
        <f>+AN1083</f>
        <v>2026</v>
      </c>
    </row>
    <row r="1085" spans="29:40">
      <c r="AC1085" s="266">
        <f t="shared" si="121"/>
        <v>2100000</v>
      </c>
      <c r="AD1085" s="266">
        <f t="shared" si="123"/>
        <v>0</v>
      </c>
      <c r="AE1085" s="266">
        <v>42000</v>
      </c>
      <c r="AF1085" s="350"/>
      <c r="AG1085" s="349">
        <f>+AG1083+1</f>
        <v>2023</v>
      </c>
      <c r="AJ1085" s="266">
        <f t="shared" si="122"/>
        <v>70588.235294117621</v>
      </c>
      <c r="AK1085" s="266">
        <f t="shared" si="124"/>
        <v>0</v>
      </c>
      <c r="AL1085" s="266">
        <f>AJ1085*0.025/2</f>
        <v>882.35294117647027</v>
      </c>
      <c r="AM1085" s="350"/>
      <c r="AN1085" s="349">
        <f>+AN1083+1</f>
        <v>2027</v>
      </c>
    </row>
    <row r="1086" spans="29:40" ht="15.75">
      <c r="AC1086" s="9">
        <f t="shared" si="121"/>
        <v>2100000</v>
      </c>
      <c r="AD1086" s="9">
        <f t="shared" si="123"/>
        <v>350000</v>
      </c>
      <c r="AE1086" s="9">
        <f>AE1085</f>
        <v>42000</v>
      </c>
      <c r="AF1086" s="9">
        <f>SUM(AD1085:AE1086)</f>
        <v>434000</v>
      </c>
      <c r="AG1086" s="256">
        <f>+AG1085</f>
        <v>2023</v>
      </c>
      <c r="AJ1086" s="9">
        <f t="shared" si="122"/>
        <v>70588.235294117621</v>
      </c>
      <c r="AK1086" s="9">
        <f t="shared" si="124"/>
        <v>11764.705882352941</v>
      </c>
      <c r="AL1086" s="9">
        <f>AL1085</f>
        <v>882.35294117647027</v>
      </c>
      <c r="AM1086" s="9">
        <f>SUM(AK1085:AL1086)</f>
        <v>13529.411764705881</v>
      </c>
      <c r="AN1086" s="256">
        <f>+AN1085</f>
        <v>2027</v>
      </c>
    </row>
    <row r="1087" spans="29:40">
      <c r="AC1087" s="266">
        <f t="shared" si="121"/>
        <v>1750000</v>
      </c>
      <c r="AD1087" s="266">
        <f t="shared" si="123"/>
        <v>0</v>
      </c>
      <c r="AE1087" s="266">
        <v>35000</v>
      </c>
      <c r="AF1087" s="350"/>
      <c r="AG1087" s="349">
        <f>+AG1085+1</f>
        <v>2024</v>
      </c>
      <c r="AJ1087" s="266">
        <f t="shared" si="122"/>
        <v>58823.529411764684</v>
      </c>
      <c r="AK1087" s="266">
        <f t="shared" si="124"/>
        <v>0</v>
      </c>
      <c r="AL1087" s="266">
        <f>AJ1087*0.025/2</f>
        <v>735.29411764705856</v>
      </c>
      <c r="AM1087" s="350"/>
      <c r="AN1087" s="349">
        <f>+AN1085+1</f>
        <v>2028</v>
      </c>
    </row>
    <row r="1088" spans="29:40" ht="15.75">
      <c r="AC1088" s="9">
        <f t="shared" si="121"/>
        <v>1750000</v>
      </c>
      <c r="AD1088" s="9">
        <f t="shared" si="123"/>
        <v>350000</v>
      </c>
      <c r="AE1088" s="9">
        <f>AE1087</f>
        <v>35000</v>
      </c>
      <c r="AF1088" s="9">
        <f>SUM(AD1087:AE1088)</f>
        <v>420000</v>
      </c>
      <c r="AG1088" s="256">
        <f>+AG1087</f>
        <v>2024</v>
      </c>
      <c r="AJ1088" s="9">
        <f t="shared" si="122"/>
        <v>58823.529411764684</v>
      </c>
      <c r="AK1088" s="9">
        <f t="shared" si="124"/>
        <v>11764.705882352941</v>
      </c>
      <c r="AL1088" s="9">
        <f>AL1087</f>
        <v>735.29411764705856</v>
      </c>
      <c r="AM1088" s="9">
        <f>SUM(AK1087:AL1088)</f>
        <v>13235.294117647059</v>
      </c>
      <c r="AN1088" s="256">
        <f>+AN1087</f>
        <v>2028</v>
      </c>
    </row>
    <row r="1089" spans="20:40">
      <c r="AC1089" s="266">
        <f t="shared" si="121"/>
        <v>1400000</v>
      </c>
      <c r="AD1089" s="266">
        <f t="shared" si="123"/>
        <v>0</v>
      </c>
      <c r="AE1089" s="266">
        <v>28000</v>
      </c>
      <c r="AF1089" s="350"/>
      <c r="AG1089" s="349">
        <f>+AG1087+1</f>
        <v>2025</v>
      </c>
      <c r="AJ1089" s="266">
        <f t="shared" si="122"/>
        <v>47058.823529411748</v>
      </c>
      <c r="AK1089" s="266">
        <f t="shared" si="124"/>
        <v>0</v>
      </c>
      <c r="AL1089" s="266">
        <f>AJ1089*0.025/2</f>
        <v>588.23529411764684</v>
      </c>
      <c r="AM1089" s="350"/>
      <c r="AN1089" s="349">
        <f>+AN1087+1</f>
        <v>2029</v>
      </c>
    </row>
    <row r="1090" spans="20:40" ht="15.75">
      <c r="AC1090" s="9">
        <f t="shared" si="121"/>
        <v>1400000</v>
      </c>
      <c r="AD1090" s="9">
        <f t="shared" si="123"/>
        <v>350000</v>
      </c>
      <c r="AE1090" s="9">
        <f>AE1089</f>
        <v>28000</v>
      </c>
      <c r="AF1090" s="9">
        <f>SUM(AD1089:AE1090)</f>
        <v>406000</v>
      </c>
      <c r="AG1090" s="256">
        <f>+AG1089</f>
        <v>2025</v>
      </c>
      <c r="AJ1090" s="9">
        <f t="shared" si="122"/>
        <v>47058.823529411748</v>
      </c>
      <c r="AK1090" s="9">
        <f t="shared" si="124"/>
        <v>11764.705882352941</v>
      </c>
      <c r="AL1090" s="9">
        <f>AL1089</f>
        <v>588.23529411764684</v>
      </c>
      <c r="AM1090" s="9">
        <f>SUM(AK1089:AL1090)</f>
        <v>12941.176470588234</v>
      </c>
      <c r="AN1090" s="256">
        <f>+AN1089</f>
        <v>2029</v>
      </c>
    </row>
    <row r="1091" spans="20:40">
      <c r="AC1091" s="266">
        <f t="shared" si="121"/>
        <v>1050000</v>
      </c>
      <c r="AD1091" s="266">
        <f t="shared" si="123"/>
        <v>0</v>
      </c>
      <c r="AE1091" s="266">
        <v>21000</v>
      </c>
      <c r="AF1091" s="350"/>
      <c r="AG1091" s="349">
        <f>+AG1089+1</f>
        <v>2026</v>
      </c>
      <c r="AJ1091" s="266">
        <f t="shared" si="122"/>
        <v>35294.117647058811</v>
      </c>
      <c r="AK1091" s="266">
        <f t="shared" si="124"/>
        <v>0</v>
      </c>
      <c r="AL1091" s="266">
        <f>AJ1091*0.025/2</f>
        <v>441.17647058823513</v>
      </c>
      <c r="AM1091" s="350"/>
      <c r="AN1091" s="349">
        <f>+AN1089+1</f>
        <v>2030</v>
      </c>
    </row>
    <row r="1092" spans="20:40" ht="15.75">
      <c r="AC1092" s="9">
        <f t="shared" si="121"/>
        <v>1050000</v>
      </c>
      <c r="AD1092" s="9">
        <f t="shared" si="123"/>
        <v>350000</v>
      </c>
      <c r="AE1092" s="9">
        <f>AE1091</f>
        <v>21000</v>
      </c>
      <c r="AF1092" s="9">
        <f>SUM(AD1091:AE1092)</f>
        <v>392000</v>
      </c>
      <c r="AG1092" s="256">
        <f>+AG1091</f>
        <v>2026</v>
      </c>
      <c r="AJ1092" s="9">
        <f t="shared" si="122"/>
        <v>35294.117647058811</v>
      </c>
      <c r="AK1092" s="9">
        <f t="shared" si="124"/>
        <v>11764.705882352941</v>
      </c>
      <c r="AL1092" s="9">
        <f>AL1091</f>
        <v>441.17647058823513</v>
      </c>
      <c r="AM1092" s="9">
        <f>SUM(AK1091:AL1092)</f>
        <v>12647.058823529409</v>
      </c>
      <c r="AN1092" s="256">
        <f>+AN1091</f>
        <v>2030</v>
      </c>
    </row>
    <row r="1093" spans="20:40">
      <c r="AC1093" s="266">
        <f t="shared" si="121"/>
        <v>700000</v>
      </c>
      <c r="AD1093" s="266">
        <f t="shared" si="123"/>
        <v>0</v>
      </c>
      <c r="AE1093" s="266">
        <v>14000</v>
      </c>
      <c r="AF1093" s="350"/>
      <c r="AG1093" s="349">
        <f>+AG1091+1</f>
        <v>2027</v>
      </c>
      <c r="AJ1093" s="266">
        <f t="shared" si="122"/>
        <v>23529.41176470587</v>
      </c>
      <c r="AK1093" s="266">
        <f t="shared" si="124"/>
        <v>0</v>
      </c>
      <c r="AL1093" s="266">
        <f>AJ1093*0.025/2</f>
        <v>294.11764705882337</v>
      </c>
      <c r="AM1093" s="350"/>
      <c r="AN1093" s="349">
        <f>+AN1091+1</f>
        <v>2031</v>
      </c>
    </row>
    <row r="1094" spans="20:40" ht="15.75">
      <c r="AC1094" s="9">
        <f t="shared" si="121"/>
        <v>700000</v>
      </c>
      <c r="AD1094" s="9">
        <f t="shared" si="123"/>
        <v>350000</v>
      </c>
      <c r="AE1094" s="9">
        <f>AE1093</f>
        <v>14000</v>
      </c>
      <c r="AF1094" s="9">
        <f>SUM(AD1093:AE1094)</f>
        <v>378000</v>
      </c>
      <c r="AG1094" s="256">
        <f>+AG1093</f>
        <v>2027</v>
      </c>
      <c r="AJ1094" s="9">
        <f t="shared" si="122"/>
        <v>23529.41176470587</v>
      </c>
      <c r="AK1094" s="9">
        <f t="shared" si="124"/>
        <v>11764.705882352941</v>
      </c>
      <c r="AL1094" s="9">
        <f>AL1093</f>
        <v>294.11764705882337</v>
      </c>
      <c r="AM1094" s="9">
        <f>SUM(AK1093:AL1094)</f>
        <v>12352.941176470587</v>
      </c>
      <c r="AN1094" s="256">
        <f>+AN1093</f>
        <v>2031</v>
      </c>
    </row>
    <row r="1095" spans="20:40">
      <c r="AC1095" s="266">
        <f t="shared" si="121"/>
        <v>350000</v>
      </c>
      <c r="AD1095" s="266">
        <f t="shared" si="123"/>
        <v>0</v>
      </c>
      <c r="AE1095" s="266">
        <v>7000</v>
      </c>
      <c r="AF1095" s="350"/>
      <c r="AG1095" s="349">
        <f>+AG1093+1</f>
        <v>2028</v>
      </c>
      <c r="AJ1095" s="266">
        <f t="shared" si="122"/>
        <v>11764.70588235293</v>
      </c>
      <c r="AK1095" s="266">
        <f t="shared" si="124"/>
        <v>0</v>
      </c>
      <c r="AL1095" s="266">
        <f>AJ1095*0.025/2</f>
        <v>147.05882352941163</v>
      </c>
      <c r="AM1095" s="350"/>
      <c r="AN1095" s="349">
        <f>+AN1093+1</f>
        <v>2032</v>
      </c>
    </row>
    <row r="1096" spans="20:40" ht="15.75">
      <c r="AC1096" s="9">
        <f t="shared" si="121"/>
        <v>350000</v>
      </c>
      <c r="AD1096" s="9">
        <f t="shared" si="123"/>
        <v>350000</v>
      </c>
      <c r="AE1096" s="9">
        <f>AE1095</f>
        <v>7000</v>
      </c>
      <c r="AF1096" s="9">
        <f>SUM(AD1095:AE1096)</f>
        <v>364000</v>
      </c>
      <c r="AG1096" s="256">
        <f>+AG1095</f>
        <v>2028</v>
      </c>
      <c r="AJ1096" s="9">
        <f t="shared" si="122"/>
        <v>11764.70588235293</v>
      </c>
      <c r="AK1096" s="9">
        <f t="shared" si="124"/>
        <v>11764.705882352941</v>
      </c>
      <c r="AL1096" s="9">
        <f>AL1095</f>
        <v>147.05882352941163</v>
      </c>
      <c r="AM1096" s="9">
        <f>SUM(AK1095:AL1096)</f>
        <v>12058.823529411762</v>
      </c>
      <c r="AN1096" s="256">
        <f>+AN1095</f>
        <v>2032</v>
      </c>
    </row>
    <row r="1097" spans="20:40">
      <c r="AC1097" s="266"/>
      <c r="AD1097" s="266"/>
      <c r="AE1097" s="266"/>
      <c r="AF1097" s="350"/>
      <c r="AG1097" s="349"/>
    </row>
    <row r="1098" spans="20:40" ht="15.75">
      <c r="AG1098" s="256"/>
      <c r="AK1098" s="9">
        <f>SUM(AK1060:AK1097)</f>
        <v>200000.00000000003</v>
      </c>
    </row>
    <row r="1099" spans="20:40">
      <c r="T1099" s="11" t="s">
        <v>499</v>
      </c>
      <c r="U1099" s="9" t="s">
        <v>500</v>
      </c>
      <c r="V1099" s="9" t="s">
        <v>501</v>
      </c>
      <c r="Y1099" s="344"/>
      <c r="AB1099" s="11"/>
      <c r="AC1099" s="9" t="s">
        <v>500</v>
      </c>
      <c r="AD1099" s="9" t="s">
        <v>501</v>
      </c>
      <c r="AG1099" s="344"/>
    </row>
    <row r="1100" spans="20:40">
      <c r="T1100" s="11" t="s">
        <v>39</v>
      </c>
      <c r="U1100" s="9">
        <v>454020</v>
      </c>
      <c r="V1100" s="342"/>
      <c r="W1100" s="342"/>
      <c r="X1100" s="342"/>
      <c r="Y1100" s="344"/>
      <c r="AB1100" s="11" t="s">
        <v>39</v>
      </c>
      <c r="AC1100" s="9">
        <v>3765180</v>
      </c>
      <c r="AD1100" s="342">
        <f>AC1100-263653</f>
        <v>3501527</v>
      </c>
      <c r="AE1100" s="342"/>
      <c r="AF1100" s="342"/>
      <c r="AG1100" s="344"/>
    </row>
    <row r="1101" spans="20:40">
      <c r="T1101" s="11" t="s">
        <v>40</v>
      </c>
      <c r="U1101" s="335">
        <v>0.02</v>
      </c>
      <c r="V1101" s="335" t="s">
        <v>37</v>
      </c>
      <c r="Y1101" s="344"/>
      <c r="AB1101" s="11" t="s">
        <v>40</v>
      </c>
      <c r="AC1101" s="335">
        <v>0.02</v>
      </c>
      <c r="AD1101" s="335">
        <v>2.5000000000000001E-2</v>
      </c>
      <c r="AG1101" s="344"/>
    </row>
    <row r="1102" spans="20:40">
      <c r="T1102" s="11" t="s">
        <v>41</v>
      </c>
      <c r="U1102" s="9">
        <v>15</v>
      </c>
      <c r="V1102" s="335"/>
      <c r="Y1102" s="344"/>
      <c r="AB1102" s="11" t="s">
        <v>41</v>
      </c>
      <c r="AC1102" s="9">
        <v>15</v>
      </c>
      <c r="AD1102" s="335"/>
      <c r="AG1102" s="344"/>
    </row>
    <row r="1103" spans="20:40">
      <c r="T1103" s="11"/>
      <c r="U1103" s="342" t="s">
        <v>43</v>
      </c>
      <c r="V1103" s="342" t="s">
        <v>44</v>
      </c>
      <c r="W1103" s="341" t="s">
        <v>45</v>
      </c>
      <c r="X1103" s="341" t="s">
        <v>46</v>
      </c>
      <c r="Y1103" s="338" t="s">
        <v>47</v>
      </c>
      <c r="AB1103" s="11"/>
      <c r="AC1103" s="342" t="s">
        <v>43</v>
      </c>
      <c r="AD1103" s="342" t="s">
        <v>44</v>
      </c>
      <c r="AE1103" s="341" t="s">
        <v>45</v>
      </c>
      <c r="AF1103" s="341" t="s">
        <v>46</v>
      </c>
      <c r="AG1103" s="338" t="s">
        <v>47</v>
      </c>
    </row>
    <row r="1104" spans="20:40">
      <c r="T1104" s="11"/>
      <c r="U1104" s="266">
        <f>U1100</f>
        <v>454020</v>
      </c>
      <c r="V1104" s="266"/>
      <c r="W1104" s="9">
        <v>0</v>
      </c>
      <c r="X1104" s="350"/>
      <c r="Y1104" s="366">
        <v>2014</v>
      </c>
      <c r="AB1104" s="11"/>
      <c r="AC1104" s="266">
        <f>AC1100</f>
        <v>3765180</v>
      </c>
      <c r="AD1104" s="266"/>
      <c r="AE1104" s="9">
        <v>0</v>
      </c>
      <c r="AF1104" s="350"/>
      <c r="AG1104" s="366">
        <v>2014</v>
      </c>
    </row>
    <row r="1105" spans="20:34" ht="15.75">
      <c r="T1105" s="11"/>
      <c r="U1105" s="9">
        <f>U1104-V1104</f>
        <v>454020</v>
      </c>
      <c r="V1105" s="9">
        <v>0</v>
      </c>
      <c r="W1105" s="9">
        <v>0</v>
      </c>
      <c r="X1105" s="9">
        <f>SUM(V1104:W1105)</f>
        <v>0</v>
      </c>
      <c r="Y1105" s="256">
        <f>+Y1104</f>
        <v>2014</v>
      </c>
      <c r="AB1105" s="11"/>
      <c r="AC1105" s="9">
        <f t="shared" ref="AC1105:AC1133" si="125">AC1104-AD1104</f>
        <v>3765180</v>
      </c>
      <c r="AD1105" s="9">
        <v>0</v>
      </c>
      <c r="AE1105" s="9">
        <f>AC1105*$AC$1101/2</f>
        <v>37651.800000000003</v>
      </c>
      <c r="AF1105" s="9">
        <f>SUM(AD1104:AE1105)</f>
        <v>37651.800000000003</v>
      </c>
      <c r="AG1105" s="256">
        <f>+AG1104</f>
        <v>2014</v>
      </c>
    </row>
    <row r="1106" spans="20:34">
      <c r="T1106" s="11"/>
      <c r="U1106" s="266">
        <f>U1105-V1105</f>
        <v>454020</v>
      </c>
      <c r="V1106" s="266"/>
      <c r="W1106" s="266">
        <v>0</v>
      </c>
      <c r="X1106" s="350"/>
      <c r="Y1106" s="349">
        <f>+Y1104+1</f>
        <v>2015</v>
      </c>
      <c r="AB1106" s="11"/>
      <c r="AC1106" s="266">
        <f t="shared" si="125"/>
        <v>3765180</v>
      </c>
      <c r="AD1106" s="266"/>
      <c r="AE1106" s="266">
        <f>AC1106*$AC$1101/2</f>
        <v>37651.800000000003</v>
      </c>
      <c r="AF1106" s="350"/>
      <c r="AG1106" s="349">
        <f>+AG1104+1</f>
        <v>2015</v>
      </c>
    </row>
    <row r="1107" spans="20:34" ht="15.75">
      <c r="U1107" s="9">
        <f>U1106-V1106</f>
        <v>454020</v>
      </c>
      <c r="V1107" s="9">
        <v>0</v>
      </c>
      <c r="W1107" s="266">
        <v>0</v>
      </c>
      <c r="X1107" s="9">
        <f>SUM(V1106:W1107)</f>
        <v>0</v>
      </c>
      <c r="Y1107" s="256">
        <f>+Y1106</f>
        <v>2015</v>
      </c>
      <c r="AC1107" s="9">
        <f t="shared" si="125"/>
        <v>3765180</v>
      </c>
      <c r="AD1107" s="9">
        <v>0</v>
      </c>
      <c r="AE1107" s="266">
        <f>AC1107*$AC$1101/2</f>
        <v>37651.800000000003</v>
      </c>
      <c r="AF1107" s="9">
        <f>SUM(AD1106:AE1107)</f>
        <v>75303.600000000006</v>
      </c>
      <c r="AG1107" s="256">
        <f>+AG1106</f>
        <v>2015</v>
      </c>
    </row>
    <row r="1108" spans="20:34">
      <c r="T1108" s="11"/>
      <c r="U1108" s="266">
        <v>454020</v>
      </c>
      <c r="V1108" s="266"/>
      <c r="W1108" s="266">
        <v>0</v>
      </c>
      <c r="X1108" s="350"/>
      <c r="Y1108" s="349">
        <f>+Y1106+1</f>
        <v>2016</v>
      </c>
      <c r="AB1108" s="11"/>
      <c r="AC1108" s="266">
        <f>AD1100</f>
        <v>3501527</v>
      </c>
      <c r="AD1108" s="266"/>
      <c r="AE1108" s="266">
        <v>0</v>
      </c>
      <c r="AF1108" s="350"/>
      <c r="AG1108" s="349">
        <f>+AG1106+1</f>
        <v>2016</v>
      </c>
    </row>
    <row r="1109" spans="20:34" ht="15.75">
      <c r="T1109" s="11"/>
      <c r="U1109" s="9">
        <f t="shared" ref="U1109:U1133" si="126">U1108-V1108</f>
        <v>454020</v>
      </c>
      <c r="V1109" s="9">
        <f>(U1109/13)+Z1109</f>
        <v>34931.615384615383</v>
      </c>
      <c r="W1109" s="266">
        <v>20262.13</v>
      </c>
      <c r="X1109" s="9">
        <f>SUM(V1108:W1109)</f>
        <v>55193.74538461538</v>
      </c>
      <c r="Y1109" s="256">
        <f>+Y1108</f>
        <v>2016</v>
      </c>
      <c r="Z1109" s="9">
        <v>7</v>
      </c>
      <c r="AB1109" s="11"/>
      <c r="AC1109" s="9">
        <f t="shared" si="125"/>
        <v>3501527</v>
      </c>
      <c r="AD1109" s="9">
        <f>(AC1109/13)+AH1109</f>
        <v>269351.23076923075</v>
      </c>
      <c r="AE1109" s="266">
        <v>156266.88</v>
      </c>
      <c r="AF1109" s="9">
        <f>SUM(AD1108:AE1109)</f>
        <v>425618.11076923076</v>
      </c>
      <c r="AG1109" s="256">
        <f>+AG1108</f>
        <v>2016</v>
      </c>
      <c r="AH1109" s="9">
        <v>3</v>
      </c>
    </row>
    <row r="1110" spans="20:34">
      <c r="U1110" s="266">
        <f t="shared" si="126"/>
        <v>419088.38461538462</v>
      </c>
      <c r="V1110" s="266">
        <f t="shared" ref="V1110:V1133" si="127">V1108</f>
        <v>0</v>
      </c>
      <c r="W1110" s="266">
        <v>9429.48</v>
      </c>
      <c r="X1110" s="350"/>
      <c r="Y1110" s="349">
        <f>+Y1108+1</f>
        <v>2017</v>
      </c>
      <c r="AC1110" s="266">
        <f t="shared" si="125"/>
        <v>3232175.769230769</v>
      </c>
      <c r="AD1110" s="266">
        <f t="shared" ref="AD1110:AD1133" si="128">AD1108</f>
        <v>0</v>
      </c>
      <c r="AE1110" s="266">
        <v>72723.960000000006</v>
      </c>
      <c r="AF1110" s="350"/>
      <c r="AG1110" s="349">
        <f>+AG1108+1</f>
        <v>2017</v>
      </c>
    </row>
    <row r="1111" spans="20:34" ht="15.75">
      <c r="U1111" s="9">
        <f t="shared" si="126"/>
        <v>419088.38461538462</v>
      </c>
      <c r="V1111" s="9">
        <v>34924</v>
      </c>
      <c r="W1111" s="266">
        <f>W1110</f>
        <v>9429.48</v>
      </c>
      <c r="X1111" s="9">
        <f>SUM(V1110:W1111)</f>
        <v>53782.959999999992</v>
      </c>
      <c r="Y1111" s="256">
        <f>+Y1110</f>
        <v>2017</v>
      </c>
      <c r="AC1111" s="9">
        <f t="shared" si="125"/>
        <v>3232175.769230769</v>
      </c>
      <c r="AD1111" s="9">
        <v>269348</v>
      </c>
      <c r="AE1111" s="266">
        <f>AE1110</f>
        <v>72723.960000000006</v>
      </c>
      <c r="AF1111" s="9">
        <f>SUM(AD1110:AE1111)</f>
        <v>414795.92000000004</v>
      </c>
      <c r="AG1111" s="256">
        <f>+AG1110</f>
        <v>2017</v>
      </c>
    </row>
    <row r="1112" spans="20:34">
      <c r="U1112" s="266">
        <f t="shared" si="126"/>
        <v>384164.38461538462</v>
      </c>
      <c r="V1112" s="266">
        <f t="shared" si="127"/>
        <v>0</v>
      </c>
      <c r="W1112" s="266">
        <v>8556.3799999999992</v>
      </c>
      <c r="X1112" s="350"/>
      <c r="Y1112" s="349">
        <f>+Y1110+1</f>
        <v>2018</v>
      </c>
      <c r="AC1112" s="266">
        <f t="shared" si="125"/>
        <v>2962827.769230769</v>
      </c>
      <c r="AD1112" s="266">
        <f t="shared" si="128"/>
        <v>0</v>
      </c>
      <c r="AE1112" s="266">
        <v>65990.259999999995</v>
      </c>
      <c r="AF1112" s="350"/>
      <c r="AG1112" s="349">
        <f>+AG1110+1</f>
        <v>2018</v>
      </c>
    </row>
    <row r="1113" spans="20:34" ht="15.75">
      <c r="U1113" s="9">
        <f t="shared" si="126"/>
        <v>384164.38461538462</v>
      </c>
      <c r="V1113" s="9">
        <f t="shared" si="127"/>
        <v>34924</v>
      </c>
      <c r="W1113" s="266">
        <f>W1112</f>
        <v>8556.3799999999992</v>
      </c>
      <c r="X1113" s="9">
        <f>SUM(V1112:W1113)</f>
        <v>52036.759999999995</v>
      </c>
      <c r="Y1113" s="256">
        <f>+Y1112</f>
        <v>2018</v>
      </c>
      <c r="AC1113" s="9">
        <f t="shared" si="125"/>
        <v>2962827.769230769</v>
      </c>
      <c r="AD1113" s="9">
        <f t="shared" si="128"/>
        <v>269348</v>
      </c>
      <c r="AE1113" s="266">
        <f>AE1112</f>
        <v>65990.259999999995</v>
      </c>
      <c r="AF1113" s="9">
        <f>SUM(AD1112:AE1113)</f>
        <v>401328.52</v>
      </c>
      <c r="AG1113" s="256">
        <f>+AG1112</f>
        <v>2018</v>
      </c>
    </row>
    <row r="1114" spans="20:34">
      <c r="U1114" s="266">
        <f t="shared" si="126"/>
        <v>349240.38461538462</v>
      </c>
      <c r="V1114" s="266">
        <f t="shared" si="127"/>
        <v>0</v>
      </c>
      <c r="W1114" s="266">
        <v>7683.28</v>
      </c>
      <c r="X1114" s="350"/>
      <c r="Y1114" s="349">
        <f>+Y1112+1</f>
        <v>2019</v>
      </c>
      <c r="AC1114" s="266">
        <f t="shared" si="125"/>
        <v>2693479.769230769</v>
      </c>
      <c r="AD1114" s="266">
        <f t="shared" si="128"/>
        <v>0</v>
      </c>
      <c r="AE1114" s="266">
        <v>59256.56</v>
      </c>
      <c r="AF1114" s="350"/>
      <c r="AG1114" s="349">
        <f>+AG1112+1</f>
        <v>2019</v>
      </c>
    </row>
    <row r="1115" spans="20:34" ht="15.75">
      <c r="U1115" s="9">
        <f t="shared" si="126"/>
        <v>349240.38461538462</v>
      </c>
      <c r="V1115" s="9">
        <f t="shared" si="127"/>
        <v>34924</v>
      </c>
      <c r="W1115" s="266">
        <f>W1114</f>
        <v>7683.28</v>
      </c>
      <c r="X1115" s="9">
        <f>SUM(V1114:W1115)</f>
        <v>50290.559999999998</v>
      </c>
      <c r="Y1115" s="256">
        <f>+Y1114</f>
        <v>2019</v>
      </c>
      <c r="AC1115" s="9">
        <f t="shared" si="125"/>
        <v>2693479.769230769</v>
      </c>
      <c r="AD1115" s="9">
        <f t="shared" si="128"/>
        <v>269348</v>
      </c>
      <c r="AE1115" s="266">
        <f>AE1114</f>
        <v>59256.56</v>
      </c>
      <c r="AF1115" s="9">
        <f>SUM(AD1114:AE1115)</f>
        <v>387861.12</v>
      </c>
      <c r="AG1115" s="256">
        <f>+AG1114</f>
        <v>2019</v>
      </c>
    </row>
    <row r="1116" spans="20:34">
      <c r="U1116" s="266">
        <f t="shared" si="126"/>
        <v>314316.38461538462</v>
      </c>
      <c r="V1116" s="266">
        <f t="shared" si="127"/>
        <v>0</v>
      </c>
      <c r="W1116" s="266">
        <v>6810.18</v>
      </c>
      <c r="X1116" s="350"/>
      <c r="Y1116" s="349">
        <f>+Y1114+1</f>
        <v>2020</v>
      </c>
      <c r="AC1116" s="266">
        <f t="shared" si="125"/>
        <v>2424131.769230769</v>
      </c>
      <c r="AD1116" s="266">
        <f t="shared" si="128"/>
        <v>0</v>
      </c>
      <c r="AE1116" s="266">
        <v>52522.86</v>
      </c>
      <c r="AF1116" s="350"/>
      <c r="AG1116" s="349">
        <f>+AG1114+1</f>
        <v>2020</v>
      </c>
    </row>
    <row r="1117" spans="20:34" ht="15.75">
      <c r="U1117" s="9">
        <f t="shared" si="126"/>
        <v>314316.38461538462</v>
      </c>
      <c r="V1117" s="9">
        <f t="shared" si="127"/>
        <v>34924</v>
      </c>
      <c r="W1117" s="266">
        <f>W1116</f>
        <v>6810.18</v>
      </c>
      <c r="X1117" s="9">
        <f>SUM(V1116:W1117)</f>
        <v>48544.36</v>
      </c>
      <c r="Y1117" s="256">
        <f>+Y1116</f>
        <v>2020</v>
      </c>
      <c r="AC1117" s="9">
        <f t="shared" si="125"/>
        <v>2424131.769230769</v>
      </c>
      <c r="AD1117" s="9">
        <f t="shared" si="128"/>
        <v>269348</v>
      </c>
      <c r="AE1117" s="266">
        <f>AE1116</f>
        <v>52522.86</v>
      </c>
      <c r="AF1117" s="9">
        <f>SUM(AD1116:AE1117)</f>
        <v>374393.72</v>
      </c>
      <c r="AG1117" s="256">
        <f>+AG1116</f>
        <v>2020</v>
      </c>
    </row>
    <row r="1118" spans="20:34">
      <c r="U1118" s="266">
        <f t="shared" si="126"/>
        <v>279392.38461538462</v>
      </c>
      <c r="V1118" s="266">
        <f t="shared" si="127"/>
        <v>0</v>
      </c>
      <c r="W1118" s="266">
        <v>5937.08</v>
      </c>
      <c r="X1118" s="350"/>
      <c r="Y1118" s="349">
        <f>+Y1116+1</f>
        <v>2021</v>
      </c>
      <c r="AC1118" s="266">
        <f t="shared" si="125"/>
        <v>2154783.769230769</v>
      </c>
      <c r="AD1118" s="266">
        <f t="shared" si="128"/>
        <v>0</v>
      </c>
      <c r="AE1118" s="266">
        <v>45789.16</v>
      </c>
      <c r="AF1118" s="350"/>
      <c r="AG1118" s="349">
        <f>+AG1116+1</f>
        <v>2021</v>
      </c>
    </row>
    <row r="1119" spans="20:34" ht="15.75">
      <c r="U1119" s="9">
        <f t="shared" si="126"/>
        <v>279392.38461538462</v>
      </c>
      <c r="V1119" s="9">
        <f>V1117</f>
        <v>34924</v>
      </c>
      <c r="W1119" s="266">
        <f>W1118</f>
        <v>5937.08</v>
      </c>
      <c r="X1119" s="9">
        <f>SUM(V1118:W1119)</f>
        <v>46798.16</v>
      </c>
      <c r="Y1119" s="256">
        <f>+Y1118</f>
        <v>2021</v>
      </c>
      <c r="AC1119" s="9">
        <f t="shared" si="125"/>
        <v>2154783.769230769</v>
      </c>
      <c r="AD1119" s="9">
        <f>AD1117</f>
        <v>269348</v>
      </c>
      <c r="AE1119" s="266">
        <f>AE1118</f>
        <v>45789.16</v>
      </c>
      <c r="AF1119" s="9">
        <f>SUM(AD1118:AE1119)</f>
        <v>360926.32000000007</v>
      </c>
      <c r="AG1119" s="256">
        <f>+AG1118</f>
        <v>2021</v>
      </c>
    </row>
    <row r="1120" spans="20:34">
      <c r="U1120" s="266">
        <f t="shared" si="126"/>
        <v>244468.38461538462</v>
      </c>
      <c r="V1120" s="266">
        <f t="shared" si="127"/>
        <v>0</v>
      </c>
      <c r="W1120" s="266">
        <v>5063.9799999999996</v>
      </c>
      <c r="X1120" s="350"/>
      <c r="Y1120" s="349">
        <f>+Y1118+1</f>
        <v>2022</v>
      </c>
      <c r="AC1120" s="266">
        <f t="shared" si="125"/>
        <v>1885435.769230769</v>
      </c>
      <c r="AD1120" s="266">
        <f t="shared" si="128"/>
        <v>0</v>
      </c>
      <c r="AE1120" s="266">
        <v>39055.46</v>
      </c>
      <c r="AF1120" s="350"/>
      <c r="AG1120" s="349">
        <f>+AG1118+1</f>
        <v>2022</v>
      </c>
    </row>
    <row r="1121" spans="21:33" ht="15.75">
      <c r="U1121" s="9">
        <f t="shared" si="126"/>
        <v>244468.38461538462</v>
      </c>
      <c r="V1121" s="9">
        <f t="shared" si="127"/>
        <v>34924</v>
      </c>
      <c r="W1121" s="266">
        <f>W1120</f>
        <v>5063.9799999999996</v>
      </c>
      <c r="X1121" s="9">
        <f>SUM(V1120:W1121)</f>
        <v>45051.959999999992</v>
      </c>
      <c r="Y1121" s="256">
        <f>+Y1120</f>
        <v>2022</v>
      </c>
      <c r="AC1121" s="9">
        <f t="shared" si="125"/>
        <v>1885435.769230769</v>
      </c>
      <c r="AD1121" s="9">
        <f t="shared" si="128"/>
        <v>269348</v>
      </c>
      <c r="AE1121" s="266">
        <f>AE1120</f>
        <v>39055.46</v>
      </c>
      <c r="AF1121" s="9">
        <f>SUM(AD1120:AE1121)</f>
        <v>347458.92000000004</v>
      </c>
      <c r="AG1121" s="256">
        <f>+AG1120</f>
        <v>2022</v>
      </c>
    </row>
    <row r="1122" spans="21:33">
      <c r="U1122" s="266">
        <f t="shared" si="126"/>
        <v>209544.38461538462</v>
      </c>
      <c r="V1122" s="266">
        <f t="shared" si="127"/>
        <v>0</v>
      </c>
      <c r="W1122" s="266">
        <v>4190.88</v>
      </c>
      <c r="X1122" s="350"/>
      <c r="Y1122" s="349">
        <f>+Y1120+1</f>
        <v>2023</v>
      </c>
      <c r="AC1122" s="266">
        <f t="shared" si="125"/>
        <v>1616087.769230769</v>
      </c>
      <c r="AD1122" s="266">
        <f t="shared" si="128"/>
        <v>0</v>
      </c>
      <c r="AE1122" s="266">
        <v>32321.759999999998</v>
      </c>
      <c r="AF1122" s="350"/>
      <c r="AG1122" s="349">
        <f>+AG1120+1</f>
        <v>2023</v>
      </c>
    </row>
    <row r="1123" spans="21:33" ht="15.75">
      <c r="U1123" s="9">
        <f t="shared" si="126"/>
        <v>209544.38461538462</v>
      </c>
      <c r="V1123" s="9">
        <f t="shared" si="127"/>
        <v>34924</v>
      </c>
      <c r="W1123" s="266">
        <f>W1122</f>
        <v>4190.88</v>
      </c>
      <c r="X1123" s="9">
        <f>SUM(V1122:W1123)</f>
        <v>43305.759999999995</v>
      </c>
      <c r="Y1123" s="256">
        <f>+Y1122</f>
        <v>2023</v>
      </c>
      <c r="AC1123" s="9">
        <f t="shared" si="125"/>
        <v>1616087.769230769</v>
      </c>
      <c r="AD1123" s="9">
        <f t="shared" si="128"/>
        <v>269348</v>
      </c>
      <c r="AE1123" s="266">
        <f>AE1122</f>
        <v>32321.759999999998</v>
      </c>
      <c r="AF1123" s="9">
        <f>SUM(AD1122:AE1123)</f>
        <v>333991.52</v>
      </c>
      <c r="AG1123" s="256">
        <f>+AG1122</f>
        <v>2023</v>
      </c>
    </row>
    <row r="1124" spans="21:33">
      <c r="U1124" s="266">
        <f t="shared" si="126"/>
        <v>174620.38461538462</v>
      </c>
      <c r="V1124" s="266">
        <f t="shared" si="127"/>
        <v>0</v>
      </c>
      <c r="W1124" s="266">
        <v>3317.78</v>
      </c>
      <c r="X1124" s="350"/>
      <c r="Y1124" s="349">
        <f>+Y1122+1</f>
        <v>2024</v>
      </c>
      <c r="AC1124" s="266">
        <f t="shared" si="125"/>
        <v>1346739.769230769</v>
      </c>
      <c r="AD1124" s="266">
        <f t="shared" si="128"/>
        <v>0</v>
      </c>
      <c r="AE1124" s="266">
        <v>25588.06</v>
      </c>
      <c r="AF1124" s="350"/>
      <c r="AG1124" s="349">
        <f>+AG1122+1</f>
        <v>2024</v>
      </c>
    </row>
    <row r="1125" spans="21:33" ht="15.75">
      <c r="U1125" s="9">
        <f t="shared" si="126"/>
        <v>174620.38461538462</v>
      </c>
      <c r="V1125" s="9">
        <f t="shared" si="127"/>
        <v>34924</v>
      </c>
      <c r="W1125" s="266">
        <f>W1124</f>
        <v>3317.78</v>
      </c>
      <c r="X1125" s="9">
        <f>SUM(V1124:W1125)</f>
        <v>41559.56</v>
      </c>
      <c r="Y1125" s="256">
        <f>+Y1124</f>
        <v>2024</v>
      </c>
      <c r="AC1125" s="9">
        <f t="shared" si="125"/>
        <v>1346739.769230769</v>
      </c>
      <c r="AD1125" s="9">
        <f t="shared" si="128"/>
        <v>269348</v>
      </c>
      <c r="AE1125" s="266">
        <f>AE1124</f>
        <v>25588.06</v>
      </c>
      <c r="AF1125" s="9">
        <f>SUM(AD1124:AE1125)</f>
        <v>320524.12</v>
      </c>
      <c r="AG1125" s="256">
        <f>+AG1124</f>
        <v>2024</v>
      </c>
    </row>
    <row r="1126" spans="21:33">
      <c r="U1126" s="266">
        <f t="shared" si="126"/>
        <v>139696.38461538462</v>
      </c>
      <c r="V1126" s="266">
        <f t="shared" si="127"/>
        <v>0</v>
      </c>
      <c r="W1126" s="266">
        <v>2619.3000000000002</v>
      </c>
      <c r="X1126" s="350"/>
      <c r="Y1126" s="349">
        <f>+Y1124+1</f>
        <v>2025</v>
      </c>
      <c r="AC1126" s="266">
        <f t="shared" si="125"/>
        <v>1077391.769230769</v>
      </c>
      <c r="AD1126" s="266">
        <f t="shared" si="128"/>
        <v>0</v>
      </c>
      <c r="AE1126" s="266">
        <v>20201.099999999999</v>
      </c>
      <c r="AF1126" s="350"/>
      <c r="AG1126" s="349">
        <f>+AG1124+1</f>
        <v>2025</v>
      </c>
    </row>
    <row r="1127" spans="21:33" ht="15.75">
      <c r="U1127" s="9">
        <f t="shared" si="126"/>
        <v>139696.38461538462</v>
      </c>
      <c r="V1127" s="9">
        <f>V1125</f>
        <v>34924</v>
      </c>
      <c r="W1127" s="266">
        <f>W1126</f>
        <v>2619.3000000000002</v>
      </c>
      <c r="X1127" s="9">
        <f>SUM(V1126:W1127)</f>
        <v>40162.600000000006</v>
      </c>
      <c r="Y1127" s="256">
        <f>+Y1126</f>
        <v>2025</v>
      </c>
      <c r="AC1127" s="9">
        <f t="shared" si="125"/>
        <v>1077391.769230769</v>
      </c>
      <c r="AD1127" s="9">
        <f>AD1125</f>
        <v>269348</v>
      </c>
      <c r="AE1127" s="266">
        <f>AE1126</f>
        <v>20201.099999999999</v>
      </c>
      <c r="AF1127" s="9">
        <f>SUM(AD1126:AE1127)</f>
        <v>309750.19999999995</v>
      </c>
      <c r="AG1127" s="256">
        <f>+AG1126</f>
        <v>2025</v>
      </c>
    </row>
    <row r="1128" spans="21:33">
      <c r="U1128" s="266">
        <f t="shared" si="126"/>
        <v>104772.38461538462</v>
      </c>
      <c r="V1128" s="266">
        <f t="shared" si="127"/>
        <v>0</v>
      </c>
      <c r="W1128" s="266">
        <v>1920.82</v>
      </c>
      <c r="X1128" s="350"/>
      <c r="Y1128" s="349">
        <f>+Y1126+1</f>
        <v>2026</v>
      </c>
      <c r="AC1128" s="266">
        <f t="shared" si="125"/>
        <v>808043.76923076902</v>
      </c>
      <c r="AD1128" s="266">
        <f t="shared" si="128"/>
        <v>0</v>
      </c>
      <c r="AE1128" s="266">
        <v>14814.14</v>
      </c>
      <c r="AF1128" s="350"/>
      <c r="AG1128" s="349">
        <f>+AG1126+1</f>
        <v>2026</v>
      </c>
    </row>
    <row r="1129" spans="21:33" ht="15.75">
      <c r="U1129" s="9">
        <f t="shared" si="126"/>
        <v>104772.38461538462</v>
      </c>
      <c r="V1129" s="9">
        <f t="shared" si="127"/>
        <v>34924</v>
      </c>
      <c r="W1129" s="266">
        <f>W1128</f>
        <v>1920.82</v>
      </c>
      <c r="X1129" s="9">
        <f>SUM(V1128:W1129)</f>
        <v>38765.64</v>
      </c>
      <c r="Y1129" s="256">
        <f>+Y1128</f>
        <v>2026</v>
      </c>
      <c r="AC1129" s="9">
        <f t="shared" si="125"/>
        <v>808043.76923076902</v>
      </c>
      <c r="AD1129" s="9">
        <f t="shared" si="128"/>
        <v>269348</v>
      </c>
      <c r="AE1129" s="266">
        <f>AE1128</f>
        <v>14814.14</v>
      </c>
      <c r="AF1129" s="9">
        <f>SUM(AD1128:AE1129)</f>
        <v>298976.28000000003</v>
      </c>
      <c r="AG1129" s="256">
        <f>+AG1128</f>
        <v>2026</v>
      </c>
    </row>
    <row r="1130" spans="21:33">
      <c r="U1130" s="266">
        <f t="shared" si="126"/>
        <v>69848.384615384624</v>
      </c>
      <c r="V1130" s="266">
        <f t="shared" si="127"/>
        <v>0</v>
      </c>
      <c r="W1130" s="266">
        <v>1222.3399999999999</v>
      </c>
      <c r="X1130" s="350"/>
      <c r="Y1130" s="349">
        <f>+Y1128+1</f>
        <v>2027</v>
      </c>
      <c r="AC1130" s="266">
        <f t="shared" si="125"/>
        <v>538695.76923076902</v>
      </c>
      <c r="AD1130" s="266">
        <f t="shared" si="128"/>
        <v>0</v>
      </c>
      <c r="AE1130" s="266">
        <v>9427.18</v>
      </c>
      <c r="AF1130" s="350"/>
      <c r="AG1130" s="349">
        <f>+AG1128+1</f>
        <v>2027</v>
      </c>
    </row>
    <row r="1131" spans="21:33" ht="15.75">
      <c r="U1131" s="9">
        <f t="shared" si="126"/>
        <v>69848.384615384624</v>
      </c>
      <c r="V1131" s="9">
        <f t="shared" si="127"/>
        <v>34924</v>
      </c>
      <c r="W1131" s="266">
        <f>W1130</f>
        <v>1222.3399999999999</v>
      </c>
      <c r="X1131" s="9">
        <f>SUM(V1130:W1131)</f>
        <v>37368.679999999993</v>
      </c>
      <c r="Y1131" s="256">
        <f>+Y1130</f>
        <v>2027</v>
      </c>
      <c r="AC1131" s="9">
        <f t="shared" si="125"/>
        <v>538695.76923076902</v>
      </c>
      <c r="AD1131" s="9">
        <f t="shared" si="128"/>
        <v>269348</v>
      </c>
      <c r="AE1131" s="266">
        <f>AE1130</f>
        <v>9427.18</v>
      </c>
      <c r="AF1131" s="9">
        <f>SUM(AD1130:AE1131)</f>
        <v>288202.36</v>
      </c>
      <c r="AG1131" s="256">
        <f>+AG1130</f>
        <v>2027</v>
      </c>
    </row>
    <row r="1132" spans="21:33">
      <c r="U1132" s="266">
        <f t="shared" si="126"/>
        <v>34924.384615384624</v>
      </c>
      <c r="V1132" s="266">
        <f t="shared" si="127"/>
        <v>0</v>
      </c>
      <c r="W1132" s="266">
        <v>523.86</v>
      </c>
      <c r="X1132" s="350"/>
      <c r="Y1132" s="349">
        <f>+Y1130+1</f>
        <v>2028</v>
      </c>
      <c r="AC1132" s="266">
        <f t="shared" si="125"/>
        <v>269347.76923076902</v>
      </c>
      <c r="AD1132" s="266">
        <f t="shared" si="128"/>
        <v>0</v>
      </c>
      <c r="AE1132" s="266">
        <v>4040.22</v>
      </c>
      <c r="AF1132" s="350"/>
      <c r="AG1132" s="349">
        <f>+AG1130+1</f>
        <v>2028</v>
      </c>
    </row>
    <row r="1133" spans="21:33" ht="15.75">
      <c r="U1133" s="9">
        <f t="shared" si="126"/>
        <v>34924.384615384624</v>
      </c>
      <c r="V1133" s="9">
        <f t="shared" si="127"/>
        <v>34924</v>
      </c>
      <c r="W1133" s="266">
        <f>W1132</f>
        <v>523.86</v>
      </c>
      <c r="X1133" s="9">
        <f>SUM(V1132:W1133)</f>
        <v>35971.72</v>
      </c>
      <c r="Y1133" s="256">
        <f>+Y1132</f>
        <v>2028</v>
      </c>
      <c r="AC1133" s="9">
        <f t="shared" si="125"/>
        <v>269347.76923076902</v>
      </c>
      <c r="AD1133" s="9">
        <f t="shared" si="128"/>
        <v>269348</v>
      </c>
      <c r="AE1133" s="266">
        <f>AE1132</f>
        <v>4040.22</v>
      </c>
      <c r="AF1133" s="9">
        <f>SUM(AD1132:AE1133)</f>
        <v>277428.43999999994</v>
      </c>
      <c r="AG1133" s="256">
        <f>+AG1132</f>
        <v>2028</v>
      </c>
    </row>
    <row r="1134" spans="21:33">
      <c r="U1134" s="266"/>
      <c r="V1134" s="266"/>
      <c r="W1134" s="266"/>
      <c r="X1134" s="350"/>
      <c r="Y1134" s="349"/>
      <c r="AC1134" s="266"/>
      <c r="AD1134" s="266"/>
      <c r="AE1134" s="266"/>
      <c r="AF1134" s="350"/>
      <c r="AG1134" s="349"/>
    </row>
    <row r="1135" spans="21:33" ht="15.75">
      <c r="W1135" s="266"/>
      <c r="Y1135" s="256"/>
      <c r="AE1135" s="266"/>
      <c r="AG1135" s="256"/>
    </row>
    <row r="1136" spans="21:33">
      <c r="U1136" s="266"/>
      <c r="V1136" s="266"/>
      <c r="W1136" s="266"/>
      <c r="X1136" s="350"/>
      <c r="Y1136" s="349"/>
      <c r="AC1136" s="266"/>
      <c r="AD1136" s="266"/>
      <c r="AE1136" s="266"/>
      <c r="AF1136" s="350"/>
      <c r="AG1136" s="349"/>
    </row>
    <row r="1137" spans="21:47" ht="15.75">
      <c r="W1137" s="266"/>
      <c r="Y1137" s="256"/>
      <c r="AE1137" s="266"/>
      <c r="AG1137" s="256"/>
    </row>
    <row r="1138" spans="21:47">
      <c r="U1138" s="266"/>
      <c r="V1138" s="266"/>
      <c r="W1138" s="266"/>
      <c r="X1138" s="350"/>
      <c r="Y1138" s="349"/>
      <c r="AC1138" s="266"/>
      <c r="AD1138" s="266"/>
      <c r="AE1138" s="266"/>
      <c r="AF1138" s="350"/>
      <c r="AG1138" s="349"/>
    </row>
    <row r="1139" spans="21:47" ht="15.75">
      <c r="W1139" s="266"/>
      <c r="Y1139" s="256"/>
      <c r="AE1139" s="266"/>
      <c r="AG1139" s="256"/>
    </row>
    <row r="1140" spans="21:47">
      <c r="U1140" s="266"/>
      <c r="V1140" s="266"/>
      <c r="W1140" s="266"/>
      <c r="X1140" s="350"/>
      <c r="Y1140" s="349"/>
      <c r="AC1140" s="266"/>
      <c r="AD1140" s="266"/>
      <c r="AE1140" s="266"/>
      <c r="AF1140" s="350"/>
      <c r="AG1140" s="349"/>
    </row>
    <row r="1141" spans="21:47" ht="15.75">
      <c r="W1141" s="266"/>
      <c r="Y1141" s="256"/>
      <c r="AE1141" s="266"/>
      <c r="AG1141" s="256"/>
    </row>
    <row r="1142" spans="21:47">
      <c r="U1142" s="266"/>
      <c r="V1142" s="266"/>
      <c r="W1142" s="266"/>
      <c r="X1142" s="350"/>
      <c r="Y1142" s="349"/>
      <c r="AC1142" s="266"/>
      <c r="AD1142" s="266"/>
      <c r="AE1142" s="266"/>
      <c r="AF1142" s="350"/>
      <c r="AG1142" s="349"/>
    </row>
    <row r="1143" spans="21:47" ht="15.75">
      <c r="W1143" s="266"/>
      <c r="Y1143" s="256"/>
      <c r="AE1143" s="266"/>
      <c r="AG1143" s="256"/>
    </row>
    <row r="1144" spans="21:47">
      <c r="U1144" s="266"/>
      <c r="V1144" s="266"/>
      <c r="W1144" s="266"/>
      <c r="X1144" s="350"/>
      <c r="Y1144" s="349"/>
      <c r="AC1144" s="266"/>
      <c r="AD1144" s="266"/>
      <c r="AE1144" s="266"/>
      <c r="AF1144" s="350"/>
      <c r="AG1144" s="349"/>
    </row>
    <row r="1145" spans="21:47" ht="15.75">
      <c r="W1145" s="266"/>
      <c r="Y1145" s="256"/>
      <c r="AE1145" s="266"/>
      <c r="AG1145" s="256"/>
    </row>
    <row r="1147" spans="21:47">
      <c r="V1147" s="9">
        <f>SUM(V1109:V1146)</f>
        <v>454019.61538461538</v>
      </c>
      <c r="W1147" s="9">
        <f>SUM(W1108:W1133)</f>
        <v>134812.84999999998</v>
      </c>
      <c r="X1147" s="9">
        <f>SUM(V1147:W1147)</f>
        <v>588832.46538461535</v>
      </c>
      <c r="AD1147" s="9">
        <f>SUM(AD1109:AD1146)</f>
        <v>3501527.230769231</v>
      </c>
      <c r="AE1147" s="9">
        <f>SUM(AE1108:AE1133)</f>
        <v>1039728.3200000002</v>
      </c>
      <c r="AF1147" s="9">
        <f>SUM(AD1147:AE1147)</f>
        <v>4541255.5507692313</v>
      </c>
    </row>
    <row r="1152" spans="21:47">
      <c r="AB1152" s="11"/>
      <c r="AC1152" s="9" t="s">
        <v>35</v>
      </c>
      <c r="AG1152" s="344"/>
      <c r="AI1152" s="11"/>
      <c r="AJ1152" s="9" t="s">
        <v>35</v>
      </c>
      <c r="AN1152" s="344"/>
      <c r="AP1152" s="11"/>
      <c r="AQ1152" s="9" t="s">
        <v>35</v>
      </c>
      <c r="AU1152" s="344"/>
    </row>
    <row r="1153" spans="28:47">
      <c r="AB1153" s="11" t="s">
        <v>39</v>
      </c>
      <c r="AC1153" s="9">
        <v>3750000</v>
      </c>
      <c r="AD1153" s="342"/>
      <c r="AE1153" s="342"/>
      <c r="AF1153" s="342"/>
      <c r="AG1153" s="344"/>
      <c r="AI1153" s="11" t="s">
        <v>39</v>
      </c>
      <c r="AJ1153" s="9">
        <v>3750000</v>
      </c>
      <c r="AK1153" s="342"/>
      <c r="AL1153" s="342"/>
      <c r="AM1153" s="342"/>
      <c r="AN1153" s="344"/>
      <c r="AP1153" s="11" t="s">
        <v>39</v>
      </c>
      <c r="AQ1153" s="9">
        <v>3750000</v>
      </c>
      <c r="AR1153" s="342"/>
      <c r="AS1153" s="342"/>
      <c r="AT1153" s="342"/>
      <c r="AU1153" s="344"/>
    </row>
    <row r="1154" spans="28:47">
      <c r="AB1154" s="11" t="s">
        <v>40</v>
      </c>
      <c r="AC1154" s="335">
        <v>0.04</v>
      </c>
      <c r="AD1154" s="335">
        <v>2.5000000000000001E-2</v>
      </c>
      <c r="AG1154" s="344"/>
      <c r="AI1154" s="11" t="s">
        <v>40</v>
      </c>
      <c r="AJ1154" s="335">
        <v>0.04</v>
      </c>
      <c r="AK1154" s="335">
        <v>2.5000000000000001E-2</v>
      </c>
      <c r="AN1154" s="344"/>
      <c r="AP1154" s="11" t="s">
        <v>40</v>
      </c>
      <c r="AQ1154" s="335">
        <v>0.04</v>
      </c>
      <c r="AR1154" s="335">
        <v>2.5000000000000001E-2</v>
      </c>
      <c r="AU1154" s="344"/>
    </row>
    <row r="1155" spans="28:47">
      <c r="AB1155" s="11" t="s">
        <v>41</v>
      </c>
      <c r="AC1155" s="9">
        <v>20</v>
      </c>
      <c r="AD1155" s="335"/>
      <c r="AG1155" s="344"/>
      <c r="AI1155" s="11" t="s">
        <v>41</v>
      </c>
      <c r="AJ1155" s="9">
        <v>20</v>
      </c>
      <c r="AK1155" s="335"/>
      <c r="AN1155" s="344"/>
      <c r="AP1155" s="11" t="s">
        <v>41</v>
      </c>
      <c r="AQ1155" s="9">
        <v>20</v>
      </c>
      <c r="AR1155" s="335"/>
      <c r="AU1155" s="344"/>
    </row>
    <row r="1156" spans="28:47">
      <c r="AB1156" s="11"/>
      <c r="AC1156" s="342" t="s">
        <v>43</v>
      </c>
      <c r="AD1156" s="342" t="s">
        <v>44</v>
      </c>
      <c r="AE1156" s="341" t="s">
        <v>45</v>
      </c>
      <c r="AF1156" s="341" t="s">
        <v>46</v>
      </c>
      <c r="AG1156" s="338" t="s">
        <v>47</v>
      </c>
      <c r="AI1156" s="11"/>
      <c r="AJ1156" s="342" t="s">
        <v>43</v>
      </c>
      <c r="AK1156" s="342" t="s">
        <v>44</v>
      </c>
      <c r="AL1156" s="341" t="s">
        <v>45</v>
      </c>
      <c r="AM1156" s="341" t="s">
        <v>46</v>
      </c>
      <c r="AN1156" s="338" t="s">
        <v>47</v>
      </c>
      <c r="AP1156" s="11"/>
      <c r="AQ1156" s="342" t="s">
        <v>43</v>
      </c>
      <c r="AR1156" s="342" t="s">
        <v>44</v>
      </c>
      <c r="AS1156" s="341" t="s">
        <v>45</v>
      </c>
      <c r="AT1156" s="341" t="s">
        <v>46</v>
      </c>
      <c r="AU1156" s="338" t="s">
        <v>47</v>
      </c>
    </row>
    <row r="1157" spans="28:47">
      <c r="AB1157" s="11"/>
      <c r="AC1157" s="266">
        <f>AC1153</f>
        <v>3750000</v>
      </c>
      <c r="AD1157" s="266"/>
      <c r="AE1157" s="266"/>
      <c r="AF1157" s="350"/>
      <c r="AG1157" s="366">
        <v>2014</v>
      </c>
      <c r="AI1157" s="11"/>
      <c r="AJ1157" s="266">
        <f>AJ1153</f>
        <v>3750000</v>
      </c>
      <c r="AK1157" s="266"/>
      <c r="AL1157" s="266"/>
      <c r="AM1157" s="350"/>
      <c r="AN1157" s="366">
        <v>2014</v>
      </c>
      <c r="AP1157" s="11"/>
      <c r="AQ1157" s="266">
        <f>AQ1153</f>
        <v>3750000</v>
      </c>
      <c r="AR1157" s="266"/>
      <c r="AS1157" s="266"/>
      <c r="AT1157" s="350"/>
      <c r="AU1157" s="366">
        <v>2014</v>
      </c>
    </row>
    <row r="1158" spans="28:47" ht="15.75">
      <c r="AB1158" s="11"/>
      <c r="AC1158" s="9">
        <f t="shared" ref="AC1158:AC1196" si="129">AC1157-AD1157</f>
        <v>3750000</v>
      </c>
      <c r="AF1158" s="9">
        <f>SUM(AD1157:AE1158)</f>
        <v>0</v>
      </c>
      <c r="AG1158" s="256">
        <f>+AG1157</f>
        <v>2014</v>
      </c>
      <c r="AI1158" s="11"/>
      <c r="AJ1158" s="9">
        <f t="shared" ref="AJ1158:AJ1196" si="130">AJ1157-AK1157</f>
        <v>3750000</v>
      </c>
      <c r="AM1158" s="9">
        <f>SUM(AK1157:AL1158)</f>
        <v>0</v>
      </c>
      <c r="AN1158" s="256">
        <f>+AN1157</f>
        <v>2014</v>
      </c>
      <c r="AP1158" s="11"/>
      <c r="AQ1158" s="9">
        <f t="shared" ref="AQ1158:AQ1196" si="131">AQ1157-AR1157</f>
        <v>3750000</v>
      </c>
      <c r="AT1158" s="9">
        <f>SUM(AR1157:AS1158)</f>
        <v>0</v>
      </c>
      <c r="AU1158" s="256">
        <f>+AU1157</f>
        <v>2014</v>
      </c>
    </row>
    <row r="1159" spans="28:47">
      <c r="AB1159" s="11"/>
      <c r="AC1159" s="266">
        <f t="shared" si="129"/>
        <v>3750000</v>
      </c>
      <c r="AD1159" s="266"/>
      <c r="AE1159" s="266">
        <v>0</v>
      </c>
      <c r="AF1159" s="350"/>
      <c r="AG1159" s="349">
        <f>+AG1157+1</f>
        <v>2015</v>
      </c>
      <c r="AI1159" s="11"/>
      <c r="AJ1159" s="266">
        <f t="shared" si="130"/>
        <v>3750000</v>
      </c>
      <c r="AK1159" s="266"/>
      <c r="AL1159" s="266">
        <v>0</v>
      </c>
      <c r="AM1159" s="350"/>
      <c r="AN1159" s="349">
        <f>+AN1157+1</f>
        <v>2015</v>
      </c>
      <c r="AP1159" s="11"/>
      <c r="AQ1159" s="266">
        <f t="shared" si="131"/>
        <v>3750000</v>
      </c>
      <c r="AR1159" s="266"/>
      <c r="AS1159" s="266">
        <v>0</v>
      </c>
      <c r="AT1159" s="350"/>
      <c r="AU1159" s="349">
        <f>+AU1157+1</f>
        <v>2015</v>
      </c>
    </row>
    <row r="1160" spans="28:47" ht="15.75">
      <c r="AC1160" s="9">
        <f t="shared" si="129"/>
        <v>3750000</v>
      </c>
      <c r="AD1160" s="9">
        <v>0</v>
      </c>
      <c r="AE1160" s="9">
        <v>380</v>
      </c>
      <c r="AF1160" s="9">
        <f>SUM(AD1159:AE1160)</f>
        <v>380</v>
      </c>
      <c r="AG1160" s="256">
        <f>+AG1159</f>
        <v>2015</v>
      </c>
      <c r="AJ1160" s="9">
        <f t="shared" si="130"/>
        <v>3750000</v>
      </c>
      <c r="AK1160" s="9">
        <v>0</v>
      </c>
      <c r="AL1160" s="9">
        <v>380</v>
      </c>
      <c r="AM1160" s="9">
        <f>SUM(AK1159:AL1160)</f>
        <v>380</v>
      </c>
      <c r="AN1160" s="256">
        <f>+AN1159</f>
        <v>2015</v>
      </c>
      <c r="AQ1160" s="9">
        <f t="shared" si="131"/>
        <v>3750000</v>
      </c>
      <c r="AR1160" s="9">
        <v>0</v>
      </c>
      <c r="AS1160" s="9">
        <v>380</v>
      </c>
      <c r="AT1160" s="9">
        <f>SUM(AR1159:AS1160)</f>
        <v>380</v>
      </c>
      <c r="AU1160" s="256">
        <f>+AU1159</f>
        <v>2015</v>
      </c>
    </row>
    <row r="1161" spans="28:47">
      <c r="AB1161" s="11"/>
      <c r="AC1161" s="266">
        <f t="shared" si="129"/>
        <v>3750000</v>
      </c>
      <c r="AD1161" s="266">
        <f t="shared" ref="AD1161:AD1196" si="132">AD1159</f>
        <v>0</v>
      </c>
      <c r="AE1161" s="266">
        <f>+AC1161*$AD$1154/2</f>
        <v>46875</v>
      </c>
      <c r="AF1161" s="350"/>
      <c r="AG1161" s="349">
        <f>+AG1159+1</f>
        <v>2016</v>
      </c>
      <c r="AI1161" s="11"/>
      <c r="AJ1161" s="266">
        <f t="shared" si="130"/>
        <v>3750000</v>
      </c>
      <c r="AK1161" s="266">
        <f t="shared" ref="AK1161:AK1196" si="133">AK1159</f>
        <v>0</v>
      </c>
      <c r="AL1161" s="266">
        <f>+AJ1161*$AD$1154/2</f>
        <v>46875</v>
      </c>
      <c r="AM1161" s="350"/>
      <c r="AN1161" s="349">
        <f>+AN1159+1</f>
        <v>2016</v>
      </c>
      <c r="AP1161" s="11"/>
      <c r="AQ1161" s="266">
        <f t="shared" si="131"/>
        <v>3750000</v>
      </c>
      <c r="AR1161" s="266">
        <f t="shared" ref="AR1161:AR1196" si="134">AR1159</f>
        <v>0</v>
      </c>
      <c r="AS1161" s="266">
        <f>+AQ1161*$AD$1154/2</f>
        <v>46875</v>
      </c>
      <c r="AT1161" s="350"/>
      <c r="AU1161" s="349">
        <f>+AU1159+1</f>
        <v>2016</v>
      </c>
    </row>
    <row r="1162" spans="28:47" ht="15.75">
      <c r="AB1162" s="11"/>
      <c r="AC1162" s="9">
        <f t="shared" si="129"/>
        <v>3750000</v>
      </c>
      <c r="AD1162" s="9">
        <v>1000</v>
      </c>
      <c r="AE1162" s="9">
        <f>AE1161</f>
        <v>46875</v>
      </c>
      <c r="AF1162" s="9">
        <f>SUM(AD1161:AE1162)</f>
        <v>94750</v>
      </c>
      <c r="AG1162" s="256">
        <f>+AG1161</f>
        <v>2016</v>
      </c>
      <c r="AI1162" s="11"/>
      <c r="AJ1162" s="9">
        <f t="shared" si="130"/>
        <v>3750000</v>
      </c>
      <c r="AK1162" s="9">
        <v>50000</v>
      </c>
      <c r="AL1162" s="9">
        <f>AL1161</f>
        <v>46875</v>
      </c>
      <c r="AM1162" s="9">
        <f>SUM(AK1161:AL1162)</f>
        <v>143750</v>
      </c>
      <c r="AN1162" s="256">
        <f>+AN1161</f>
        <v>2016</v>
      </c>
      <c r="AP1162" s="11"/>
      <c r="AQ1162" s="9">
        <f t="shared" si="131"/>
        <v>3750000</v>
      </c>
      <c r="AR1162" s="9">
        <v>100000</v>
      </c>
      <c r="AS1162" s="9">
        <f>AS1161</f>
        <v>46875</v>
      </c>
      <c r="AT1162" s="9">
        <f>SUM(AR1161:AS1162)</f>
        <v>193750</v>
      </c>
      <c r="AU1162" s="256">
        <f>+AU1161</f>
        <v>2016</v>
      </c>
    </row>
    <row r="1163" spans="28:47">
      <c r="AC1163" s="266">
        <f t="shared" si="129"/>
        <v>3749000</v>
      </c>
      <c r="AD1163" s="266">
        <f t="shared" si="132"/>
        <v>0</v>
      </c>
      <c r="AE1163" s="266">
        <f>+AC1163*$AD$1154/2</f>
        <v>46862.5</v>
      </c>
      <c r="AF1163" s="350"/>
      <c r="AG1163" s="349">
        <f>+AG1161+1</f>
        <v>2017</v>
      </c>
      <c r="AJ1163" s="266">
        <f t="shared" si="130"/>
        <v>3700000</v>
      </c>
      <c r="AK1163" s="266">
        <f t="shared" si="133"/>
        <v>0</v>
      </c>
      <c r="AL1163" s="266">
        <f>+AJ1163*$AD$1154/2</f>
        <v>46250</v>
      </c>
      <c r="AM1163" s="350"/>
      <c r="AN1163" s="349">
        <f>+AN1161+1</f>
        <v>2017</v>
      </c>
      <c r="AQ1163" s="266">
        <f t="shared" si="131"/>
        <v>3650000</v>
      </c>
      <c r="AR1163" s="266">
        <f t="shared" si="134"/>
        <v>0</v>
      </c>
      <c r="AS1163" s="266">
        <f>+AQ1163*$AD$1154/2</f>
        <v>45625</v>
      </c>
      <c r="AT1163" s="350"/>
      <c r="AU1163" s="349">
        <f>+AU1161+1</f>
        <v>2017</v>
      </c>
    </row>
    <row r="1164" spans="28:47" ht="15.75">
      <c r="AC1164" s="9">
        <f t="shared" si="129"/>
        <v>3749000</v>
      </c>
      <c r="AD1164" s="9">
        <f t="shared" si="132"/>
        <v>1000</v>
      </c>
      <c r="AE1164" s="9">
        <f>AE1163</f>
        <v>46862.5</v>
      </c>
      <c r="AF1164" s="9">
        <f>SUM(AD1163:AE1164)</f>
        <v>94725</v>
      </c>
      <c r="AG1164" s="256">
        <f>+AG1163</f>
        <v>2017</v>
      </c>
      <c r="AJ1164" s="9">
        <f t="shared" si="130"/>
        <v>3700000</v>
      </c>
      <c r="AK1164" s="9">
        <f t="shared" si="133"/>
        <v>50000</v>
      </c>
      <c r="AL1164" s="9">
        <f>AL1163</f>
        <v>46250</v>
      </c>
      <c r="AM1164" s="9">
        <f>SUM(AK1163:AL1164)</f>
        <v>142500</v>
      </c>
      <c r="AN1164" s="256">
        <f>+AN1163</f>
        <v>2017</v>
      </c>
      <c r="AQ1164" s="9">
        <f t="shared" si="131"/>
        <v>3650000</v>
      </c>
      <c r="AR1164" s="9">
        <f t="shared" si="134"/>
        <v>100000</v>
      </c>
      <c r="AS1164" s="9">
        <f>AS1163</f>
        <v>45625</v>
      </c>
      <c r="AT1164" s="9">
        <f>SUM(AR1163:AS1164)</f>
        <v>191250</v>
      </c>
      <c r="AU1164" s="256">
        <f>+AU1163</f>
        <v>2017</v>
      </c>
    </row>
    <row r="1165" spans="28:47">
      <c r="AC1165" s="266">
        <f t="shared" si="129"/>
        <v>3748000</v>
      </c>
      <c r="AD1165" s="266">
        <f t="shared" si="132"/>
        <v>0</v>
      </c>
      <c r="AE1165" s="266">
        <f>+AC1165*$AD$1154/2</f>
        <v>46850</v>
      </c>
      <c r="AF1165" s="350"/>
      <c r="AG1165" s="349">
        <f>+AG1163+1</f>
        <v>2018</v>
      </c>
      <c r="AJ1165" s="266">
        <f t="shared" si="130"/>
        <v>3650000</v>
      </c>
      <c r="AK1165" s="266">
        <f t="shared" si="133"/>
        <v>0</v>
      </c>
      <c r="AL1165" s="266">
        <f>+AJ1165*$AD$1154/2</f>
        <v>45625</v>
      </c>
      <c r="AM1165" s="350"/>
      <c r="AN1165" s="349">
        <f>+AN1163+1</f>
        <v>2018</v>
      </c>
      <c r="AQ1165" s="266">
        <f t="shared" si="131"/>
        <v>3550000</v>
      </c>
      <c r="AR1165" s="266">
        <f t="shared" si="134"/>
        <v>0</v>
      </c>
      <c r="AS1165" s="266">
        <f>+AQ1165*$AD$1154/2</f>
        <v>44375</v>
      </c>
      <c r="AT1165" s="350"/>
      <c r="AU1165" s="349">
        <f>+AU1163+1</f>
        <v>2018</v>
      </c>
    </row>
    <row r="1166" spans="28:47" ht="15.75">
      <c r="AC1166" s="9">
        <f t="shared" si="129"/>
        <v>3748000</v>
      </c>
      <c r="AD1166" s="9">
        <v>1000</v>
      </c>
      <c r="AE1166" s="9">
        <f>AE1165</f>
        <v>46850</v>
      </c>
      <c r="AF1166" s="9">
        <f>SUM(AD1165:AE1166)</f>
        <v>94700</v>
      </c>
      <c r="AG1166" s="256">
        <f>+AG1165</f>
        <v>2018</v>
      </c>
      <c r="AJ1166" s="9">
        <f t="shared" si="130"/>
        <v>3650000</v>
      </c>
      <c r="AK1166" s="9">
        <f>AJ1166/16</f>
        <v>228125</v>
      </c>
      <c r="AL1166" s="9">
        <f>AL1165</f>
        <v>45625</v>
      </c>
      <c r="AM1166" s="9">
        <f>SUM(AK1165:AL1166)</f>
        <v>319375</v>
      </c>
      <c r="AN1166" s="256">
        <f>+AN1165</f>
        <v>2018</v>
      </c>
      <c r="AQ1166" s="9">
        <f t="shared" si="131"/>
        <v>3550000</v>
      </c>
      <c r="AR1166" s="9">
        <f>AQ1166/16</f>
        <v>221875</v>
      </c>
      <c r="AS1166" s="9">
        <f>AS1165</f>
        <v>44375</v>
      </c>
      <c r="AT1166" s="9">
        <f>SUM(AR1165:AS1166)</f>
        <v>310625</v>
      </c>
      <c r="AU1166" s="256">
        <f>+AU1165</f>
        <v>2018</v>
      </c>
    </row>
    <row r="1167" spans="28:47">
      <c r="AC1167" s="266">
        <f t="shared" si="129"/>
        <v>3747000</v>
      </c>
      <c r="AD1167" s="266">
        <f t="shared" si="132"/>
        <v>0</v>
      </c>
      <c r="AE1167" s="266">
        <f>+AC1167*$AD$1154/2</f>
        <v>46837.5</v>
      </c>
      <c r="AF1167" s="350"/>
      <c r="AG1167" s="349">
        <f>+AG1165+1</f>
        <v>2019</v>
      </c>
      <c r="AJ1167" s="266">
        <f t="shared" si="130"/>
        <v>3421875</v>
      </c>
      <c r="AK1167" s="266">
        <f t="shared" si="133"/>
        <v>0</v>
      </c>
      <c r="AL1167" s="266">
        <f>+AJ1167*$AD$1154/2</f>
        <v>42773.4375</v>
      </c>
      <c r="AM1167" s="350"/>
      <c r="AN1167" s="349">
        <f>+AN1165+1</f>
        <v>2019</v>
      </c>
      <c r="AQ1167" s="266">
        <f t="shared" si="131"/>
        <v>3328125</v>
      </c>
      <c r="AR1167" s="266">
        <f t="shared" si="134"/>
        <v>0</v>
      </c>
      <c r="AS1167" s="266">
        <f>+AQ1167*$AD$1154/2</f>
        <v>41601.5625</v>
      </c>
      <c r="AT1167" s="350"/>
      <c r="AU1167" s="349">
        <f>+AU1165+1</f>
        <v>2019</v>
      </c>
    </row>
    <row r="1168" spans="28:47" ht="15.75">
      <c r="AC1168" s="9">
        <f t="shared" si="129"/>
        <v>3747000</v>
      </c>
      <c r="AD1168" s="9">
        <f>AD1166</f>
        <v>1000</v>
      </c>
      <c r="AE1168" s="9">
        <f>AE1167</f>
        <v>46837.5</v>
      </c>
      <c r="AF1168" s="9">
        <f>SUM(AD1167:AE1168)</f>
        <v>94675</v>
      </c>
      <c r="AG1168" s="256">
        <f>+AG1167</f>
        <v>2019</v>
      </c>
      <c r="AJ1168" s="9">
        <f t="shared" si="130"/>
        <v>3421875</v>
      </c>
      <c r="AK1168" s="9">
        <f t="shared" si="133"/>
        <v>228125</v>
      </c>
      <c r="AL1168" s="9">
        <f>AL1167</f>
        <v>42773.4375</v>
      </c>
      <c r="AM1168" s="9">
        <f>SUM(AK1167:AL1168)</f>
        <v>313671.875</v>
      </c>
      <c r="AN1168" s="256">
        <f>+AN1167</f>
        <v>2019</v>
      </c>
      <c r="AQ1168" s="9">
        <f t="shared" si="131"/>
        <v>3328125</v>
      </c>
      <c r="AR1168" s="9">
        <f t="shared" si="134"/>
        <v>221875</v>
      </c>
      <c r="AS1168" s="9">
        <f>AS1167</f>
        <v>41601.5625</v>
      </c>
      <c r="AT1168" s="9">
        <f>SUM(AR1167:AS1168)</f>
        <v>305078.125</v>
      </c>
      <c r="AU1168" s="256">
        <f>+AU1167</f>
        <v>2019</v>
      </c>
    </row>
    <row r="1169" spans="29:47">
      <c r="AC1169" s="266">
        <v>3435000</v>
      </c>
      <c r="AD1169" s="266">
        <f t="shared" si="132"/>
        <v>0</v>
      </c>
      <c r="AE1169" s="266">
        <f>+AC1169*$AD$1154/2</f>
        <v>42937.5</v>
      </c>
      <c r="AF1169" s="350"/>
      <c r="AG1169" s="349">
        <f>+AG1167+1</f>
        <v>2020</v>
      </c>
      <c r="AJ1169" s="266">
        <f t="shared" si="130"/>
        <v>3193750</v>
      </c>
      <c r="AK1169" s="266">
        <f t="shared" si="133"/>
        <v>0</v>
      </c>
      <c r="AL1169" s="266">
        <f>+AJ1169*$AD$1154/2</f>
        <v>39921.875</v>
      </c>
      <c r="AM1169" s="350"/>
      <c r="AN1169" s="349">
        <f>+AN1167+1</f>
        <v>2020</v>
      </c>
      <c r="AQ1169" s="266">
        <f t="shared" si="131"/>
        <v>3106250</v>
      </c>
      <c r="AR1169" s="266">
        <f t="shared" si="134"/>
        <v>0</v>
      </c>
      <c r="AS1169" s="266">
        <f>+AQ1169*$AD$1154/2</f>
        <v>38828.125</v>
      </c>
      <c r="AT1169" s="350"/>
      <c r="AU1169" s="349">
        <f>+AU1167+1</f>
        <v>2020</v>
      </c>
    </row>
    <row r="1170" spans="29:47" ht="15.75">
      <c r="AC1170" s="9">
        <f t="shared" si="129"/>
        <v>3435000</v>
      </c>
      <c r="AD1170" s="9">
        <f>AC1170/20</f>
        <v>171750</v>
      </c>
      <c r="AE1170" s="9">
        <f>AE1169</f>
        <v>42937.5</v>
      </c>
      <c r="AF1170" s="9">
        <f>SUM(AD1169:AE1170)</f>
        <v>257625</v>
      </c>
      <c r="AG1170" s="256">
        <f>+AG1169</f>
        <v>2020</v>
      </c>
      <c r="AJ1170" s="9">
        <f t="shared" si="130"/>
        <v>3193750</v>
      </c>
      <c r="AK1170" s="9">
        <f t="shared" si="133"/>
        <v>228125</v>
      </c>
      <c r="AL1170" s="9">
        <f>AL1169</f>
        <v>39921.875</v>
      </c>
      <c r="AM1170" s="9">
        <f>SUM(AK1169:AL1170)</f>
        <v>307968.75</v>
      </c>
      <c r="AN1170" s="256">
        <f>+AN1169</f>
        <v>2020</v>
      </c>
      <c r="AQ1170" s="9">
        <f t="shared" si="131"/>
        <v>3106250</v>
      </c>
      <c r="AR1170" s="9">
        <f t="shared" si="134"/>
        <v>221875</v>
      </c>
      <c r="AS1170" s="9">
        <f>AS1169</f>
        <v>38828.125</v>
      </c>
      <c r="AT1170" s="9">
        <f>SUM(AR1169:AS1170)</f>
        <v>299531.25</v>
      </c>
      <c r="AU1170" s="256">
        <f>+AU1169</f>
        <v>2020</v>
      </c>
    </row>
    <row r="1171" spans="29:47">
      <c r="AC1171" s="266">
        <f t="shared" si="129"/>
        <v>3263250</v>
      </c>
      <c r="AD1171" s="266">
        <f t="shared" si="132"/>
        <v>0</v>
      </c>
      <c r="AE1171" s="266">
        <f>+AC1171*$AD$1154/2</f>
        <v>40790.625</v>
      </c>
      <c r="AF1171" s="350"/>
      <c r="AG1171" s="349">
        <f>+AG1169+1</f>
        <v>2021</v>
      </c>
      <c r="AJ1171" s="266">
        <f t="shared" si="130"/>
        <v>2965625</v>
      </c>
      <c r="AK1171" s="266">
        <f t="shared" si="133"/>
        <v>0</v>
      </c>
      <c r="AL1171" s="266">
        <f>+AJ1171*$AD$1154/2</f>
        <v>37070.3125</v>
      </c>
      <c r="AM1171" s="350"/>
      <c r="AN1171" s="349">
        <f>+AN1169+1</f>
        <v>2021</v>
      </c>
      <c r="AQ1171" s="266">
        <f t="shared" si="131"/>
        <v>2884375</v>
      </c>
      <c r="AR1171" s="266">
        <f t="shared" si="134"/>
        <v>0</v>
      </c>
      <c r="AS1171" s="266">
        <f>+AQ1171*$AD$1154/2</f>
        <v>36054.6875</v>
      </c>
      <c r="AT1171" s="350"/>
      <c r="AU1171" s="349">
        <f>+AU1169+1</f>
        <v>2021</v>
      </c>
    </row>
    <row r="1172" spans="29:47" ht="15.75">
      <c r="AC1172" s="9">
        <f t="shared" si="129"/>
        <v>3263250</v>
      </c>
      <c r="AD1172" s="9">
        <f t="shared" si="132"/>
        <v>171750</v>
      </c>
      <c r="AE1172" s="9">
        <f>AE1171</f>
        <v>40790.625</v>
      </c>
      <c r="AF1172" s="9">
        <f>SUM(AD1171:AE1172)</f>
        <v>253331.25</v>
      </c>
      <c r="AG1172" s="256">
        <f>+AG1171</f>
        <v>2021</v>
      </c>
      <c r="AJ1172" s="9">
        <f t="shared" si="130"/>
        <v>2965625</v>
      </c>
      <c r="AK1172" s="9">
        <f t="shared" si="133"/>
        <v>228125</v>
      </c>
      <c r="AL1172" s="9">
        <f>AL1171</f>
        <v>37070.3125</v>
      </c>
      <c r="AM1172" s="9">
        <f>SUM(AK1171:AL1172)</f>
        <v>302265.625</v>
      </c>
      <c r="AN1172" s="256">
        <f>+AN1171</f>
        <v>2021</v>
      </c>
      <c r="AQ1172" s="9">
        <f t="shared" si="131"/>
        <v>2884375</v>
      </c>
      <c r="AR1172" s="9">
        <f t="shared" si="134"/>
        <v>221875</v>
      </c>
      <c r="AS1172" s="9">
        <f>AS1171</f>
        <v>36054.6875</v>
      </c>
      <c r="AT1172" s="9">
        <f>SUM(AR1171:AS1172)</f>
        <v>293984.375</v>
      </c>
      <c r="AU1172" s="256">
        <f>+AU1171</f>
        <v>2021</v>
      </c>
    </row>
    <row r="1173" spans="29:47">
      <c r="AC1173" s="266">
        <f t="shared" si="129"/>
        <v>3091500</v>
      </c>
      <c r="AD1173" s="266">
        <f t="shared" si="132"/>
        <v>0</v>
      </c>
      <c r="AE1173" s="266">
        <f>+AC1173*$AD$1154/2</f>
        <v>38643.75</v>
      </c>
      <c r="AF1173" s="350"/>
      <c r="AG1173" s="349">
        <f>+AG1171+1</f>
        <v>2022</v>
      </c>
      <c r="AJ1173" s="266">
        <f t="shared" si="130"/>
        <v>2737500</v>
      </c>
      <c r="AK1173" s="266">
        <f t="shared" si="133"/>
        <v>0</v>
      </c>
      <c r="AL1173" s="266">
        <f>+AJ1173*$AD$1154/2</f>
        <v>34218.75</v>
      </c>
      <c r="AM1173" s="350"/>
      <c r="AN1173" s="349">
        <f>+AN1171+1</f>
        <v>2022</v>
      </c>
      <c r="AQ1173" s="266">
        <f t="shared" si="131"/>
        <v>2662500</v>
      </c>
      <c r="AR1173" s="266">
        <f t="shared" si="134"/>
        <v>0</v>
      </c>
      <c r="AS1173" s="266">
        <f>+AQ1173*$AD$1154/2</f>
        <v>33281.25</v>
      </c>
      <c r="AT1173" s="350"/>
      <c r="AU1173" s="349">
        <f>+AU1171+1</f>
        <v>2022</v>
      </c>
    </row>
    <row r="1174" spans="29:47" ht="15.75">
      <c r="AC1174" s="9">
        <f t="shared" si="129"/>
        <v>3091500</v>
      </c>
      <c r="AD1174" s="9">
        <f t="shared" si="132"/>
        <v>171750</v>
      </c>
      <c r="AE1174" s="9">
        <f>AE1173</f>
        <v>38643.75</v>
      </c>
      <c r="AF1174" s="9">
        <f>SUM(AD1173:AE1174)</f>
        <v>249037.5</v>
      </c>
      <c r="AG1174" s="256">
        <f>+AG1173</f>
        <v>2022</v>
      </c>
      <c r="AJ1174" s="9">
        <f t="shared" si="130"/>
        <v>2737500</v>
      </c>
      <c r="AK1174" s="9">
        <f t="shared" si="133"/>
        <v>228125</v>
      </c>
      <c r="AL1174" s="9">
        <f>AL1173</f>
        <v>34218.75</v>
      </c>
      <c r="AM1174" s="9">
        <f>SUM(AK1173:AL1174)</f>
        <v>296562.5</v>
      </c>
      <c r="AN1174" s="256">
        <f>+AN1173</f>
        <v>2022</v>
      </c>
      <c r="AQ1174" s="9">
        <f t="shared" si="131"/>
        <v>2662500</v>
      </c>
      <c r="AR1174" s="9">
        <f t="shared" si="134"/>
        <v>221875</v>
      </c>
      <c r="AS1174" s="9">
        <f>AS1173</f>
        <v>33281.25</v>
      </c>
      <c r="AT1174" s="9">
        <f>SUM(AR1173:AS1174)</f>
        <v>288437.5</v>
      </c>
      <c r="AU1174" s="256">
        <f>+AU1173</f>
        <v>2022</v>
      </c>
    </row>
    <row r="1175" spans="29:47">
      <c r="AC1175" s="266">
        <f t="shared" si="129"/>
        <v>2919750</v>
      </c>
      <c r="AD1175" s="266">
        <f t="shared" si="132"/>
        <v>0</v>
      </c>
      <c r="AE1175" s="266">
        <f>+AC1175*$AD$1154/2</f>
        <v>36496.875</v>
      </c>
      <c r="AF1175" s="350"/>
      <c r="AG1175" s="349">
        <f>+AG1173+1</f>
        <v>2023</v>
      </c>
      <c r="AJ1175" s="266">
        <f t="shared" si="130"/>
        <v>2509375</v>
      </c>
      <c r="AK1175" s="266">
        <f t="shared" si="133"/>
        <v>0</v>
      </c>
      <c r="AL1175" s="266">
        <f>+AJ1175*$AD$1154/2</f>
        <v>31367.1875</v>
      </c>
      <c r="AM1175" s="350"/>
      <c r="AN1175" s="349">
        <f>+AN1173+1</f>
        <v>2023</v>
      </c>
      <c r="AQ1175" s="266">
        <f t="shared" si="131"/>
        <v>2440625</v>
      </c>
      <c r="AR1175" s="266">
        <f t="shared" si="134"/>
        <v>0</v>
      </c>
      <c r="AS1175" s="266">
        <f>+AQ1175*$AD$1154/2</f>
        <v>30507.8125</v>
      </c>
      <c r="AT1175" s="350"/>
      <c r="AU1175" s="349">
        <f>+AU1173+1</f>
        <v>2023</v>
      </c>
    </row>
    <row r="1176" spans="29:47" ht="15.75">
      <c r="AC1176" s="9">
        <f t="shared" si="129"/>
        <v>2919750</v>
      </c>
      <c r="AD1176" s="9">
        <f t="shared" si="132"/>
        <v>171750</v>
      </c>
      <c r="AE1176" s="9">
        <f>AE1175</f>
        <v>36496.875</v>
      </c>
      <c r="AF1176" s="9">
        <f>SUM(AD1175:AE1176)</f>
        <v>244743.75</v>
      </c>
      <c r="AG1176" s="256">
        <f>+AG1175</f>
        <v>2023</v>
      </c>
      <c r="AJ1176" s="9">
        <f t="shared" si="130"/>
        <v>2509375</v>
      </c>
      <c r="AK1176" s="9">
        <f t="shared" si="133"/>
        <v>228125</v>
      </c>
      <c r="AL1176" s="9">
        <f>AL1175</f>
        <v>31367.1875</v>
      </c>
      <c r="AM1176" s="9">
        <f>SUM(AK1175:AL1176)</f>
        <v>290859.375</v>
      </c>
      <c r="AN1176" s="256">
        <f>+AN1175</f>
        <v>2023</v>
      </c>
      <c r="AQ1176" s="9">
        <f t="shared" si="131"/>
        <v>2440625</v>
      </c>
      <c r="AR1176" s="9">
        <f t="shared" si="134"/>
        <v>221875</v>
      </c>
      <c r="AS1176" s="9">
        <f>AS1175</f>
        <v>30507.8125</v>
      </c>
      <c r="AT1176" s="9">
        <f>SUM(AR1175:AS1176)</f>
        <v>282890.625</v>
      </c>
      <c r="AU1176" s="256">
        <f>+AU1175</f>
        <v>2023</v>
      </c>
    </row>
    <row r="1177" spans="29:47">
      <c r="AC1177" s="266">
        <f t="shared" si="129"/>
        <v>2748000</v>
      </c>
      <c r="AD1177" s="266">
        <f t="shared" si="132"/>
        <v>0</v>
      </c>
      <c r="AE1177" s="266">
        <f>+AC1177*$AD$1154/2</f>
        <v>34350</v>
      </c>
      <c r="AF1177" s="350"/>
      <c r="AG1177" s="349">
        <f>+AG1175+1</f>
        <v>2024</v>
      </c>
      <c r="AJ1177" s="266">
        <f t="shared" si="130"/>
        <v>2281250</v>
      </c>
      <c r="AK1177" s="266">
        <f t="shared" si="133"/>
        <v>0</v>
      </c>
      <c r="AL1177" s="266">
        <f>+AJ1177*$AD$1154/2</f>
        <v>28515.625</v>
      </c>
      <c r="AM1177" s="350"/>
      <c r="AN1177" s="349">
        <f>+AN1175+1</f>
        <v>2024</v>
      </c>
      <c r="AQ1177" s="266">
        <f t="shared" si="131"/>
        <v>2218750</v>
      </c>
      <c r="AR1177" s="266">
        <f t="shared" si="134"/>
        <v>0</v>
      </c>
      <c r="AS1177" s="266">
        <f>+AQ1177*$AD$1154/2</f>
        <v>27734.375</v>
      </c>
      <c r="AT1177" s="350"/>
      <c r="AU1177" s="349">
        <f>+AU1175+1</f>
        <v>2024</v>
      </c>
    </row>
    <row r="1178" spans="29:47" ht="15.75">
      <c r="AC1178" s="9">
        <f t="shared" si="129"/>
        <v>2748000</v>
      </c>
      <c r="AD1178" s="9">
        <f t="shared" si="132"/>
        <v>171750</v>
      </c>
      <c r="AE1178" s="9">
        <f>AE1177</f>
        <v>34350</v>
      </c>
      <c r="AF1178" s="9">
        <f>SUM(AD1177:AE1178)</f>
        <v>240450</v>
      </c>
      <c r="AG1178" s="256">
        <f>+AG1177</f>
        <v>2024</v>
      </c>
      <c r="AJ1178" s="9">
        <f t="shared" si="130"/>
        <v>2281250</v>
      </c>
      <c r="AK1178" s="9">
        <f t="shared" si="133"/>
        <v>228125</v>
      </c>
      <c r="AL1178" s="9">
        <f>AL1177</f>
        <v>28515.625</v>
      </c>
      <c r="AM1178" s="9">
        <f>SUM(AK1177:AL1178)</f>
        <v>285156.25</v>
      </c>
      <c r="AN1178" s="256">
        <f>+AN1177</f>
        <v>2024</v>
      </c>
      <c r="AQ1178" s="9">
        <f t="shared" si="131"/>
        <v>2218750</v>
      </c>
      <c r="AR1178" s="9">
        <f t="shared" si="134"/>
        <v>221875</v>
      </c>
      <c r="AS1178" s="9">
        <f>AS1177</f>
        <v>27734.375</v>
      </c>
      <c r="AT1178" s="9">
        <f>SUM(AR1177:AS1178)</f>
        <v>277343.75</v>
      </c>
      <c r="AU1178" s="256">
        <f>+AU1177</f>
        <v>2024</v>
      </c>
    </row>
    <row r="1179" spans="29:47">
      <c r="AC1179" s="266">
        <f t="shared" si="129"/>
        <v>2576250</v>
      </c>
      <c r="AD1179" s="266">
        <f t="shared" si="132"/>
        <v>0</v>
      </c>
      <c r="AE1179" s="266">
        <f>+AC1179*$AD$1154/2</f>
        <v>32203.125</v>
      </c>
      <c r="AF1179" s="350"/>
      <c r="AG1179" s="349">
        <f>+AG1177+1</f>
        <v>2025</v>
      </c>
      <c r="AJ1179" s="266">
        <f t="shared" si="130"/>
        <v>2053125</v>
      </c>
      <c r="AK1179" s="266">
        <f t="shared" si="133"/>
        <v>0</v>
      </c>
      <c r="AL1179" s="266">
        <f>+AJ1179*$AD$1154/2</f>
        <v>25664.0625</v>
      </c>
      <c r="AM1179" s="350"/>
      <c r="AN1179" s="349">
        <f>+AN1177+1</f>
        <v>2025</v>
      </c>
      <c r="AQ1179" s="266">
        <f t="shared" si="131"/>
        <v>1996875</v>
      </c>
      <c r="AR1179" s="266">
        <f t="shared" si="134"/>
        <v>0</v>
      </c>
      <c r="AS1179" s="266">
        <f>+AQ1179*$AD$1154/2</f>
        <v>24960.9375</v>
      </c>
      <c r="AT1179" s="350"/>
      <c r="AU1179" s="349">
        <f>+AU1177+1</f>
        <v>2025</v>
      </c>
    </row>
    <row r="1180" spans="29:47" ht="15.75">
      <c r="AC1180" s="9">
        <f t="shared" si="129"/>
        <v>2576250</v>
      </c>
      <c r="AD1180" s="9">
        <f>AD1178</f>
        <v>171750</v>
      </c>
      <c r="AE1180" s="9">
        <f>AE1179</f>
        <v>32203.125</v>
      </c>
      <c r="AF1180" s="9">
        <f>SUM(AD1179:AE1180)</f>
        <v>236156.25</v>
      </c>
      <c r="AG1180" s="256">
        <f>+AG1179</f>
        <v>2025</v>
      </c>
      <c r="AJ1180" s="9">
        <f t="shared" si="130"/>
        <v>2053125</v>
      </c>
      <c r="AK1180" s="9">
        <f>AK1178</f>
        <v>228125</v>
      </c>
      <c r="AL1180" s="9">
        <f>AL1179</f>
        <v>25664.0625</v>
      </c>
      <c r="AM1180" s="9">
        <f>SUM(AK1179:AL1180)</f>
        <v>279453.125</v>
      </c>
      <c r="AN1180" s="256">
        <f>+AN1179</f>
        <v>2025</v>
      </c>
      <c r="AQ1180" s="9">
        <f t="shared" si="131"/>
        <v>1996875</v>
      </c>
      <c r="AR1180" s="9">
        <f>AR1178</f>
        <v>221875</v>
      </c>
      <c r="AS1180" s="9">
        <f>AS1179</f>
        <v>24960.9375</v>
      </c>
      <c r="AT1180" s="9">
        <f>SUM(AR1179:AS1180)</f>
        <v>271796.875</v>
      </c>
      <c r="AU1180" s="256">
        <f>+AU1179</f>
        <v>2025</v>
      </c>
    </row>
    <row r="1181" spans="29:47">
      <c r="AC1181" s="266">
        <f t="shared" si="129"/>
        <v>2404500</v>
      </c>
      <c r="AD1181" s="266">
        <f t="shared" si="132"/>
        <v>0</v>
      </c>
      <c r="AE1181" s="266">
        <f>+AC1181*$AD$1154/2</f>
        <v>30056.25</v>
      </c>
      <c r="AF1181" s="350"/>
      <c r="AG1181" s="349">
        <f>+AG1179+1</f>
        <v>2026</v>
      </c>
      <c r="AJ1181" s="266">
        <f t="shared" si="130"/>
        <v>1825000</v>
      </c>
      <c r="AK1181" s="266">
        <f t="shared" si="133"/>
        <v>0</v>
      </c>
      <c r="AL1181" s="266">
        <f>+AJ1181*$AD$1154/2</f>
        <v>22812.5</v>
      </c>
      <c r="AM1181" s="350"/>
      <c r="AN1181" s="349">
        <f>+AN1179+1</f>
        <v>2026</v>
      </c>
      <c r="AQ1181" s="266">
        <f t="shared" si="131"/>
        <v>1775000</v>
      </c>
      <c r="AR1181" s="266">
        <f t="shared" si="134"/>
        <v>0</v>
      </c>
      <c r="AS1181" s="266">
        <f>+AQ1181*$AD$1154/2</f>
        <v>22187.5</v>
      </c>
      <c r="AT1181" s="350"/>
      <c r="AU1181" s="349">
        <f>+AU1179+1</f>
        <v>2026</v>
      </c>
    </row>
    <row r="1182" spans="29:47" ht="15.75">
      <c r="AC1182" s="9">
        <f t="shared" si="129"/>
        <v>2404500</v>
      </c>
      <c r="AD1182" s="9">
        <f t="shared" si="132"/>
        <v>171750</v>
      </c>
      <c r="AE1182" s="9">
        <f>AE1181</f>
        <v>30056.25</v>
      </c>
      <c r="AF1182" s="9">
        <f>SUM(AD1181:AE1182)</f>
        <v>231862.5</v>
      </c>
      <c r="AG1182" s="256">
        <f>+AG1181</f>
        <v>2026</v>
      </c>
      <c r="AJ1182" s="9">
        <f t="shared" si="130"/>
        <v>1825000</v>
      </c>
      <c r="AK1182" s="9">
        <f t="shared" si="133"/>
        <v>228125</v>
      </c>
      <c r="AL1182" s="9">
        <f>AL1181</f>
        <v>22812.5</v>
      </c>
      <c r="AM1182" s="9">
        <f>SUM(AK1181:AL1182)</f>
        <v>273750</v>
      </c>
      <c r="AN1182" s="256">
        <f>+AN1181</f>
        <v>2026</v>
      </c>
      <c r="AQ1182" s="9">
        <f t="shared" si="131"/>
        <v>1775000</v>
      </c>
      <c r="AR1182" s="9">
        <f t="shared" si="134"/>
        <v>221875</v>
      </c>
      <c r="AS1182" s="9">
        <f>AS1181</f>
        <v>22187.5</v>
      </c>
      <c r="AT1182" s="9">
        <f>SUM(AR1181:AS1182)</f>
        <v>266250</v>
      </c>
      <c r="AU1182" s="256">
        <f>+AU1181</f>
        <v>2026</v>
      </c>
    </row>
    <row r="1183" spans="29:47">
      <c r="AC1183" s="266">
        <f t="shared" si="129"/>
        <v>2232750</v>
      </c>
      <c r="AD1183" s="266">
        <f t="shared" si="132"/>
        <v>0</v>
      </c>
      <c r="AE1183" s="266">
        <f>+AC1183*$AD$1154/2</f>
        <v>27909.375</v>
      </c>
      <c r="AF1183" s="350"/>
      <c r="AG1183" s="349">
        <f>+AG1181+1</f>
        <v>2027</v>
      </c>
      <c r="AJ1183" s="266">
        <f t="shared" si="130"/>
        <v>1596875</v>
      </c>
      <c r="AK1183" s="266">
        <f t="shared" si="133"/>
        <v>0</v>
      </c>
      <c r="AL1183" s="266">
        <f>+AJ1183*$AD$1154/2</f>
        <v>19960.9375</v>
      </c>
      <c r="AM1183" s="350"/>
      <c r="AN1183" s="349">
        <f>+AN1181+1</f>
        <v>2027</v>
      </c>
      <c r="AQ1183" s="266">
        <f t="shared" si="131"/>
        <v>1553125</v>
      </c>
      <c r="AR1183" s="266">
        <f t="shared" si="134"/>
        <v>0</v>
      </c>
      <c r="AS1183" s="266">
        <f>+AQ1183*$AD$1154/2</f>
        <v>19414.0625</v>
      </c>
      <c r="AT1183" s="350"/>
      <c r="AU1183" s="349">
        <f>+AU1181+1</f>
        <v>2027</v>
      </c>
    </row>
    <row r="1184" spans="29:47" ht="15.75">
      <c r="AC1184" s="9">
        <f t="shared" si="129"/>
        <v>2232750</v>
      </c>
      <c r="AD1184" s="9">
        <f t="shared" si="132"/>
        <v>171750</v>
      </c>
      <c r="AE1184" s="9">
        <f>AE1183</f>
        <v>27909.375</v>
      </c>
      <c r="AF1184" s="9">
        <f>SUM(AD1183:AE1184)</f>
        <v>227568.75</v>
      </c>
      <c r="AG1184" s="256">
        <f>+AG1183</f>
        <v>2027</v>
      </c>
      <c r="AJ1184" s="9">
        <f t="shared" si="130"/>
        <v>1596875</v>
      </c>
      <c r="AK1184" s="9">
        <f t="shared" si="133"/>
        <v>228125</v>
      </c>
      <c r="AL1184" s="9">
        <f>AL1183</f>
        <v>19960.9375</v>
      </c>
      <c r="AM1184" s="9">
        <f>SUM(AK1183:AL1184)</f>
        <v>268046.875</v>
      </c>
      <c r="AN1184" s="256">
        <f>+AN1183</f>
        <v>2027</v>
      </c>
      <c r="AQ1184" s="9">
        <f t="shared" si="131"/>
        <v>1553125</v>
      </c>
      <c r="AR1184" s="9">
        <f t="shared" si="134"/>
        <v>221875</v>
      </c>
      <c r="AS1184" s="9">
        <f>AS1183</f>
        <v>19414.0625</v>
      </c>
      <c r="AT1184" s="9">
        <f>SUM(AR1183:AS1184)</f>
        <v>260703.125</v>
      </c>
      <c r="AU1184" s="256">
        <f>+AU1183</f>
        <v>2027</v>
      </c>
    </row>
    <row r="1185" spans="29:47">
      <c r="AC1185" s="266">
        <f t="shared" si="129"/>
        <v>2061000</v>
      </c>
      <c r="AD1185" s="266">
        <f t="shared" si="132"/>
        <v>0</v>
      </c>
      <c r="AE1185" s="266">
        <f>+AC1185*$AD$1154/2</f>
        <v>25762.5</v>
      </c>
      <c r="AF1185" s="350"/>
      <c r="AG1185" s="349">
        <f>+AG1183+1</f>
        <v>2028</v>
      </c>
      <c r="AJ1185" s="266">
        <f t="shared" si="130"/>
        <v>1368750</v>
      </c>
      <c r="AK1185" s="266">
        <f t="shared" si="133"/>
        <v>0</v>
      </c>
      <c r="AL1185" s="266">
        <f>+AJ1185*$AD$1154/2</f>
        <v>17109.375</v>
      </c>
      <c r="AM1185" s="350"/>
      <c r="AN1185" s="349">
        <f>+AN1183+1</f>
        <v>2028</v>
      </c>
      <c r="AQ1185" s="266">
        <f t="shared" si="131"/>
        <v>1331250</v>
      </c>
      <c r="AR1185" s="266">
        <f t="shared" si="134"/>
        <v>0</v>
      </c>
      <c r="AS1185" s="266">
        <f>+AQ1185*$AD$1154/2</f>
        <v>16640.625</v>
      </c>
      <c r="AT1185" s="350"/>
      <c r="AU1185" s="349">
        <f>+AU1183+1</f>
        <v>2028</v>
      </c>
    </row>
    <row r="1186" spans="29:47" ht="15.75">
      <c r="AC1186" s="9">
        <f t="shared" si="129"/>
        <v>2061000</v>
      </c>
      <c r="AD1186" s="9">
        <f t="shared" si="132"/>
        <v>171750</v>
      </c>
      <c r="AE1186" s="9">
        <f>AE1185</f>
        <v>25762.5</v>
      </c>
      <c r="AF1186" s="9">
        <f>SUM(AD1185:AE1186)</f>
        <v>223275</v>
      </c>
      <c r="AG1186" s="256">
        <f>+AG1185</f>
        <v>2028</v>
      </c>
      <c r="AJ1186" s="9">
        <f t="shared" si="130"/>
        <v>1368750</v>
      </c>
      <c r="AK1186" s="9">
        <f t="shared" si="133"/>
        <v>228125</v>
      </c>
      <c r="AL1186" s="9">
        <f>AL1185</f>
        <v>17109.375</v>
      </c>
      <c r="AM1186" s="9">
        <f>SUM(AK1185:AL1186)</f>
        <v>262343.75</v>
      </c>
      <c r="AN1186" s="256">
        <f>+AN1185</f>
        <v>2028</v>
      </c>
      <c r="AQ1186" s="9">
        <f t="shared" si="131"/>
        <v>1331250</v>
      </c>
      <c r="AR1186" s="9">
        <f t="shared" si="134"/>
        <v>221875</v>
      </c>
      <c r="AS1186" s="9">
        <f>AS1185</f>
        <v>16640.625</v>
      </c>
      <c r="AT1186" s="9">
        <f>SUM(AR1185:AS1186)</f>
        <v>255156.25</v>
      </c>
      <c r="AU1186" s="256">
        <f>+AU1185</f>
        <v>2028</v>
      </c>
    </row>
    <row r="1187" spans="29:47">
      <c r="AC1187" s="266">
        <f t="shared" si="129"/>
        <v>1889250</v>
      </c>
      <c r="AD1187" s="266">
        <f t="shared" si="132"/>
        <v>0</v>
      </c>
      <c r="AE1187" s="266">
        <f>+AC1187*$AD$1154/2</f>
        <v>23615.625</v>
      </c>
      <c r="AF1187" s="350"/>
      <c r="AG1187" s="349">
        <f>+AG1185+1</f>
        <v>2029</v>
      </c>
      <c r="AJ1187" s="266">
        <f t="shared" si="130"/>
        <v>1140625</v>
      </c>
      <c r="AK1187" s="266">
        <f t="shared" si="133"/>
        <v>0</v>
      </c>
      <c r="AL1187" s="266">
        <f>+AJ1187*$AD$1154/2</f>
        <v>14257.8125</v>
      </c>
      <c r="AM1187" s="350"/>
      <c r="AN1187" s="349">
        <f>+AN1185+1</f>
        <v>2029</v>
      </c>
      <c r="AQ1187" s="266">
        <f t="shared" si="131"/>
        <v>1109375</v>
      </c>
      <c r="AR1187" s="266">
        <f t="shared" si="134"/>
        <v>0</v>
      </c>
      <c r="AS1187" s="266">
        <f>+AQ1187*$AD$1154/2</f>
        <v>13867.1875</v>
      </c>
      <c r="AT1187" s="350"/>
      <c r="AU1187" s="349">
        <f>+AU1185+1</f>
        <v>2029</v>
      </c>
    </row>
    <row r="1188" spans="29:47" ht="15.75">
      <c r="AC1188" s="9">
        <f t="shared" si="129"/>
        <v>1889250</v>
      </c>
      <c r="AD1188" s="9">
        <f t="shared" si="132"/>
        <v>171750</v>
      </c>
      <c r="AE1188" s="9">
        <f>AE1187</f>
        <v>23615.625</v>
      </c>
      <c r="AF1188" s="9">
        <f>SUM(AD1187:AE1188)</f>
        <v>218981.25</v>
      </c>
      <c r="AG1188" s="256">
        <f>+AG1187</f>
        <v>2029</v>
      </c>
      <c r="AJ1188" s="9">
        <f t="shared" si="130"/>
        <v>1140625</v>
      </c>
      <c r="AK1188" s="9">
        <f t="shared" si="133"/>
        <v>228125</v>
      </c>
      <c r="AL1188" s="9">
        <f>AL1187</f>
        <v>14257.8125</v>
      </c>
      <c r="AM1188" s="9">
        <f>SUM(AK1187:AL1188)</f>
        <v>256640.625</v>
      </c>
      <c r="AN1188" s="256">
        <f>+AN1187</f>
        <v>2029</v>
      </c>
      <c r="AQ1188" s="9">
        <f t="shared" si="131"/>
        <v>1109375</v>
      </c>
      <c r="AR1188" s="9">
        <f t="shared" si="134"/>
        <v>221875</v>
      </c>
      <c r="AS1188" s="9">
        <f>AS1187</f>
        <v>13867.1875</v>
      </c>
      <c r="AT1188" s="9">
        <f>SUM(AR1187:AS1188)</f>
        <v>249609.375</v>
      </c>
      <c r="AU1188" s="256">
        <f>+AU1187</f>
        <v>2029</v>
      </c>
    </row>
    <row r="1189" spans="29:47">
      <c r="AC1189" s="266">
        <f t="shared" si="129"/>
        <v>1717500</v>
      </c>
      <c r="AD1189" s="266">
        <f t="shared" si="132"/>
        <v>0</v>
      </c>
      <c r="AE1189" s="266">
        <f>+AC1189*$AD$1154/2</f>
        <v>21468.75</v>
      </c>
      <c r="AF1189" s="350"/>
      <c r="AG1189" s="349">
        <f>+AG1187+1</f>
        <v>2030</v>
      </c>
      <c r="AJ1189" s="266">
        <f t="shared" si="130"/>
        <v>912500</v>
      </c>
      <c r="AK1189" s="266">
        <f t="shared" si="133"/>
        <v>0</v>
      </c>
      <c r="AL1189" s="266">
        <f>+AJ1189*$AD$1154/2</f>
        <v>11406.25</v>
      </c>
      <c r="AM1189" s="350"/>
      <c r="AN1189" s="349">
        <f>+AN1187+1</f>
        <v>2030</v>
      </c>
      <c r="AQ1189" s="266">
        <f t="shared" si="131"/>
        <v>887500</v>
      </c>
      <c r="AR1189" s="266">
        <f t="shared" si="134"/>
        <v>0</v>
      </c>
      <c r="AS1189" s="266">
        <f>+AQ1189*$AD$1154/2</f>
        <v>11093.75</v>
      </c>
      <c r="AT1189" s="350"/>
      <c r="AU1189" s="349">
        <f>+AU1187+1</f>
        <v>2030</v>
      </c>
    </row>
    <row r="1190" spans="29:47" ht="15.75">
      <c r="AC1190" s="9">
        <f t="shared" si="129"/>
        <v>1717500</v>
      </c>
      <c r="AD1190" s="9">
        <f t="shared" si="132"/>
        <v>171750</v>
      </c>
      <c r="AE1190" s="9">
        <f>AE1189</f>
        <v>21468.75</v>
      </c>
      <c r="AF1190" s="9">
        <f>SUM(AD1189:AE1190)</f>
        <v>214687.5</v>
      </c>
      <c r="AG1190" s="256">
        <f>+AG1189</f>
        <v>2030</v>
      </c>
      <c r="AJ1190" s="9">
        <f t="shared" si="130"/>
        <v>912500</v>
      </c>
      <c r="AK1190" s="9">
        <f t="shared" si="133"/>
        <v>228125</v>
      </c>
      <c r="AL1190" s="9">
        <f>AL1189</f>
        <v>11406.25</v>
      </c>
      <c r="AM1190" s="9">
        <f>SUM(AK1189:AL1190)</f>
        <v>250937.5</v>
      </c>
      <c r="AN1190" s="256">
        <f>+AN1189</f>
        <v>2030</v>
      </c>
      <c r="AQ1190" s="9">
        <f t="shared" si="131"/>
        <v>887500</v>
      </c>
      <c r="AR1190" s="9">
        <f t="shared" si="134"/>
        <v>221875</v>
      </c>
      <c r="AS1190" s="9">
        <f>AS1189</f>
        <v>11093.75</v>
      </c>
      <c r="AT1190" s="9">
        <f>SUM(AR1189:AS1190)</f>
        <v>244062.5</v>
      </c>
      <c r="AU1190" s="256">
        <f>+AU1189</f>
        <v>2030</v>
      </c>
    </row>
    <row r="1191" spans="29:47">
      <c r="AC1191" s="266">
        <f t="shared" si="129"/>
        <v>1545750</v>
      </c>
      <c r="AD1191" s="266">
        <f t="shared" si="132"/>
        <v>0</v>
      </c>
      <c r="AE1191" s="266">
        <f>+AC1191*$AD$1154/2</f>
        <v>19321.875</v>
      </c>
      <c r="AF1191" s="350"/>
      <c r="AG1191" s="349">
        <f>+AG1189+1</f>
        <v>2031</v>
      </c>
      <c r="AJ1191" s="266">
        <f t="shared" si="130"/>
        <v>684375</v>
      </c>
      <c r="AK1191" s="266">
        <f t="shared" si="133"/>
        <v>0</v>
      </c>
      <c r="AL1191" s="266">
        <f>+AJ1191*$AD$1154/2</f>
        <v>8554.6875</v>
      </c>
      <c r="AM1191" s="350"/>
      <c r="AN1191" s="349">
        <f>+AN1189+1</f>
        <v>2031</v>
      </c>
      <c r="AQ1191" s="266">
        <f t="shared" si="131"/>
        <v>665625</v>
      </c>
      <c r="AR1191" s="266">
        <f t="shared" si="134"/>
        <v>0</v>
      </c>
      <c r="AS1191" s="266">
        <f>+AQ1191*$AD$1154/2</f>
        <v>8320.3125</v>
      </c>
      <c r="AT1191" s="350"/>
      <c r="AU1191" s="349">
        <f>+AU1189+1</f>
        <v>2031</v>
      </c>
    </row>
    <row r="1192" spans="29:47" ht="15.75">
      <c r="AC1192" s="9">
        <f t="shared" si="129"/>
        <v>1545750</v>
      </c>
      <c r="AD1192" s="9">
        <f t="shared" si="132"/>
        <v>171750</v>
      </c>
      <c r="AE1192" s="9">
        <f>AE1191</f>
        <v>19321.875</v>
      </c>
      <c r="AF1192" s="9">
        <f>SUM(AD1191:AE1192)</f>
        <v>210393.75</v>
      </c>
      <c r="AG1192" s="256">
        <f>+AG1191</f>
        <v>2031</v>
      </c>
      <c r="AJ1192" s="9">
        <f t="shared" si="130"/>
        <v>684375</v>
      </c>
      <c r="AK1192" s="9">
        <f t="shared" si="133"/>
        <v>228125</v>
      </c>
      <c r="AL1192" s="9">
        <f>AL1191</f>
        <v>8554.6875</v>
      </c>
      <c r="AM1192" s="9">
        <f>SUM(AK1191:AL1192)</f>
        <v>245234.375</v>
      </c>
      <c r="AN1192" s="256">
        <f>+AN1191</f>
        <v>2031</v>
      </c>
      <c r="AQ1192" s="9">
        <f t="shared" si="131"/>
        <v>665625</v>
      </c>
      <c r="AR1192" s="9">
        <f t="shared" si="134"/>
        <v>221875</v>
      </c>
      <c r="AS1192" s="9">
        <f>AS1191</f>
        <v>8320.3125</v>
      </c>
      <c r="AT1192" s="9">
        <f>SUM(AR1191:AS1192)</f>
        <v>238515.625</v>
      </c>
      <c r="AU1192" s="256">
        <f>+AU1191</f>
        <v>2031</v>
      </c>
    </row>
    <row r="1193" spans="29:47">
      <c r="AC1193" s="266">
        <f t="shared" si="129"/>
        <v>1374000</v>
      </c>
      <c r="AD1193" s="266">
        <f t="shared" si="132"/>
        <v>0</v>
      </c>
      <c r="AE1193" s="266">
        <f>+AC1193*$AD$1154/2</f>
        <v>17175</v>
      </c>
      <c r="AF1193" s="350"/>
      <c r="AG1193" s="349">
        <f>+AG1191+1</f>
        <v>2032</v>
      </c>
      <c r="AJ1193" s="266">
        <f t="shared" si="130"/>
        <v>456250</v>
      </c>
      <c r="AK1193" s="266">
        <f t="shared" si="133"/>
        <v>0</v>
      </c>
      <c r="AL1193" s="266">
        <f>+AJ1193*$AD$1154/2</f>
        <v>5703.125</v>
      </c>
      <c r="AM1193" s="350"/>
      <c r="AN1193" s="349">
        <f>+AN1191+1</f>
        <v>2032</v>
      </c>
      <c r="AQ1193" s="266">
        <f t="shared" si="131"/>
        <v>443750</v>
      </c>
      <c r="AR1193" s="266">
        <f t="shared" si="134"/>
        <v>0</v>
      </c>
      <c r="AS1193" s="266">
        <f>+AQ1193*$AD$1154/2</f>
        <v>5546.875</v>
      </c>
      <c r="AT1193" s="350"/>
      <c r="AU1193" s="349">
        <f>+AU1191+1</f>
        <v>2032</v>
      </c>
    </row>
    <row r="1194" spans="29:47" ht="15.75">
      <c r="AC1194" s="9">
        <f t="shared" si="129"/>
        <v>1374000</v>
      </c>
      <c r="AD1194" s="9">
        <f t="shared" si="132"/>
        <v>171750</v>
      </c>
      <c r="AE1194" s="9">
        <f>AE1193</f>
        <v>17175</v>
      </c>
      <c r="AF1194" s="9">
        <f>SUM(AD1193:AE1194)</f>
        <v>206100</v>
      </c>
      <c r="AG1194" s="256">
        <f>+AG1193</f>
        <v>2032</v>
      </c>
      <c r="AJ1194" s="9">
        <f t="shared" si="130"/>
        <v>456250</v>
      </c>
      <c r="AK1194" s="9">
        <f t="shared" si="133"/>
        <v>228125</v>
      </c>
      <c r="AL1194" s="9">
        <f>AL1193</f>
        <v>5703.125</v>
      </c>
      <c r="AM1194" s="9">
        <f>SUM(AK1193:AL1194)</f>
        <v>239531.25</v>
      </c>
      <c r="AN1194" s="256">
        <f>+AN1193</f>
        <v>2032</v>
      </c>
      <c r="AQ1194" s="9">
        <f t="shared" si="131"/>
        <v>443750</v>
      </c>
      <c r="AR1194" s="9">
        <f t="shared" si="134"/>
        <v>221875</v>
      </c>
      <c r="AS1194" s="9">
        <f>AS1193</f>
        <v>5546.875</v>
      </c>
      <c r="AT1194" s="9">
        <f>SUM(AR1193:AS1194)</f>
        <v>232968.75</v>
      </c>
      <c r="AU1194" s="256">
        <f>+AU1193</f>
        <v>2032</v>
      </c>
    </row>
    <row r="1195" spans="29:47">
      <c r="AC1195" s="266">
        <f t="shared" si="129"/>
        <v>1202250</v>
      </c>
      <c r="AD1195" s="266">
        <f t="shared" si="132"/>
        <v>0</v>
      </c>
      <c r="AE1195" s="266">
        <f>+AC1195*$AD$1154/2</f>
        <v>15028.125</v>
      </c>
      <c r="AF1195" s="350"/>
      <c r="AG1195" s="349">
        <f>+AG1193+1</f>
        <v>2033</v>
      </c>
      <c r="AJ1195" s="266">
        <f t="shared" si="130"/>
        <v>228125</v>
      </c>
      <c r="AK1195" s="266">
        <f t="shared" si="133"/>
        <v>0</v>
      </c>
      <c r="AL1195" s="266">
        <f>+AJ1195*$AD$1154/2</f>
        <v>2851.5625</v>
      </c>
      <c r="AM1195" s="350"/>
      <c r="AN1195" s="349">
        <f>+AN1193+1</f>
        <v>2033</v>
      </c>
      <c r="AQ1195" s="266">
        <f t="shared" si="131"/>
        <v>221875</v>
      </c>
      <c r="AR1195" s="266">
        <f t="shared" si="134"/>
        <v>0</v>
      </c>
      <c r="AS1195" s="266">
        <f>+AQ1195*$AD$1154/2</f>
        <v>2773.4375</v>
      </c>
      <c r="AT1195" s="350"/>
      <c r="AU1195" s="349">
        <f>+AU1193+1</f>
        <v>2033</v>
      </c>
    </row>
    <row r="1196" spans="29:47" ht="15.75">
      <c r="AC1196" s="9">
        <f t="shared" si="129"/>
        <v>1202250</v>
      </c>
      <c r="AD1196" s="9">
        <f t="shared" si="132"/>
        <v>171750</v>
      </c>
      <c r="AE1196" s="9">
        <f>AE1195</f>
        <v>15028.125</v>
      </c>
      <c r="AF1196" s="9">
        <f>SUM(AD1195:AE1196)</f>
        <v>201806.25</v>
      </c>
      <c r="AG1196" s="256">
        <f>+AG1195</f>
        <v>2033</v>
      </c>
      <c r="AJ1196" s="9">
        <f t="shared" si="130"/>
        <v>228125</v>
      </c>
      <c r="AK1196" s="9">
        <f t="shared" si="133"/>
        <v>228125</v>
      </c>
      <c r="AL1196" s="9">
        <f>AL1195</f>
        <v>2851.5625</v>
      </c>
      <c r="AM1196" s="9">
        <f>SUM(AK1195:AL1196)</f>
        <v>233828.125</v>
      </c>
      <c r="AN1196" s="256">
        <f>+AN1195</f>
        <v>2033</v>
      </c>
      <c r="AQ1196" s="9">
        <f t="shared" si="131"/>
        <v>221875</v>
      </c>
      <c r="AR1196" s="9">
        <f t="shared" si="134"/>
        <v>221875</v>
      </c>
      <c r="AS1196" s="9">
        <f>AS1195</f>
        <v>2773.4375</v>
      </c>
      <c r="AT1196" s="9">
        <f>SUM(AR1195:AS1196)</f>
        <v>227421.875</v>
      </c>
      <c r="AU1196" s="256">
        <f>+AU1195</f>
        <v>2033</v>
      </c>
    </row>
    <row r="1197" spans="29:47">
      <c r="AC1197" s="266"/>
      <c r="AD1197" s="266"/>
      <c r="AE1197" s="266"/>
      <c r="AF1197" s="350"/>
      <c r="AG1197" s="349"/>
      <c r="AJ1197" s="266"/>
      <c r="AK1197" s="266"/>
      <c r="AL1197" s="266"/>
      <c r="AM1197" s="350"/>
      <c r="AN1197" s="349"/>
      <c r="AQ1197" s="266"/>
      <c r="AR1197" s="266"/>
      <c r="AS1197" s="266"/>
      <c r="AT1197" s="350"/>
      <c r="AU1197" s="349"/>
    </row>
    <row r="1198" spans="29:47" ht="15.75">
      <c r="AG1198" s="256"/>
    </row>
    <row r="1199" spans="29:47">
      <c r="AC1199" s="266"/>
      <c r="AD1199" s="266"/>
      <c r="AE1199" s="266"/>
      <c r="AF1199" s="350"/>
      <c r="AG1199" s="349"/>
    </row>
    <row r="1200" spans="29:47" ht="15.75">
      <c r="AG1200" s="256"/>
    </row>
    <row r="1201" spans="28:47">
      <c r="AC1201" s="266"/>
      <c r="AD1201" s="266"/>
      <c r="AE1201" s="266"/>
      <c r="AF1201" s="350"/>
      <c r="AG1201" s="349"/>
    </row>
    <row r="1202" spans="28:47" ht="15.75">
      <c r="AG1202" s="256"/>
    </row>
    <row r="1203" spans="28:47" ht="15.75">
      <c r="AG1203" s="256"/>
    </row>
    <row r="1204" spans="28:47">
      <c r="AD1204" s="9">
        <f>SUM(AD1160:AD1203)</f>
        <v>2408500</v>
      </c>
      <c r="AK1204" s="9">
        <f>SUM(AK1160:AK1203)</f>
        <v>3750000</v>
      </c>
      <c r="AR1204" s="9">
        <f>SUM(AR1160:AR1203)</f>
        <v>3750000</v>
      </c>
    </row>
    <row r="1205" spans="28:47">
      <c r="AC1205" s="9" t="s">
        <v>502</v>
      </c>
      <c r="AJ1205" s="9" t="s">
        <v>502</v>
      </c>
      <c r="AQ1205" s="9" t="s">
        <v>502</v>
      </c>
    </row>
    <row r="1206" spans="28:47">
      <c r="AB1206" s="11"/>
      <c r="AC1206" s="9" t="s">
        <v>503</v>
      </c>
      <c r="AG1206" s="344"/>
      <c r="AI1206" s="11"/>
      <c r="AJ1206" s="9" t="s">
        <v>503</v>
      </c>
      <c r="AN1206" s="344"/>
      <c r="AP1206" s="11"/>
      <c r="AQ1206" s="9" t="s">
        <v>503</v>
      </c>
      <c r="AU1206" s="344"/>
    </row>
    <row r="1207" spans="28:47">
      <c r="AB1207" s="11" t="s">
        <v>39</v>
      </c>
      <c r="AC1207" s="9">
        <v>1200000</v>
      </c>
      <c r="AD1207" s="342"/>
      <c r="AE1207" s="342"/>
      <c r="AF1207" s="342"/>
      <c r="AG1207" s="344"/>
      <c r="AI1207" s="11" t="s">
        <v>39</v>
      </c>
      <c r="AJ1207" s="9">
        <v>1200000</v>
      </c>
      <c r="AK1207" s="342"/>
      <c r="AL1207" s="342"/>
      <c r="AM1207" s="342"/>
      <c r="AN1207" s="344"/>
      <c r="AP1207" s="11" t="s">
        <v>39</v>
      </c>
      <c r="AQ1207" s="9">
        <v>1200000</v>
      </c>
      <c r="AR1207" s="342"/>
      <c r="AS1207" s="342"/>
      <c r="AT1207" s="342"/>
      <c r="AU1207" s="344"/>
    </row>
    <row r="1208" spans="28:47">
      <c r="AB1208" s="11" t="s">
        <v>40</v>
      </c>
      <c r="AC1208" s="352">
        <v>4.7996999999999998E-2</v>
      </c>
      <c r="AG1208" s="344"/>
      <c r="AI1208" s="11" t="s">
        <v>40</v>
      </c>
      <c r="AJ1208" s="335">
        <v>2.5000000000000001E-2</v>
      </c>
      <c r="AN1208" s="344"/>
      <c r="AP1208" s="11" t="s">
        <v>40</v>
      </c>
      <c r="AQ1208" s="335">
        <v>2.5000000000000001E-2</v>
      </c>
      <c r="AU1208" s="344"/>
    </row>
    <row r="1209" spans="28:47">
      <c r="AB1209" s="11" t="s">
        <v>41</v>
      </c>
      <c r="AC1209" s="9">
        <v>9</v>
      </c>
      <c r="AD1209" s="335"/>
      <c r="AG1209" s="344"/>
      <c r="AI1209" s="11" t="s">
        <v>41</v>
      </c>
      <c r="AJ1209" s="9">
        <v>9</v>
      </c>
      <c r="AK1209" s="335"/>
      <c r="AN1209" s="344"/>
      <c r="AP1209" s="11" t="s">
        <v>41</v>
      </c>
      <c r="AQ1209" s="9">
        <v>9</v>
      </c>
      <c r="AR1209" s="335"/>
      <c r="AU1209" s="344"/>
    </row>
    <row r="1210" spans="28:47">
      <c r="AB1210" s="11"/>
      <c r="AC1210" s="342" t="s">
        <v>43</v>
      </c>
      <c r="AD1210" s="342" t="s">
        <v>44</v>
      </c>
      <c r="AE1210" s="341" t="s">
        <v>45</v>
      </c>
      <c r="AF1210" s="341" t="s">
        <v>46</v>
      </c>
      <c r="AG1210" s="338" t="s">
        <v>47</v>
      </c>
      <c r="AI1210" s="11"/>
      <c r="AJ1210" s="342" t="s">
        <v>43</v>
      </c>
      <c r="AK1210" s="342" t="s">
        <v>44</v>
      </c>
      <c r="AL1210" s="341" t="s">
        <v>45</v>
      </c>
      <c r="AM1210" s="341" t="s">
        <v>46</v>
      </c>
      <c r="AN1210" s="338" t="s">
        <v>47</v>
      </c>
      <c r="AP1210" s="11"/>
      <c r="AQ1210" s="342" t="s">
        <v>43</v>
      </c>
      <c r="AR1210" s="342" t="s">
        <v>44</v>
      </c>
      <c r="AS1210" s="341" t="s">
        <v>45</v>
      </c>
      <c r="AT1210" s="341" t="s">
        <v>46</v>
      </c>
      <c r="AU1210" s="338" t="s">
        <v>47</v>
      </c>
    </row>
    <row r="1211" spans="28:47">
      <c r="AB1211" s="11"/>
      <c r="AC1211" s="266">
        <f>AC1207</f>
        <v>1200000</v>
      </c>
      <c r="AD1211" s="266"/>
      <c r="AE1211" s="266"/>
      <c r="AF1211" s="350"/>
      <c r="AG1211" s="366">
        <v>2015</v>
      </c>
      <c r="AI1211" s="11"/>
      <c r="AJ1211" s="266">
        <f>AJ1207</f>
        <v>1200000</v>
      </c>
      <c r="AK1211" s="266"/>
      <c r="AL1211" s="266"/>
      <c r="AM1211" s="350"/>
      <c r="AN1211" s="366">
        <v>2015</v>
      </c>
      <c r="AP1211" s="11"/>
      <c r="AQ1211" s="266">
        <f>AQ1207</f>
        <v>1200000</v>
      </c>
      <c r="AR1211" s="266"/>
      <c r="AS1211" s="266"/>
      <c r="AT1211" s="350"/>
      <c r="AU1211" s="366">
        <v>2015</v>
      </c>
    </row>
    <row r="1212" spans="28:47" ht="15.75">
      <c r="AB1212" s="11"/>
      <c r="AC1212" s="9">
        <f t="shared" ref="AC1212:AC1230" si="135">AC1211-AD1211</f>
        <v>1200000</v>
      </c>
      <c r="AE1212" s="9">
        <v>5000</v>
      </c>
      <c r="AF1212" s="9">
        <f>SUM(AD1211:AE1212)</f>
        <v>5000</v>
      </c>
      <c r="AG1212" s="256">
        <f>+AG1211</f>
        <v>2015</v>
      </c>
      <c r="AI1212" s="11"/>
      <c r="AJ1212" s="9">
        <f t="shared" ref="AJ1212:AJ1230" si="136">AJ1211-AK1211</f>
        <v>1200000</v>
      </c>
      <c r="AL1212" s="9">
        <v>5000</v>
      </c>
      <c r="AM1212" s="9">
        <f>SUM(AK1211:AL1212)</f>
        <v>5000</v>
      </c>
      <c r="AN1212" s="256">
        <f>+AN1211</f>
        <v>2015</v>
      </c>
      <c r="AP1212" s="11"/>
      <c r="AQ1212" s="9">
        <f t="shared" ref="AQ1212:AQ1230" si="137">AQ1211-AR1211</f>
        <v>1200000</v>
      </c>
      <c r="AS1212" s="9">
        <v>5000</v>
      </c>
      <c r="AT1212" s="9">
        <f>SUM(AR1211:AS1212)</f>
        <v>5000</v>
      </c>
      <c r="AU1212" s="256">
        <f>+AU1211</f>
        <v>2015</v>
      </c>
    </row>
    <row r="1213" spans="28:47">
      <c r="AB1213" s="11"/>
      <c r="AC1213" s="266">
        <f t="shared" si="135"/>
        <v>1200000</v>
      </c>
      <c r="AD1213" s="266"/>
      <c r="AE1213" s="266">
        <v>0</v>
      </c>
      <c r="AF1213" s="350"/>
      <c r="AG1213" s="349">
        <f>+AG1211+1</f>
        <v>2016</v>
      </c>
      <c r="AI1213" s="11"/>
      <c r="AJ1213" s="266">
        <f t="shared" si="136"/>
        <v>1200000</v>
      </c>
      <c r="AK1213" s="266"/>
      <c r="AL1213" s="266">
        <f>AJ1213*AJ1208/2</f>
        <v>15000</v>
      </c>
      <c r="AM1213" s="350"/>
      <c r="AN1213" s="349">
        <f>+AN1211+1</f>
        <v>2016</v>
      </c>
      <c r="AP1213" s="11"/>
      <c r="AQ1213" s="266">
        <f t="shared" si="137"/>
        <v>1200000</v>
      </c>
      <c r="AR1213" s="266"/>
      <c r="AS1213" s="266">
        <f>AQ1213*AQ1208/2</f>
        <v>15000</v>
      </c>
      <c r="AT1213" s="350"/>
      <c r="AU1213" s="349">
        <f>+AU1211+1</f>
        <v>2016</v>
      </c>
    </row>
    <row r="1214" spans="28:47" ht="15.75">
      <c r="AC1214" s="9">
        <f t="shared" si="135"/>
        <v>1200000</v>
      </c>
      <c r="AD1214" s="9">
        <f>AC1214/9+AH1214</f>
        <v>133336.33333333334</v>
      </c>
      <c r="AE1214" s="9">
        <v>57688.89</v>
      </c>
      <c r="AF1214" s="9">
        <f>SUM(AD1213:AE1214)</f>
        <v>191025.22333333333</v>
      </c>
      <c r="AG1214" s="256">
        <f>+AG1213</f>
        <v>2016</v>
      </c>
      <c r="AH1214" s="9">
        <v>3</v>
      </c>
      <c r="AJ1214" s="9">
        <f t="shared" si="136"/>
        <v>1200000</v>
      </c>
      <c r="AK1214" s="9">
        <v>10000</v>
      </c>
      <c r="AL1214" s="9">
        <f>AJ1214*AJ1208/2</f>
        <v>15000</v>
      </c>
      <c r="AM1214" s="9">
        <f>SUM(AK1213:AL1214)</f>
        <v>40000</v>
      </c>
      <c r="AN1214" s="256">
        <f>+AN1213</f>
        <v>2016</v>
      </c>
      <c r="AQ1214" s="9">
        <f t="shared" si="137"/>
        <v>1200000</v>
      </c>
      <c r="AR1214" s="9">
        <v>50000</v>
      </c>
      <c r="AS1214" s="9">
        <f>AQ1214*AQ1208/2</f>
        <v>15000</v>
      </c>
      <c r="AT1214" s="9">
        <f>SUM(AR1213:AS1214)</f>
        <v>80000</v>
      </c>
      <c r="AU1214" s="256">
        <f>+AU1213</f>
        <v>2016</v>
      </c>
    </row>
    <row r="1215" spans="28:47">
      <c r="AB1215" s="11"/>
      <c r="AC1215" s="266">
        <f t="shared" si="135"/>
        <v>1066663.6666666667</v>
      </c>
      <c r="AD1215" s="266">
        <v>0</v>
      </c>
      <c r="AE1215" s="266">
        <v>25999.94</v>
      </c>
      <c r="AF1215" s="350"/>
      <c r="AG1215" s="349">
        <f>+AG1213+1</f>
        <v>2017</v>
      </c>
      <c r="AI1215" s="11"/>
      <c r="AJ1215" s="266">
        <f t="shared" si="136"/>
        <v>1190000</v>
      </c>
      <c r="AK1215" s="266">
        <v>0</v>
      </c>
      <c r="AL1215" s="266">
        <f>+AJ1215*$AC$1208/2</f>
        <v>28558.215</v>
      </c>
      <c r="AM1215" s="350"/>
      <c r="AN1215" s="349">
        <f>+AN1213+1</f>
        <v>2017</v>
      </c>
      <c r="AP1215" s="11"/>
      <c r="AQ1215" s="266">
        <f t="shared" si="137"/>
        <v>1150000</v>
      </c>
      <c r="AR1215" s="266">
        <v>0</v>
      </c>
      <c r="AS1215" s="266">
        <f>+AQ1215*$AC$1208/2</f>
        <v>27598.274999999998</v>
      </c>
      <c r="AT1215" s="350"/>
      <c r="AU1215" s="349">
        <f>+AU1213+1</f>
        <v>2017</v>
      </c>
    </row>
    <row r="1216" spans="28:47" ht="15.75">
      <c r="AB1216" s="11"/>
      <c r="AC1216" s="9">
        <f t="shared" si="135"/>
        <v>1066663.6666666667</v>
      </c>
      <c r="AD1216" s="9">
        <f>AC1216/8</f>
        <v>133332.95833333334</v>
      </c>
      <c r="AE1216" s="9">
        <f>AE1215</f>
        <v>25999.94</v>
      </c>
      <c r="AF1216" s="9">
        <f>SUM(AD1215:AE1216)</f>
        <v>185332.83833333335</v>
      </c>
      <c r="AG1216" s="256">
        <f>+AG1215</f>
        <v>2017</v>
      </c>
      <c r="AI1216" s="11"/>
      <c r="AJ1216" s="9">
        <f t="shared" si="136"/>
        <v>1190000</v>
      </c>
      <c r="AK1216" s="9">
        <f>AJ1216/8</f>
        <v>148750</v>
      </c>
      <c r="AL1216" s="9">
        <f>AL1215</f>
        <v>28558.215</v>
      </c>
      <c r="AM1216" s="9">
        <f>SUM(AK1215:AL1216)</f>
        <v>205866.43</v>
      </c>
      <c r="AN1216" s="256">
        <f>+AN1215</f>
        <v>2017</v>
      </c>
      <c r="AP1216" s="11"/>
      <c r="AQ1216" s="9">
        <f t="shared" si="137"/>
        <v>1150000</v>
      </c>
      <c r="AR1216" s="9">
        <f>AQ1216/8</f>
        <v>143750</v>
      </c>
      <c r="AS1216" s="9">
        <f>AS1215</f>
        <v>27598.274999999998</v>
      </c>
      <c r="AT1216" s="9">
        <f>SUM(AR1215:AS1216)</f>
        <v>198946.55</v>
      </c>
      <c r="AU1216" s="256">
        <f>+AU1215</f>
        <v>2017</v>
      </c>
    </row>
    <row r="1217" spans="29:47">
      <c r="AC1217" s="266">
        <f t="shared" si="135"/>
        <v>933330.70833333337</v>
      </c>
      <c r="AD1217" s="266">
        <f t="shared" ref="AD1217:AD1229" si="138">AD1215</f>
        <v>0</v>
      </c>
      <c r="AE1217" s="266">
        <v>22666.61</v>
      </c>
      <c r="AF1217" s="350"/>
      <c r="AG1217" s="349">
        <f>+AG1215+1</f>
        <v>2018</v>
      </c>
      <c r="AJ1217" s="266">
        <f t="shared" si="136"/>
        <v>1041250</v>
      </c>
      <c r="AK1217" s="266">
        <f t="shared" ref="AK1217:AK1229" si="139">AK1215</f>
        <v>0</v>
      </c>
      <c r="AL1217" s="266">
        <f>+AJ1217*$AC$1208/2</f>
        <v>24988.438125000001</v>
      </c>
      <c r="AM1217" s="350"/>
      <c r="AN1217" s="349">
        <f>+AN1215+1</f>
        <v>2018</v>
      </c>
      <c r="AQ1217" s="266">
        <f t="shared" si="137"/>
        <v>1006250</v>
      </c>
      <c r="AR1217" s="266">
        <f t="shared" ref="AR1217:AR1229" si="140">AR1215</f>
        <v>0</v>
      </c>
      <c r="AS1217" s="266">
        <f>+AQ1217*$AC$1208/2</f>
        <v>24148.490624999999</v>
      </c>
      <c r="AT1217" s="350"/>
      <c r="AU1217" s="349">
        <f>+AU1215+1</f>
        <v>2018</v>
      </c>
    </row>
    <row r="1218" spans="29:47" ht="15.75">
      <c r="AC1218" s="9">
        <f t="shared" si="135"/>
        <v>933330.70833333337</v>
      </c>
      <c r="AD1218" s="9">
        <f t="shared" si="138"/>
        <v>133332.95833333334</v>
      </c>
      <c r="AE1218" s="266">
        <v>22666.61</v>
      </c>
      <c r="AF1218" s="9">
        <f>SUM(AD1217:AE1218)</f>
        <v>178666.17833333334</v>
      </c>
      <c r="AG1218" s="256">
        <f>+AG1217</f>
        <v>2018</v>
      </c>
      <c r="AJ1218" s="9">
        <f t="shared" si="136"/>
        <v>1041250</v>
      </c>
      <c r="AK1218" s="9">
        <f t="shared" si="139"/>
        <v>148750</v>
      </c>
      <c r="AL1218" s="266">
        <f t="shared" ref="AL1218:AL1230" si="141">+AJ1218*$AC$1208/2</f>
        <v>24988.438125000001</v>
      </c>
      <c r="AM1218" s="9">
        <f>SUM(AK1217:AL1218)</f>
        <v>198726.87624999997</v>
      </c>
      <c r="AN1218" s="256">
        <f>+AN1217</f>
        <v>2018</v>
      </c>
      <c r="AQ1218" s="9">
        <f t="shared" si="137"/>
        <v>1006250</v>
      </c>
      <c r="AR1218" s="9">
        <f t="shared" si="140"/>
        <v>143750</v>
      </c>
      <c r="AS1218" s="266">
        <f t="shared" ref="AS1218:AS1230" si="142">+AQ1218*$AC$1208/2</f>
        <v>24148.490624999999</v>
      </c>
      <c r="AT1218" s="9">
        <f>SUM(AR1217:AS1218)</f>
        <v>192046.98125000001</v>
      </c>
      <c r="AU1218" s="256">
        <f>+AU1217</f>
        <v>2018</v>
      </c>
    </row>
    <row r="1219" spans="29:47">
      <c r="AC1219" s="266">
        <f t="shared" si="135"/>
        <v>799997.75</v>
      </c>
      <c r="AD1219" s="266">
        <f t="shared" si="138"/>
        <v>0</v>
      </c>
      <c r="AE1219" s="266">
        <v>19333.29</v>
      </c>
      <c r="AF1219" s="350"/>
      <c r="AG1219" s="349">
        <f>+AG1217+1</f>
        <v>2019</v>
      </c>
      <c r="AJ1219" s="266">
        <f t="shared" si="136"/>
        <v>892500</v>
      </c>
      <c r="AK1219" s="266">
        <f t="shared" si="139"/>
        <v>0</v>
      </c>
      <c r="AL1219" s="266">
        <f t="shared" si="141"/>
        <v>21418.661249999997</v>
      </c>
      <c r="AM1219" s="350"/>
      <c r="AN1219" s="349">
        <f>+AN1217+1</f>
        <v>2019</v>
      </c>
      <c r="AQ1219" s="266">
        <f t="shared" si="137"/>
        <v>862500</v>
      </c>
      <c r="AR1219" s="266">
        <f t="shared" si="140"/>
        <v>0</v>
      </c>
      <c r="AS1219" s="266">
        <f t="shared" si="142"/>
        <v>20698.706249999999</v>
      </c>
      <c r="AT1219" s="350"/>
      <c r="AU1219" s="349">
        <f>+AU1217+1</f>
        <v>2019</v>
      </c>
    </row>
    <row r="1220" spans="29:47" ht="15.75">
      <c r="AC1220" s="9">
        <f t="shared" si="135"/>
        <v>799997.75</v>
      </c>
      <c r="AD1220" s="9">
        <f t="shared" si="138"/>
        <v>133332.95833333334</v>
      </c>
      <c r="AE1220" s="266">
        <v>19333.29</v>
      </c>
      <c r="AF1220" s="9">
        <f>SUM(AD1219:AE1220)</f>
        <v>171999.53833333336</v>
      </c>
      <c r="AG1220" s="256">
        <f>+AG1219</f>
        <v>2019</v>
      </c>
      <c r="AJ1220" s="9">
        <f t="shared" si="136"/>
        <v>892500</v>
      </c>
      <c r="AK1220" s="9">
        <f t="shared" si="139"/>
        <v>148750</v>
      </c>
      <c r="AL1220" s="266">
        <f t="shared" si="141"/>
        <v>21418.661249999997</v>
      </c>
      <c r="AM1220" s="9">
        <f>SUM(AK1219:AL1220)</f>
        <v>191587.32250000001</v>
      </c>
      <c r="AN1220" s="256">
        <f>+AN1219</f>
        <v>2019</v>
      </c>
      <c r="AQ1220" s="9">
        <f t="shared" si="137"/>
        <v>862500</v>
      </c>
      <c r="AR1220" s="9">
        <f t="shared" si="140"/>
        <v>143750</v>
      </c>
      <c r="AS1220" s="266">
        <f t="shared" si="142"/>
        <v>20698.706249999999</v>
      </c>
      <c r="AT1220" s="9">
        <f>SUM(AR1219:AS1220)</f>
        <v>185147.41249999998</v>
      </c>
      <c r="AU1220" s="256">
        <f>+AU1219</f>
        <v>2019</v>
      </c>
    </row>
    <row r="1221" spans="29:47">
      <c r="AC1221" s="266">
        <f t="shared" si="135"/>
        <v>666664.79166666663</v>
      </c>
      <c r="AD1221" s="266">
        <f t="shared" si="138"/>
        <v>0</v>
      </c>
      <c r="AE1221" s="266">
        <v>15999.96</v>
      </c>
      <c r="AF1221" s="350"/>
      <c r="AG1221" s="349">
        <f>+AG1219+1</f>
        <v>2020</v>
      </c>
      <c r="AJ1221" s="266">
        <f t="shared" si="136"/>
        <v>743750</v>
      </c>
      <c r="AK1221" s="266">
        <f t="shared" si="139"/>
        <v>0</v>
      </c>
      <c r="AL1221" s="266">
        <f t="shared" si="141"/>
        <v>17848.884374999998</v>
      </c>
      <c r="AM1221" s="350"/>
      <c r="AN1221" s="349">
        <f>+AN1219+1</f>
        <v>2020</v>
      </c>
      <c r="AQ1221" s="266">
        <f t="shared" si="137"/>
        <v>718750</v>
      </c>
      <c r="AR1221" s="266">
        <f t="shared" si="140"/>
        <v>0</v>
      </c>
      <c r="AS1221" s="266">
        <f t="shared" si="142"/>
        <v>17248.921875</v>
      </c>
      <c r="AT1221" s="350"/>
      <c r="AU1221" s="349">
        <f>+AU1219+1</f>
        <v>2020</v>
      </c>
    </row>
    <row r="1222" spans="29:47" ht="15.75">
      <c r="AC1222" s="9">
        <f t="shared" si="135"/>
        <v>666664.79166666663</v>
      </c>
      <c r="AD1222" s="9">
        <f t="shared" si="138"/>
        <v>133332.95833333334</v>
      </c>
      <c r="AE1222" s="266">
        <v>15999.96</v>
      </c>
      <c r="AF1222" s="9">
        <f>SUM(AD1221:AE1222)</f>
        <v>165332.87833333333</v>
      </c>
      <c r="AG1222" s="256">
        <f>+AG1221</f>
        <v>2020</v>
      </c>
      <c r="AJ1222" s="9">
        <f t="shared" si="136"/>
        <v>743750</v>
      </c>
      <c r="AK1222" s="9">
        <f t="shared" si="139"/>
        <v>148750</v>
      </c>
      <c r="AL1222" s="266">
        <f t="shared" si="141"/>
        <v>17848.884374999998</v>
      </c>
      <c r="AM1222" s="9">
        <f>SUM(AK1221:AL1222)</f>
        <v>184447.76874999999</v>
      </c>
      <c r="AN1222" s="256">
        <f>+AN1221</f>
        <v>2020</v>
      </c>
      <c r="AQ1222" s="9">
        <f t="shared" si="137"/>
        <v>718750</v>
      </c>
      <c r="AR1222" s="9">
        <f t="shared" si="140"/>
        <v>143750</v>
      </c>
      <c r="AS1222" s="266">
        <f t="shared" si="142"/>
        <v>17248.921875</v>
      </c>
      <c r="AT1222" s="9">
        <f>SUM(AR1221:AS1222)</f>
        <v>178247.84375</v>
      </c>
      <c r="AU1222" s="256">
        <f>+AU1221</f>
        <v>2020</v>
      </c>
    </row>
    <row r="1223" spans="29:47">
      <c r="AC1223" s="266">
        <f t="shared" si="135"/>
        <v>533331.83333333326</v>
      </c>
      <c r="AD1223" s="266">
        <f t="shared" si="138"/>
        <v>0</v>
      </c>
      <c r="AE1223" s="266">
        <v>12666.64</v>
      </c>
      <c r="AF1223" s="350"/>
      <c r="AG1223" s="349">
        <f>+AG1221+1</f>
        <v>2021</v>
      </c>
      <c r="AJ1223" s="266">
        <f t="shared" si="136"/>
        <v>595000</v>
      </c>
      <c r="AK1223" s="266">
        <f t="shared" si="139"/>
        <v>0</v>
      </c>
      <c r="AL1223" s="266">
        <f t="shared" si="141"/>
        <v>14279.1075</v>
      </c>
      <c r="AM1223" s="350"/>
      <c r="AN1223" s="349">
        <f>+AN1221+1</f>
        <v>2021</v>
      </c>
      <c r="AQ1223" s="266">
        <f t="shared" si="137"/>
        <v>575000</v>
      </c>
      <c r="AR1223" s="266">
        <f t="shared" si="140"/>
        <v>0</v>
      </c>
      <c r="AS1223" s="266">
        <f t="shared" si="142"/>
        <v>13799.137499999999</v>
      </c>
      <c r="AT1223" s="350"/>
      <c r="AU1223" s="349">
        <f>+AU1221+1</f>
        <v>2021</v>
      </c>
    </row>
    <row r="1224" spans="29:47" ht="15.75">
      <c r="AC1224" s="9">
        <f t="shared" si="135"/>
        <v>533331.83333333326</v>
      </c>
      <c r="AD1224" s="9">
        <f t="shared" si="138"/>
        <v>133332.95833333334</v>
      </c>
      <c r="AE1224" s="266">
        <v>12666.64</v>
      </c>
      <c r="AF1224" s="9">
        <f>SUM(AD1223:AE1224)</f>
        <v>158666.23833333334</v>
      </c>
      <c r="AG1224" s="256">
        <f>+AG1223</f>
        <v>2021</v>
      </c>
      <c r="AJ1224" s="9">
        <f t="shared" si="136"/>
        <v>595000</v>
      </c>
      <c r="AK1224" s="9">
        <f t="shared" si="139"/>
        <v>148750</v>
      </c>
      <c r="AL1224" s="266">
        <f t="shared" si="141"/>
        <v>14279.1075</v>
      </c>
      <c r="AM1224" s="9">
        <f>SUM(AK1223:AL1224)</f>
        <v>177308.21500000003</v>
      </c>
      <c r="AN1224" s="256">
        <f>+AN1223</f>
        <v>2021</v>
      </c>
      <c r="AQ1224" s="9">
        <f t="shared" si="137"/>
        <v>575000</v>
      </c>
      <c r="AR1224" s="9">
        <f t="shared" si="140"/>
        <v>143750</v>
      </c>
      <c r="AS1224" s="266">
        <f t="shared" si="142"/>
        <v>13799.137499999999</v>
      </c>
      <c r="AT1224" s="9">
        <f>SUM(AR1223:AS1224)</f>
        <v>171348.27500000002</v>
      </c>
      <c r="AU1224" s="256">
        <f>+AU1223</f>
        <v>2021</v>
      </c>
    </row>
    <row r="1225" spans="29:47">
      <c r="AC1225" s="266">
        <f t="shared" si="135"/>
        <v>399998.87499999988</v>
      </c>
      <c r="AD1225" s="266">
        <f t="shared" si="138"/>
        <v>0</v>
      </c>
      <c r="AE1225" s="266">
        <v>9333.31</v>
      </c>
      <c r="AF1225" s="350"/>
      <c r="AG1225" s="349">
        <f>+AG1223+1</f>
        <v>2022</v>
      </c>
      <c r="AJ1225" s="266">
        <f t="shared" si="136"/>
        <v>446250</v>
      </c>
      <c r="AK1225" s="266">
        <f t="shared" si="139"/>
        <v>0</v>
      </c>
      <c r="AL1225" s="266">
        <f t="shared" si="141"/>
        <v>10709.330624999999</v>
      </c>
      <c r="AM1225" s="350"/>
      <c r="AN1225" s="349">
        <f>+AN1223+1</f>
        <v>2022</v>
      </c>
      <c r="AQ1225" s="266">
        <f t="shared" si="137"/>
        <v>431250</v>
      </c>
      <c r="AR1225" s="266">
        <f t="shared" si="140"/>
        <v>0</v>
      </c>
      <c r="AS1225" s="266">
        <f t="shared" si="142"/>
        <v>10349.353125</v>
      </c>
      <c r="AT1225" s="350"/>
      <c r="AU1225" s="349">
        <f>+AU1223+1</f>
        <v>2022</v>
      </c>
    </row>
    <row r="1226" spans="29:47" ht="15.75">
      <c r="AC1226" s="9">
        <f t="shared" si="135"/>
        <v>399998.87499999988</v>
      </c>
      <c r="AD1226" s="9">
        <f t="shared" si="138"/>
        <v>133332.95833333334</v>
      </c>
      <c r="AE1226" s="266">
        <v>9333.31</v>
      </c>
      <c r="AF1226" s="9">
        <f>SUM(AD1225:AE1226)</f>
        <v>151999.57833333334</v>
      </c>
      <c r="AG1226" s="256">
        <f>+AG1225</f>
        <v>2022</v>
      </c>
      <c r="AJ1226" s="9">
        <f t="shared" si="136"/>
        <v>446250</v>
      </c>
      <c r="AK1226" s="9">
        <f t="shared" si="139"/>
        <v>148750</v>
      </c>
      <c r="AL1226" s="266">
        <f t="shared" si="141"/>
        <v>10709.330624999999</v>
      </c>
      <c r="AM1226" s="9">
        <f>SUM(AK1225:AL1226)</f>
        <v>170168.66125</v>
      </c>
      <c r="AN1226" s="256">
        <f>+AN1225</f>
        <v>2022</v>
      </c>
      <c r="AQ1226" s="9">
        <f t="shared" si="137"/>
        <v>431250</v>
      </c>
      <c r="AR1226" s="9">
        <f t="shared" si="140"/>
        <v>143750</v>
      </c>
      <c r="AS1226" s="266">
        <f t="shared" si="142"/>
        <v>10349.353125</v>
      </c>
      <c r="AT1226" s="9">
        <f>SUM(AR1225:AS1226)</f>
        <v>164448.70624999999</v>
      </c>
      <c r="AU1226" s="256">
        <f>+AU1225</f>
        <v>2022</v>
      </c>
    </row>
    <row r="1227" spans="29:47">
      <c r="AC1227" s="266">
        <f t="shared" si="135"/>
        <v>266665.91666666651</v>
      </c>
      <c r="AD1227" s="266">
        <f t="shared" si="138"/>
        <v>0</v>
      </c>
      <c r="AE1227" s="266">
        <v>5999.99</v>
      </c>
      <c r="AF1227" s="350"/>
      <c r="AG1227" s="349">
        <f>+AG1225+1</f>
        <v>2023</v>
      </c>
      <c r="AJ1227" s="266">
        <f t="shared" si="136"/>
        <v>297500</v>
      </c>
      <c r="AK1227" s="266">
        <f t="shared" si="139"/>
        <v>0</v>
      </c>
      <c r="AL1227" s="266">
        <f t="shared" si="141"/>
        <v>7139.55375</v>
      </c>
      <c r="AM1227" s="350"/>
      <c r="AN1227" s="349">
        <f>+AN1225+1</f>
        <v>2023</v>
      </c>
      <c r="AQ1227" s="266">
        <f t="shared" si="137"/>
        <v>287500</v>
      </c>
      <c r="AR1227" s="266">
        <f t="shared" si="140"/>
        <v>0</v>
      </c>
      <c r="AS1227" s="266">
        <f t="shared" si="142"/>
        <v>6899.5687499999995</v>
      </c>
      <c r="AT1227" s="350"/>
      <c r="AU1227" s="349">
        <f>+AU1225+1</f>
        <v>2023</v>
      </c>
    </row>
    <row r="1228" spans="29:47" ht="15.75">
      <c r="AC1228" s="9">
        <f t="shared" si="135"/>
        <v>266665.91666666651</v>
      </c>
      <c r="AD1228" s="9">
        <f t="shared" si="138"/>
        <v>133332.95833333334</v>
      </c>
      <c r="AE1228" s="266">
        <v>5999.99</v>
      </c>
      <c r="AF1228" s="9">
        <f>SUM(AD1227:AE1228)</f>
        <v>145332.93833333332</v>
      </c>
      <c r="AG1228" s="256">
        <f>+AG1227</f>
        <v>2023</v>
      </c>
      <c r="AJ1228" s="9">
        <f t="shared" si="136"/>
        <v>297500</v>
      </c>
      <c r="AK1228" s="9">
        <f t="shared" si="139"/>
        <v>148750</v>
      </c>
      <c r="AL1228" s="266">
        <f t="shared" si="141"/>
        <v>7139.55375</v>
      </c>
      <c r="AM1228" s="9">
        <f>SUM(AK1227:AL1228)</f>
        <v>163029.10749999998</v>
      </c>
      <c r="AN1228" s="256">
        <f>+AN1227</f>
        <v>2023</v>
      </c>
      <c r="AQ1228" s="9">
        <f t="shared" si="137"/>
        <v>287500</v>
      </c>
      <c r="AR1228" s="9">
        <f t="shared" si="140"/>
        <v>143750</v>
      </c>
      <c r="AS1228" s="266">
        <f t="shared" si="142"/>
        <v>6899.5687499999995</v>
      </c>
      <c r="AT1228" s="9">
        <f>SUM(AR1227:AS1228)</f>
        <v>157549.13750000001</v>
      </c>
      <c r="AU1228" s="256">
        <f>+AU1227</f>
        <v>2023</v>
      </c>
    </row>
    <row r="1229" spans="29:47">
      <c r="AC1229" s="266">
        <f t="shared" si="135"/>
        <v>133332.95833333317</v>
      </c>
      <c r="AD1229" s="266">
        <f t="shared" si="138"/>
        <v>0</v>
      </c>
      <c r="AE1229" s="266">
        <v>2666.66</v>
      </c>
      <c r="AF1229" s="350"/>
      <c r="AG1229" s="349">
        <f>+AG1227+1</f>
        <v>2024</v>
      </c>
      <c r="AJ1229" s="266">
        <f t="shared" si="136"/>
        <v>148750</v>
      </c>
      <c r="AK1229" s="266">
        <f t="shared" si="139"/>
        <v>0</v>
      </c>
      <c r="AL1229" s="266">
        <f t="shared" si="141"/>
        <v>3569.776875</v>
      </c>
      <c r="AM1229" s="350"/>
      <c r="AN1229" s="349">
        <f>+AN1227+1</f>
        <v>2024</v>
      </c>
      <c r="AQ1229" s="266">
        <f t="shared" si="137"/>
        <v>143750</v>
      </c>
      <c r="AR1229" s="266">
        <f t="shared" si="140"/>
        <v>0</v>
      </c>
      <c r="AS1229" s="266">
        <f t="shared" si="142"/>
        <v>3449.7843749999997</v>
      </c>
      <c r="AT1229" s="350"/>
      <c r="AU1229" s="349">
        <f>+AU1227+1</f>
        <v>2024</v>
      </c>
    </row>
    <row r="1230" spans="29:47" ht="15.75">
      <c r="AC1230" s="9">
        <f t="shared" si="135"/>
        <v>133332.95833333317</v>
      </c>
      <c r="AD1230" s="9">
        <f>AD1228</f>
        <v>133332.95833333334</v>
      </c>
      <c r="AE1230" s="266">
        <v>2666.66</v>
      </c>
      <c r="AF1230" s="9">
        <f>SUM(AD1229:AE1230)</f>
        <v>138666.27833333335</v>
      </c>
      <c r="AG1230" s="256">
        <f>+AG1229</f>
        <v>2024</v>
      </c>
      <c r="AJ1230" s="9">
        <f t="shared" si="136"/>
        <v>148750</v>
      </c>
      <c r="AK1230" s="9">
        <f>AK1228</f>
        <v>148750</v>
      </c>
      <c r="AL1230" s="266">
        <f t="shared" si="141"/>
        <v>3569.776875</v>
      </c>
      <c r="AM1230" s="9">
        <f>SUM(AK1229:AL1230)</f>
        <v>155889.55375000002</v>
      </c>
      <c r="AN1230" s="256">
        <f>+AN1229</f>
        <v>2024</v>
      </c>
      <c r="AQ1230" s="9">
        <f t="shared" si="137"/>
        <v>143750</v>
      </c>
      <c r="AR1230" s="9">
        <f>AR1228</f>
        <v>143750</v>
      </c>
      <c r="AS1230" s="266">
        <f t="shared" si="142"/>
        <v>3449.7843749999997</v>
      </c>
      <c r="AT1230" s="9">
        <f>SUM(AR1229:AS1230)</f>
        <v>150649.56874999998</v>
      </c>
      <c r="AU1230" s="256">
        <f>+AU1229</f>
        <v>2024</v>
      </c>
    </row>
    <row r="1231" spans="29:47">
      <c r="AC1231" s="266"/>
      <c r="AD1231" s="266"/>
      <c r="AE1231" s="266"/>
      <c r="AF1231" s="350"/>
      <c r="AG1231" s="349"/>
      <c r="AJ1231" s="266"/>
      <c r="AK1231" s="266"/>
      <c r="AL1231" s="266"/>
      <c r="AM1231" s="350"/>
      <c r="AN1231" s="349"/>
      <c r="AQ1231" s="266"/>
      <c r="AR1231" s="266"/>
      <c r="AS1231" s="266"/>
      <c r="AT1231" s="350"/>
      <c r="AU1231" s="349"/>
    </row>
    <row r="1232" spans="29:47" ht="15.75">
      <c r="AD1232" s="9">
        <f>SUM(AD1214:AD1231)</f>
        <v>1200000</v>
      </c>
      <c r="AE1232" s="9">
        <f>SUM(AE1213:AE1230)</f>
        <v>287021.68999999994</v>
      </c>
      <c r="AF1232" s="9">
        <f>SUM(AF1213:AF1230)</f>
        <v>1487021.69</v>
      </c>
      <c r="AG1232" s="256"/>
      <c r="AK1232" s="9">
        <f>SUM(AK1214:AK1231)</f>
        <v>1200000</v>
      </c>
      <c r="AN1232" s="256"/>
      <c r="AR1232" s="9">
        <f>SUM(AR1214:AR1231)</f>
        <v>1200000</v>
      </c>
      <c r="AU1232" s="256"/>
    </row>
    <row r="1233" spans="29:47">
      <c r="AC1233" s="266"/>
      <c r="AD1233" s="266"/>
      <c r="AE1233" s="266"/>
      <c r="AF1233" s="350"/>
      <c r="AG1233" s="349"/>
      <c r="AJ1233" s="266"/>
      <c r="AK1233" s="266"/>
      <c r="AL1233" s="266"/>
      <c r="AM1233" s="350"/>
      <c r="AN1233" s="349"/>
      <c r="AQ1233" s="266"/>
      <c r="AR1233" s="266"/>
      <c r="AS1233" s="266"/>
      <c r="AT1233" s="350"/>
      <c r="AU1233" s="349"/>
    </row>
    <row r="1234" spans="29:47" ht="15.75">
      <c r="AG1234" s="256"/>
    </row>
    <row r="1235" spans="29:47">
      <c r="AC1235" s="266"/>
      <c r="AD1235" s="266"/>
      <c r="AE1235" s="266"/>
      <c r="AF1235" s="350"/>
      <c r="AG1235" s="349"/>
    </row>
    <row r="1236" spans="29:47" ht="15.75">
      <c r="AG1236" s="256"/>
    </row>
    <row r="1237" spans="29:47">
      <c r="AC1237" s="266"/>
      <c r="AD1237" s="266"/>
      <c r="AE1237" s="266"/>
      <c r="AF1237" s="350"/>
      <c r="AG1237" s="349"/>
    </row>
    <row r="1238" spans="29:47" ht="15.75">
      <c r="AG1238" s="256"/>
    </row>
    <row r="1239" spans="29:47">
      <c r="AC1239" s="266"/>
      <c r="AD1239" s="266"/>
      <c r="AE1239" s="266"/>
      <c r="AF1239" s="350"/>
      <c r="AG1239" s="349"/>
    </row>
    <row r="1240" spans="29:47" ht="15.75">
      <c r="AG1240" s="256"/>
    </row>
    <row r="1241" spans="29:47">
      <c r="AC1241" s="266"/>
      <c r="AD1241" s="266"/>
      <c r="AE1241" s="266"/>
      <c r="AF1241" s="350"/>
      <c r="AG1241" s="349"/>
    </row>
    <row r="1242" spans="29:47" ht="15.75">
      <c r="AG1242" s="256"/>
    </row>
    <row r="1243" spans="29:47">
      <c r="AC1243" s="266"/>
      <c r="AD1243" s="266"/>
      <c r="AE1243" s="266"/>
      <c r="AF1243" s="350"/>
      <c r="AG1243" s="349"/>
    </row>
    <row r="1244" spans="29:47" ht="15.75">
      <c r="AG1244" s="256"/>
    </row>
    <row r="1245" spans="29:47">
      <c r="AC1245" s="266"/>
      <c r="AD1245" s="266"/>
      <c r="AE1245" s="266"/>
      <c r="AF1245" s="350"/>
      <c r="AG1245" s="349"/>
    </row>
    <row r="1246" spans="29:47" ht="15.75">
      <c r="AG1246" s="256"/>
    </row>
    <row r="1247" spans="29:47">
      <c r="AC1247" s="266"/>
      <c r="AD1247" s="266"/>
      <c r="AE1247" s="266"/>
      <c r="AF1247" s="350"/>
      <c r="AG1247" s="349"/>
    </row>
    <row r="1248" spans="29:47" ht="15.75">
      <c r="AG1248" s="256"/>
    </row>
    <row r="1249" spans="28:33">
      <c r="AC1249" s="266"/>
      <c r="AD1249" s="266"/>
      <c r="AE1249" s="266"/>
      <c r="AF1249" s="350"/>
      <c r="AG1249" s="349"/>
    </row>
    <row r="1250" spans="28:33" ht="15.75">
      <c r="AG1250" s="256"/>
    </row>
    <row r="1251" spans="28:33">
      <c r="AC1251" s="266"/>
      <c r="AD1251" s="266"/>
      <c r="AE1251" s="266"/>
      <c r="AF1251" s="350"/>
      <c r="AG1251" s="349"/>
    </row>
    <row r="1252" spans="28:33" ht="15.75">
      <c r="AG1252" s="256"/>
    </row>
    <row r="1255" spans="28:33">
      <c r="AB1255" s="11"/>
      <c r="AC1255" s="9" t="s">
        <v>92</v>
      </c>
      <c r="AG1255" s="344"/>
    </row>
    <row r="1256" spans="28:33">
      <c r="AB1256" s="11" t="s">
        <v>39</v>
      </c>
      <c r="AC1256" s="9">
        <f>2242000+590000</f>
        <v>2832000</v>
      </c>
      <c r="AD1256" s="342"/>
      <c r="AE1256" s="342"/>
      <c r="AF1256" s="342"/>
      <c r="AG1256" s="344"/>
    </row>
    <row r="1257" spans="28:33">
      <c r="AB1257" s="11" t="s">
        <v>40</v>
      </c>
      <c r="AC1257" s="351">
        <v>3.2500000000000001E-2</v>
      </c>
      <c r="AD1257" s="335">
        <v>2.5000000000000001E-2</v>
      </c>
      <c r="AE1257" s="335">
        <v>5.0000000000000001E-3</v>
      </c>
      <c r="AG1257" s="344"/>
    </row>
    <row r="1258" spans="28:33">
      <c r="AB1258" s="11" t="s">
        <v>41</v>
      </c>
      <c r="AC1258" s="9">
        <v>20</v>
      </c>
      <c r="AD1258" s="335"/>
      <c r="AG1258" s="344"/>
    </row>
    <row r="1259" spans="28:33">
      <c r="AB1259" s="11"/>
      <c r="AC1259" s="342" t="s">
        <v>43</v>
      </c>
      <c r="AD1259" s="342" t="s">
        <v>44</v>
      </c>
      <c r="AE1259" s="341" t="s">
        <v>45</v>
      </c>
      <c r="AF1259" s="341" t="s">
        <v>46</v>
      </c>
      <c r="AG1259" s="338" t="s">
        <v>47</v>
      </c>
    </row>
    <row r="1260" spans="28:33">
      <c r="AB1260" s="11"/>
      <c r="AC1260" s="266">
        <f>AC1256</f>
        <v>2832000</v>
      </c>
      <c r="AD1260" s="266"/>
      <c r="AE1260" s="266"/>
      <c r="AF1260" s="350"/>
      <c r="AG1260" s="366">
        <v>2020</v>
      </c>
    </row>
    <row r="1261" spans="28:33" ht="15.75">
      <c r="AB1261" s="11"/>
      <c r="AC1261" s="9">
        <f t="shared" ref="AC1261:AC1295" si="143">AC1260-AD1260</f>
        <v>2832000</v>
      </c>
      <c r="AE1261" s="9">
        <f>AC1261*AD1257</f>
        <v>70800</v>
      </c>
      <c r="AF1261" s="9">
        <f>SUM(AD1260:AE1261)</f>
        <v>70800</v>
      </c>
      <c r="AG1261" s="256">
        <f>+AG1260</f>
        <v>2020</v>
      </c>
    </row>
    <row r="1262" spans="28:33">
      <c r="AB1262" s="11"/>
      <c r="AC1262" s="266">
        <f t="shared" si="143"/>
        <v>2832000</v>
      </c>
      <c r="AD1262" s="266"/>
      <c r="AE1262" s="266">
        <f>+AC1262*$AC$1257/2</f>
        <v>46020</v>
      </c>
      <c r="AF1262" s="350"/>
      <c r="AG1262" s="349">
        <f>+AG1260+1</f>
        <v>2021</v>
      </c>
    </row>
    <row r="1263" spans="28:33" ht="15.75">
      <c r="AC1263" s="9">
        <f t="shared" si="143"/>
        <v>2832000</v>
      </c>
      <c r="AD1263" s="9">
        <f>AC1263/17</f>
        <v>166588.23529411765</v>
      </c>
      <c r="AE1263" s="9">
        <f>AE1262</f>
        <v>46020</v>
      </c>
      <c r="AF1263" s="9">
        <f>SUM(AD1262:AE1263)</f>
        <v>258628.23529411765</v>
      </c>
      <c r="AG1263" s="256">
        <f>+AG1262</f>
        <v>2021</v>
      </c>
    </row>
    <row r="1264" spans="28:33">
      <c r="AB1264" s="11"/>
      <c r="AC1264" s="266">
        <f t="shared" si="143"/>
        <v>2665411.7647058824</v>
      </c>
      <c r="AD1264" s="266">
        <f t="shared" ref="AD1264:AD1295" si="144">AD1262</f>
        <v>0</v>
      </c>
      <c r="AE1264" s="266">
        <f>+AC1264*$AC$1257/2</f>
        <v>43312.941176470587</v>
      </c>
      <c r="AF1264" s="350"/>
      <c r="AG1264" s="349">
        <f>+AG1262+1</f>
        <v>2022</v>
      </c>
    </row>
    <row r="1265" spans="28:33" ht="15.75">
      <c r="AB1265" s="11"/>
      <c r="AC1265" s="9">
        <f t="shared" si="143"/>
        <v>2665411.7647058824</v>
      </c>
      <c r="AD1265" s="9">
        <f>AD1263</f>
        <v>166588.23529411765</v>
      </c>
      <c r="AE1265" s="266">
        <f t="shared" ref="AE1265:AE1295" si="145">+AC1265*$AC$1257/2</f>
        <v>43312.941176470587</v>
      </c>
      <c r="AF1265" s="9">
        <f>SUM(AD1264:AE1265)</f>
        <v>253214.11764705885</v>
      </c>
      <c r="AG1265" s="256">
        <f>+AG1264</f>
        <v>2022</v>
      </c>
    </row>
    <row r="1266" spans="28:33">
      <c r="AC1266" s="266">
        <f t="shared" si="143"/>
        <v>2498823.5294117648</v>
      </c>
      <c r="AD1266" s="266">
        <f t="shared" si="144"/>
        <v>0</v>
      </c>
      <c r="AE1266" s="266">
        <f t="shared" si="145"/>
        <v>40605.882352941182</v>
      </c>
      <c r="AF1266" s="350"/>
      <c r="AG1266" s="349">
        <f>+AG1264+1</f>
        <v>2023</v>
      </c>
    </row>
    <row r="1267" spans="28:33" ht="15.75">
      <c r="AC1267" s="9">
        <f t="shared" si="143"/>
        <v>2498823.5294117648</v>
      </c>
      <c r="AD1267" s="9">
        <f t="shared" si="144"/>
        <v>166588.23529411765</v>
      </c>
      <c r="AE1267" s="266">
        <f t="shared" si="145"/>
        <v>40605.882352941182</v>
      </c>
      <c r="AF1267" s="9">
        <f>SUM(AD1266:AE1267)</f>
        <v>247800</v>
      </c>
      <c r="AG1267" s="256">
        <f>+AG1266</f>
        <v>2023</v>
      </c>
    </row>
    <row r="1268" spans="28:33">
      <c r="AC1268" s="266">
        <f t="shared" si="143"/>
        <v>2332235.2941176472</v>
      </c>
      <c r="AD1268" s="266">
        <f t="shared" si="144"/>
        <v>0</v>
      </c>
      <c r="AE1268" s="266">
        <f t="shared" si="145"/>
        <v>37898.823529411769</v>
      </c>
      <c r="AF1268" s="350"/>
      <c r="AG1268" s="349">
        <f>+AG1266+1</f>
        <v>2024</v>
      </c>
    </row>
    <row r="1269" spans="28:33" ht="15.75">
      <c r="AC1269" s="9">
        <f t="shared" si="143"/>
        <v>2332235.2941176472</v>
      </c>
      <c r="AD1269" s="9">
        <f t="shared" si="144"/>
        <v>166588.23529411765</v>
      </c>
      <c r="AE1269" s="266">
        <f t="shared" si="145"/>
        <v>37898.823529411769</v>
      </c>
      <c r="AF1269" s="9">
        <f>SUM(AD1268:AE1269)</f>
        <v>242385.8823529412</v>
      </c>
      <c r="AG1269" s="256">
        <f>+AG1268</f>
        <v>2024</v>
      </c>
    </row>
    <row r="1270" spans="28:33">
      <c r="AC1270" s="266">
        <f t="shared" si="143"/>
        <v>2165647.0588235296</v>
      </c>
      <c r="AD1270" s="266">
        <f t="shared" si="144"/>
        <v>0</v>
      </c>
      <c r="AE1270" s="266">
        <f t="shared" si="145"/>
        <v>35191.764705882357</v>
      </c>
      <c r="AF1270" s="350"/>
      <c r="AG1270" s="349">
        <f>+AG1268+1</f>
        <v>2025</v>
      </c>
    </row>
    <row r="1271" spans="28:33" ht="15.75">
      <c r="AC1271" s="9">
        <f t="shared" si="143"/>
        <v>2165647.0588235296</v>
      </c>
      <c r="AD1271" s="9">
        <f t="shared" si="144"/>
        <v>166588.23529411765</v>
      </c>
      <c r="AE1271" s="266">
        <f t="shared" si="145"/>
        <v>35191.764705882357</v>
      </c>
      <c r="AF1271" s="9">
        <f>SUM(AD1270:AE1271)</f>
        <v>236971.76470588235</v>
      </c>
      <c r="AG1271" s="256">
        <f>+AG1270</f>
        <v>2025</v>
      </c>
    </row>
    <row r="1272" spans="28:33">
      <c r="AC1272" s="266">
        <f t="shared" si="143"/>
        <v>1999058.823529412</v>
      </c>
      <c r="AD1272" s="266">
        <f t="shared" si="144"/>
        <v>0</v>
      </c>
      <c r="AE1272" s="266">
        <f t="shared" si="145"/>
        <v>32484.705882352948</v>
      </c>
      <c r="AF1272" s="350"/>
      <c r="AG1272" s="349">
        <f>+AG1270+1</f>
        <v>2026</v>
      </c>
    </row>
    <row r="1273" spans="28:33" ht="15.75">
      <c r="AC1273" s="9">
        <f t="shared" si="143"/>
        <v>1999058.823529412</v>
      </c>
      <c r="AD1273" s="9">
        <f t="shared" si="144"/>
        <v>166588.23529411765</v>
      </c>
      <c r="AE1273" s="266">
        <f t="shared" si="145"/>
        <v>32484.705882352948</v>
      </c>
      <c r="AF1273" s="9">
        <f>SUM(AD1272:AE1273)</f>
        <v>231557.64705882355</v>
      </c>
      <c r="AG1273" s="256">
        <f>+AG1272</f>
        <v>2026</v>
      </c>
    </row>
    <row r="1274" spans="28:33">
      <c r="AC1274" s="266">
        <f t="shared" si="143"/>
        <v>1832470.5882352944</v>
      </c>
      <c r="AD1274" s="266">
        <f t="shared" si="144"/>
        <v>0</v>
      </c>
      <c r="AE1274" s="266">
        <f t="shared" si="145"/>
        <v>29777.647058823535</v>
      </c>
      <c r="AF1274" s="350"/>
      <c r="AG1274" s="349">
        <f>+AG1272+1</f>
        <v>2027</v>
      </c>
    </row>
    <row r="1275" spans="28:33" ht="15.75">
      <c r="AC1275" s="9">
        <f t="shared" si="143"/>
        <v>1832470.5882352944</v>
      </c>
      <c r="AD1275" s="9">
        <f t="shared" si="144"/>
        <v>166588.23529411765</v>
      </c>
      <c r="AE1275" s="266">
        <f t="shared" si="145"/>
        <v>29777.647058823535</v>
      </c>
      <c r="AF1275" s="9">
        <f>SUM(AD1274:AE1275)</f>
        <v>226143.5294117647</v>
      </c>
      <c r="AG1275" s="256">
        <f>+AG1274</f>
        <v>2027</v>
      </c>
    </row>
    <row r="1276" spans="28:33">
      <c r="AC1276" s="266">
        <f t="shared" si="143"/>
        <v>1665882.3529411769</v>
      </c>
      <c r="AD1276" s="266">
        <f t="shared" si="144"/>
        <v>0</v>
      </c>
      <c r="AE1276" s="266">
        <f t="shared" si="145"/>
        <v>27070.588235294126</v>
      </c>
      <c r="AF1276" s="350"/>
      <c r="AG1276" s="349">
        <f>+AG1274+1</f>
        <v>2028</v>
      </c>
    </row>
    <row r="1277" spans="28:33" ht="15.75">
      <c r="AC1277" s="9">
        <f t="shared" si="143"/>
        <v>1665882.3529411769</v>
      </c>
      <c r="AD1277" s="9">
        <f t="shared" si="144"/>
        <v>166588.23529411765</v>
      </c>
      <c r="AE1277" s="266">
        <f t="shared" si="145"/>
        <v>27070.588235294126</v>
      </c>
      <c r="AF1277" s="9">
        <f>SUM(AD1276:AE1277)</f>
        <v>220729.4117647059</v>
      </c>
      <c r="AG1277" s="256">
        <f>+AG1276</f>
        <v>2028</v>
      </c>
    </row>
    <row r="1278" spans="28:33">
      <c r="AC1278" s="266">
        <f t="shared" si="143"/>
        <v>1499294.1176470593</v>
      </c>
      <c r="AD1278" s="266">
        <f t="shared" si="144"/>
        <v>0</v>
      </c>
      <c r="AE1278" s="266">
        <f t="shared" si="145"/>
        <v>24363.529411764714</v>
      </c>
      <c r="AF1278" s="350"/>
      <c r="AG1278" s="349">
        <f>+AG1276+1</f>
        <v>2029</v>
      </c>
    </row>
    <row r="1279" spans="28:33" ht="15.75">
      <c r="AC1279" s="9">
        <f t="shared" si="143"/>
        <v>1499294.1176470593</v>
      </c>
      <c r="AD1279" s="9">
        <f t="shared" si="144"/>
        <v>166588.23529411765</v>
      </c>
      <c r="AE1279" s="266">
        <f t="shared" si="145"/>
        <v>24363.529411764714</v>
      </c>
      <c r="AF1279" s="9">
        <f>SUM(AD1278:AE1279)</f>
        <v>215315.29411764705</v>
      </c>
      <c r="AG1279" s="256">
        <f>+AG1278</f>
        <v>2029</v>
      </c>
    </row>
    <row r="1280" spans="28:33">
      <c r="AC1280" s="266">
        <f t="shared" si="143"/>
        <v>1332705.8823529417</v>
      </c>
      <c r="AD1280" s="266">
        <f t="shared" si="144"/>
        <v>0</v>
      </c>
      <c r="AE1280" s="266">
        <f t="shared" si="145"/>
        <v>21656.470588235305</v>
      </c>
      <c r="AF1280" s="350"/>
      <c r="AG1280" s="349">
        <f>+AG1278+1</f>
        <v>2030</v>
      </c>
    </row>
    <row r="1281" spans="29:33" ht="15.75">
      <c r="AC1281" s="9">
        <f t="shared" si="143"/>
        <v>1332705.8823529417</v>
      </c>
      <c r="AD1281" s="9">
        <f t="shared" si="144"/>
        <v>166588.23529411765</v>
      </c>
      <c r="AE1281" s="266">
        <f t="shared" si="145"/>
        <v>21656.470588235305</v>
      </c>
      <c r="AF1281" s="9">
        <f>SUM(AD1280:AE1281)</f>
        <v>209901.17647058825</v>
      </c>
      <c r="AG1281" s="256">
        <f>+AG1280</f>
        <v>2030</v>
      </c>
    </row>
    <row r="1282" spans="29:33">
      <c r="AC1282" s="266">
        <f t="shared" si="143"/>
        <v>1166117.6470588241</v>
      </c>
      <c r="AD1282" s="266">
        <f t="shared" si="144"/>
        <v>0</v>
      </c>
      <c r="AE1282" s="266">
        <f t="shared" si="145"/>
        <v>18949.411764705892</v>
      </c>
      <c r="AF1282" s="350"/>
      <c r="AG1282" s="349">
        <f>+AG1280+1</f>
        <v>2031</v>
      </c>
    </row>
    <row r="1283" spans="29:33" ht="15.75">
      <c r="AC1283" s="9">
        <f t="shared" si="143"/>
        <v>1166117.6470588241</v>
      </c>
      <c r="AD1283" s="9">
        <f>+AD1281</f>
        <v>166588.23529411765</v>
      </c>
      <c r="AE1283" s="266">
        <f t="shared" si="145"/>
        <v>18949.411764705892</v>
      </c>
      <c r="AF1283" s="9">
        <f>SUM(AD1282:AE1283)</f>
        <v>204487.05882352946</v>
      </c>
      <c r="AG1283" s="256">
        <f>+AG1282</f>
        <v>2031</v>
      </c>
    </row>
    <row r="1284" spans="29:33">
      <c r="AC1284" s="266">
        <f t="shared" si="143"/>
        <v>999529.41176470648</v>
      </c>
      <c r="AD1284" s="266">
        <f t="shared" si="144"/>
        <v>0</v>
      </c>
      <c r="AE1284" s="266">
        <f t="shared" si="145"/>
        <v>16242.352941176481</v>
      </c>
      <c r="AF1284" s="350"/>
      <c r="AG1284" s="349">
        <f>+AG1282+1</f>
        <v>2032</v>
      </c>
    </row>
    <row r="1285" spans="29:33" ht="15.75">
      <c r="AC1285" s="9">
        <f t="shared" si="143"/>
        <v>999529.41176470648</v>
      </c>
      <c r="AD1285" s="9">
        <f t="shared" si="144"/>
        <v>166588.23529411765</v>
      </c>
      <c r="AE1285" s="266">
        <f t="shared" si="145"/>
        <v>16242.352941176481</v>
      </c>
      <c r="AF1285" s="9">
        <f>SUM(AD1284:AE1285)</f>
        <v>199072.9411764706</v>
      </c>
      <c r="AG1285" s="256">
        <f>+AG1284</f>
        <v>2032</v>
      </c>
    </row>
    <row r="1286" spans="29:33">
      <c r="AC1286" s="266">
        <f t="shared" si="143"/>
        <v>832941.17647058889</v>
      </c>
      <c r="AD1286" s="266">
        <f t="shared" si="144"/>
        <v>0</v>
      </c>
      <c r="AE1286" s="266">
        <f t="shared" si="145"/>
        <v>13535.29411764707</v>
      </c>
      <c r="AF1286" s="350"/>
      <c r="AG1286" s="349">
        <f>+AG1284+1</f>
        <v>2033</v>
      </c>
    </row>
    <row r="1287" spans="29:33" ht="15.75">
      <c r="AC1287" s="9">
        <f t="shared" si="143"/>
        <v>832941.17647058889</v>
      </c>
      <c r="AD1287" s="9">
        <f t="shared" si="144"/>
        <v>166588.23529411765</v>
      </c>
      <c r="AE1287" s="266">
        <f t="shared" si="145"/>
        <v>13535.29411764707</v>
      </c>
      <c r="AF1287" s="9">
        <f>SUM(AD1286:AE1287)</f>
        <v>193658.82352941181</v>
      </c>
      <c r="AG1287" s="256">
        <f>+AG1286</f>
        <v>2033</v>
      </c>
    </row>
    <row r="1288" spans="29:33">
      <c r="AC1288" s="266">
        <f t="shared" si="143"/>
        <v>666352.9411764713</v>
      </c>
      <c r="AD1288" s="266">
        <f t="shared" si="144"/>
        <v>0</v>
      </c>
      <c r="AE1288" s="266">
        <f t="shared" si="145"/>
        <v>10828.23529411766</v>
      </c>
      <c r="AF1288" s="350"/>
      <c r="AG1288" s="349">
        <f>+AG1286+1</f>
        <v>2034</v>
      </c>
    </row>
    <row r="1289" spans="29:33" ht="15.75">
      <c r="AC1289" s="9">
        <f t="shared" si="143"/>
        <v>666352.9411764713</v>
      </c>
      <c r="AD1289" s="9">
        <f t="shared" si="144"/>
        <v>166588.23529411765</v>
      </c>
      <c r="AE1289" s="266">
        <f t="shared" si="145"/>
        <v>10828.23529411766</v>
      </c>
      <c r="AF1289" s="9">
        <f>SUM(AD1288:AE1289)</f>
        <v>188244.70588235295</v>
      </c>
      <c r="AG1289" s="256">
        <f>+AG1288</f>
        <v>2034</v>
      </c>
    </row>
    <row r="1290" spans="29:33">
      <c r="AC1290" s="266">
        <f t="shared" si="143"/>
        <v>499764.70588235365</v>
      </c>
      <c r="AD1290" s="266">
        <f t="shared" si="144"/>
        <v>0</v>
      </c>
      <c r="AE1290" s="266">
        <f t="shared" si="145"/>
        <v>8121.176470588247</v>
      </c>
      <c r="AF1290" s="350"/>
      <c r="AG1290" s="349">
        <f>+AG1288+1</f>
        <v>2035</v>
      </c>
    </row>
    <row r="1291" spans="29:33" ht="15.75">
      <c r="AC1291" s="9">
        <f t="shared" si="143"/>
        <v>499764.70588235365</v>
      </c>
      <c r="AD1291" s="9">
        <f t="shared" si="144"/>
        <v>166588.23529411765</v>
      </c>
      <c r="AE1291" s="266">
        <f t="shared" si="145"/>
        <v>8121.176470588247</v>
      </c>
      <c r="AF1291" s="9">
        <f>SUM(AD1290:AE1291)</f>
        <v>182830.58823529416</v>
      </c>
      <c r="AG1291" s="256">
        <f>+AG1290</f>
        <v>2035</v>
      </c>
    </row>
    <row r="1292" spans="29:33">
      <c r="AC1292" s="266">
        <f t="shared" si="143"/>
        <v>333176.470588236</v>
      </c>
      <c r="AD1292" s="266">
        <f t="shared" si="144"/>
        <v>0</v>
      </c>
      <c r="AE1292" s="266">
        <f t="shared" si="145"/>
        <v>5414.1176470588352</v>
      </c>
      <c r="AF1292" s="350"/>
      <c r="AG1292" s="349">
        <f>+AG1290+1</f>
        <v>2036</v>
      </c>
    </row>
    <row r="1293" spans="29:33" ht="15.75">
      <c r="AC1293" s="9">
        <f t="shared" si="143"/>
        <v>333176.470588236</v>
      </c>
      <c r="AD1293" s="9">
        <f t="shared" si="144"/>
        <v>166588.23529411765</v>
      </c>
      <c r="AE1293" s="266">
        <f t="shared" si="145"/>
        <v>5414.1176470588352</v>
      </c>
      <c r="AF1293" s="9">
        <f>SUM(AD1292:AE1293)</f>
        <v>177416.4705882353</v>
      </c>
      <c r="AG1293" s="256">
        <f>+AG1292</f>
        <v>2036</v>
      </c>
    </row>
    <row r="1294" spans="29:33">
      <c r="AC1294" s="266">
        <f t="shared" si="143"/>
        <v>166588.23529411835</v>
      </c>
      <c r="AD1294" s="266">
        <f t="shared" si="144"/>
        <v>0</v>
      </c>
      <c r="AE1294" s="266">
        <f t="shared" si="145"/>
        <v>2707.0588235294231</v>
      </c>
      <c r="AF1294" s="350"/>
      <c r="AG1294" s="349">
        <f>+AG1292+1</f>
        <v>2037</v>
      </c>
    </row>
    <row r="1295" spans="29:33" ht="15.75">
      <c r="AC1295" s="9">
        <f t="shared" si="143"/>
        <v>166588.23529411835</v>
      </c>
      <c r="AD1295" s="9">
        <f t="shared" si="144"/>
        <v>166588.23529411765</v>
      </c>
      <c r="AE1295" s="266">
        <f t="shared" si="145"/>
        <v>2707.0588235294231</v>
      </c>
      <c r="AF1295" s="9">
        <f>SUM(AD1294:AE1295)</f>
        <v>172002.3529411765</v>
      </c>
      <c r="AG1295" s="256">
        <f>+AG1294</f>
        <v>2037</v>
      </c>
    </row>
    <row r="1296" spans="29:33">
      <c r="AC1296" s="266"/>
      <c r="AD1296" s="266"/>
      <c r="AE1296" s="266"/>
      <c r="AF1296" s="350"/>
      <c r="AG1296" s="349"/>
    </row>
    <row r="1297" spans="29:33" ht="15.75">
      <c r="AE1297" s="266"/>
      <c r="AG1297" s="256"/>
    </row>
    <row r="1298" spans="29:33">
      <c r="AC1298" s="266"/>
      <c r="AD1298" s="266"/>
      <c r="AE1298" s="266"/>
      <c r="AF1298" s="350"/>
      <c r="AG1298" s="349"/>
    </row>
    <row r="1299" spans="29:33" ht="15.75">
      <c r="AE1299" s="266"/>
      <c r="AG1299" s="256"/>
    </row>
    <row r="1300" spans="29:33">
      <c r="AC1300" s="266"/>
      <c r="AD1300" s="266"/>
      <c r="AE1300" s="266">
        <f t="shared" ref="AE1300" si="146">+AC1300*$AD$1257/2</f>
        <v>0</v>
      </c>
      <c r="AF1300" s="350"/>
      <c r="AG1300" s="349"/>
    </row>
    <row r="1301" spans="29:33" ht="15.75">
      <c r="AG1301" s="256"/>
    </row>
    <row r="1304" spans="29:33">
      <c r="AD1304" s="9">
        <f>SUM(AD1263:AD1303)</f>
        <v>2831999.9999999995</v>
      </c>
    </row>
    <row r="1313" spans="28:34">
      <c r="AB1313" s="11"/>
      <c r="AC1313" s="9" t="s">
        <v>504</v>
      </c>
      <c r="AG1313" s="344"/>
    </row>
    <row r="1314" spans="28:34">
      <c r="AB1314" s="11" t="s">
        <v>39</v>
      </c>
      <c r="AC1314" s="9">
        <v>600000</v>
      </c>
      <c r="AD1314" s="342"/>
      <c r="AE1314" s="342"/>
      <c r="AF1314" s="342"/>
      <c r="AG1314" s="344"/>
    </row>
    <row r="1315" spans="28:34">
      <c r="AB1315" s="11" t="s">
        <v>40</v>
      </c>
      <c r="AC1315" s="335">
        <v>3.4000000000000002E-2</v>
      </c>
      <c r="AG1315" s="344"/>
    </row>
    <row r="1316" spans="28:34">
      <c r="AB1316" s="11" t="s">
        <v>41</v>
      </c>
      <c r="AC1316" s="9">
        <v>22</v>
      </c>
      <c r="AD1316" s="335"/>
      <c r="AG1316" s="344"/>
    </row>
    <row r="1317" spans="28:34">
      <c r="AB1317" s="11"/>
      <c r="AC1317" s="342" t="s">
        <v>43</v>
      </c>
      <c r="AD1317" s="342" t="s">
        <v>44</v>
      </c>
      <c r="AE1317" s="341" t="s">
        <v>45</v>
      </c>
      <c r="AF1317" s="341" t="s">
        <v>46</v>
      </c>
      <c r="AG1317" s="338" t="s">
        <v>47</v>
      </c>
    </row>
    <row r="1318" spans="28:34">
      <c r="AB1318" s="11"/>
      <c r="AC1318" s="266">
        <f>AC1314</f>
        <v>600000</v>
      </c>
      <c r="AD1318" s="266"/>
      <c r="AE1318" s="266"/>
      <c r="AF1318" s="350"/>
      <c r="AG1318" s="366">
        <v>2015</v>
      </c>
    </row>
    <row r="1319" spans="28:34" ht="15.75">
      <c r="AB1319" s="11"/>
      <c r="AC1319" s="9">
        <f t="shared" ref="AC1319:AC1359" si="147">AC1318-AD1318</f>
        <v>600000</v>
      </c>
      <c r="AF1319" s="9">
        <f>SUM(AD1318:AE1319)</f>
        <v>0</v>
      </c>
      <c r="AG1319" s="256">
        <f>+AG1318</f>
        <v>2015</v>
      </c>
    </row>
    <row r="1320" spans="28:34">
      <c r="AB1320" s="11"/>
      <c r="AC1320" s="266">
        <f t="shared" si="147"/>
        <v>600000</v>
      </c>
      <c r="AD1320" s="266"/>
      <c r="AE1320" s="266">
        <v>0</v>
      </c>
      <c r="AF1320" s="350"/>
      <c r="AG1320" s="349">
        <f>+AG1318+1</f>
        <v>2016</v>
      </c>
    </row>
    <row r="1321" spans="28:34" ht="15.75">
      <c r="AC1321" s="9">
        <f t="shared" si="147"/>
        <v>600000</v>
      </c>
      <c r="AD1321" s="9">
        <f>AC1321/22+AH1321</f>
        <v>27287.727272727272</v>
      </c>
      <c r="AE1321" s="9">
        <v>23935.38</v>
      </c>
      <c r="AF1321" s="9">
        <f>SUM(AD1320:AE1321)</f>
        <v>51223.107272727269</v>
      </c>
      <c r="AG1321" s="256">
        <f>+AG1320</f>
        <v>2016</v>
      </c>
      <c r="AH1321" s="9">
        <v>15</v>
      </c>
    </row>
    <row r="1322" spans="28:34">
      <c r="AB1322" s="11"/>
      <c r="AC1322" s="266">
        <f t="shared" si="147"/>
        <v>572712.27272727271</v>
      </c>
      <c r="AD1322" s="266">
        <f t="shared" ref="AD1322:AD1363" si="148">AD1320</f>
        <v>0</v>
      </c>
      <c r="AE1322" s="266">
        <v>11488.33</v>
      </c>
      <c r="AF1322" s="350"/>
      <c r="AG1322" s="349">
        <f>+AG1320+1</f>
        <v>2017</v>
      </c>
    </row>
    <row r="1323" spans="28:34" ht="15.75">
      <c r="AB1323" s="11"/>
      <c r="AC1323" s="9">
        <f t="shared" si="147"/>
        <v>572712.27272727271</v>
      </c>
      <c r="AD1323" s="9">
        <v>27272</v>
      </c>
      <c r="AE1323" s="9">
        <f>AE1322</f>
        <v>11488.33</v>
      </c>
      <c r="AF1323" s="9">
        <f>SUM(AD1322:AE1323)</f>
        <v>50248.66</v>
      </c>
      <c r="AG1323" s="256">
        <f>+AG1322</f>
        <v>2017</v>
      </c>
    </row>
    <row r="1324" spans="28:34">
      <c r="AC1324" s="266">
        <f t="shared" si="147"/>
        <v>545440.27272727271</v>
      </c>
      <c r="AD1324" s="266">
        <f t="shared" si="148"/>
        <v>0</v>
      </c>
      <c r="AE1324" s="266">
        <v>10806.53</v>
      </c>
      <c r="AF1324" s="350"/>
      <c r="AG1324" s="349">
        <f>+AG1322+1</f>
        <v>2018</v>
      </c>
    </row>
    <row r="1325" spans="28:34" ht="15.75">
      <c r="AC1325" s="9">
        <f t="shared" si="147"/>
        <v>545440.27272727271</v>
      </c>
      <c r="AD1325" s="9">
        <f t="shared" si="148"/>
        <v>27272</v>
      </c>
      <c r="AE1325" s="9">
        <f>AE1324</f>
        <v>10806.53</v>
      </c>
      <c r="AF1325" s="9">
        <f>SUM(AD1324:AE1325)</f>
        <v>48885.06</v>
      </c>
      <c r="AG1325" s="256">
        <f>+AG1324</f>
        <v>2018</v>
      </c>
    </row>
    <row r="1326" spans="28:34">
      <c r="AC1326" s="266">
        <f t="shared" si="147"/>
        <v>518168.27272727271</v>
      </c>
      <c r="AD1326" s="266">
        <f t="shared" si="148"/>
        <v>0</v>
      </c>
      <c r="AE1326" s="266">
        <v>10124.73</v>
      </c>
      <c r="AF1326" s="350"/>
      <c r="AG1326" s="349">
        <f>+AG1324+1</f>
        <v>2019</v>
      </c>
    </row>
    <row r="1327" spans="28:34" ht="15.75">
      <c r="AC1327" s="9">
        <f t="shared" si="147"/>
        <v>518168.27272727271</v>
      </c>
      <c r="AD1327" s="9">
        <f t="shared" si="148"/>
        <v>27272</v>
      </c>
      <c r="AE1327" s="9">
        <f>AE1326</f>
        <v>10124.73</v>
      </c>
      <c r="AF1327" s="9">
        <f>SUM(AD1326:AE1327)</f>
        <v>47521.459999999992</v>
      </c>
      <c r="AG1327" s="256">
        <f>+AG1326</f>
        <v>2019</v>
      </c>
    </row>
    <row r="1328" spans="28:34">
      <c r="AC1328" s="266">
        <f t="shared" si="147"/>
        <v>490896.27272727271</v>
      </c>
      <c r="AD1328" s="266">
        <f t="shared" si="148"/>
        <v>0</v>
      </c>
      <c r="AE1328" s="266">
        <v>9442.93</v>
      </c>
      <c r="AF1328" s="350"/>
      <c r="AG1328" s="349">
        <f>+AG1326+1</f>
        <v>2020</v>
      </c>
    </row>
    <row r="1329" spans="29:33" ht="15.75">
      <c r="AC1329" s="9">
        <f t="shared" si="147"/>
        <v>490896.27272727271</v>
      </c>
      <c r="AD1329" s="9">
        <f t="shared" si="148"/>
        <v>27272</v>
      </c>
      <c r="AE1329" s="9">
        <f>AE1328</f>
        <v>9442.93</v>
      </c>
      <c r="AF1329" s="9">
        <f>SUM(AD1328:AE1329)</f>
        <v>46157.86</v>
      </c>
      <c r="AG1329" s="256">
        <f>+AG1328</f>
        <v>2020</v>
      </c>
    </row>
    <row r="1330" spans="29:33">
      <c r="AC1330" s="266">
        <f t="shared" si="147"/>
        <v>463624.27272727271</v>
      </c>
      <c r="AD1330" s="266">
        <f t="shared" si="148"/>
        <v>0</v>
      </c>
      <c r="AE1330" s="266">
        <v>8761.1299999999992</v>
      </c>
      <c r="AF1330" s="350"/>
      <c r="AG1330" s="349">
        <f>+AG1328+1</f>
        <v>2021</v>
      </c>
    </row>
    <row r="1331" spans="29:33" ht="15.75">
      <c r="AC1331" s="9">
        <f t="shared" si="147"/>
        <v>463624.27272727271</v>
      </c>
      <c r="AD1331" s="9">
        <f t="shared" si="148"/>
        <v>27272</v>
      </c>
      <c r="AE1331" s="9">
        <f>AE1330</f>
        <v>8761.1299999999992</v>
      </c>
      <c r="AF1331" s="9">
        <f>SUM(AD1330:AE1331)</f>
        <v>44794.259999999995</v>
      </c>
      <c r="AG1331" s="256">
        <f>+AG1330</f>
        <v>2021</v>
      </c>
    </row>
    <row r="1332" spans="29:33">
      <c r="AC1332" s="266">
        <f t="shared" si="147"/>
        <v>436352.27272727271</v>
      </c>
      <c r="AD1332" s="266">
        <f t="shared" si="148"/>
        <v>0</v>
      </c>
      <c r="AE1332" s="266">
        <v>8079.33</v>
      </c>
      <c r="AF1332" s="350"/>
      <c r="AG1332" s="349">
        <f>+AG1330+1</f>
        <v>2022</v>
      </c>
    </row>
    <row r="1333" spans="29:33" ht="15.75">
      <c r="AC1333" s="9">
        <f t="shared" si="147"/>
        <v>436352.27272727271</v>
      </c>
      <c r="AD1333" s="9">
        <f t="shared" si="148"/>
        <v>27272</v>
      </c>
      <c r="AE1333" s="9">
        <f>AE1332</f>
        <v>8079.33</v>
      </c>
      <c r="AF1333" s="9">
        <f>SUM(AD1332:AE1333)</f>
        <v>43430.66</v>
      </c>
      <c r="AG1333" s="256">
        <f>+AG1332</f>
        <v>2022</v>
      </c>
    </row>
    <row r="1334" spans="29:33">
      <c r="AC1334" s="266">
        <f t="shared" si="147"/>
        <v>409080.27272727271</v>
      </c>
      <c r="AD1334" s="266">
        <f t="shared" si="148"/>
        <v>0</v>
      </c>
      <c r="AE1334" s="266">
        <v>7397.53</v>
      </c>
      <c r="AF1334" s="350"/>
      <c r="AG1334" s="349">
        <f>+AG1332+1</f>
        <v>2023</v>
      </c>
    </row>
    <row r="1335" spans="29:33" ht="15.75">
      <c r="AC1335" s="9">
        <f t="shared" si="147"/>
        <v>409080.27272727271</v>
      </c>
      <c r="AD1335" s="9">
        <f t="shared" si="148"/>
        <v>27272</v>
      </c>
      <c r="AE1335" s="9">
        <f>AE1334</f>
        <v>7397.53</v>
      </c>
      <c r="AF1335" s="9">
        <f>SUM(AD1334:AE1335)</f>
        <v>42067.06</v>
      </c>
      <c r="AG1335" s="256">
        <f>+AG1334</f>
        <v>2023</v>
      </c>
    </row>
    <row r="1336" spans="29:33">
      <c r="AC1336" s="266">
        <f t="shared" si="147"/>
        <v>381808.27272727271</v>
      </c>
      <c r="AD1336" s="266">
        <f t="shared" si="148"/>
        <v>0</v>
      </c>
      <c r="AE1336" s="266">
        <v>6715.73</v>
      </c>
      <c r="AF1336" s="350"/>
      <c r="AG1336" s="349">
        <f>+AG1334+1</f>
        <v>2024</v>
      </c>
    </row>
    <row r="1337" spans="29:33" ht="15.75">
      <c r="AC1337" s="9">
        <f t="shared" si="147"/>
        <v>381808.27272727271</v>
      </c>
      <c r="AD1337" s="9">
        <f t="shared" si="148"/>
        <v>27272</v>
      </c>
      <c r="AE1337" s="9">
        <f>AE1336</f>
        <v>6715.73</v>
      </c>
      <c r="AF1337" s="9">
        <f>SUM(AD1336:AE1337)</f>
        <v>40703.459999999992</v>
      </c>
      <c r="AG1337" s="256">
        <f>+AG1336</f>
        <v>2024</v>
      </c>
    </row>
    <row r="1338" spans="29:33">
      <c r="AC1338" s="266">
        <f t="shared" si="147"/>
        <v>354536.27272727271</v>
      </c>
      <c r="AD1338" s="266">
        <f t="shared" si="148"/>
        <v>0</v>
      </c>
      <c r="AE1338" s="266">
        <v>6170.29</v>
      </c>
      <c r="AF1338" s="350"/>
      <c r="AG1338" s="349">
        <f>+AG1336+1</f>
        <v>2025</v>
      </c>
    </row>
    <row r="1339" spans="29:33" ht="15.75">
      <c r="AC1339" s="9">
        <f t="shared" si="147"/>
        <v>354536.27272727271</v>
      </c>
      <c r="AD1339" s="9">
        <f t="shared" si="148"/>
        <v>27272</v>
      </c>
      <c r="AE1339" s="9">
        <f>AE1338</f>
        <v>6170.29</v>
      </c>
      <c r="AF1339" s="9">
        <f>SUM(AD1338:AE1339)</f>
        <v>39612.58</v>
      </c>
      <c r="AG1339" s="256">
        <f>+AG1338</f>
        <v>2025</v>
      </c>
    </row>
    <row r="1340" spans="29:33">
      <c r="AC1340" s="266">
        <f t="shared" si="147"/>
        <v>327264.27272727271</v>
      </c>
      <c r="AD1340" s="266">
        <f t="shared" si="148"/>
        <v>0</v>
      </c>
      <c r="AE1340" s="266">
        <v>5624.85</v>
      </c>
      <c r="AF1340" s="350"/>
      <c r="AG1340" s="349">
        <f>+AG1338+1</f>
        <v>2026</v>
      </c>
    </row>
    <row r="1341" spans="29:33" ht="15.75">
      <c r="AC1341" s="9">
        <f t="shared" si="147"/>
        <v>327264.27272727271</v>
      </c>
      <c r="AD1341" s="9">
        <f>+AD1339</f>
        <v>27272</v>
      </c>
      <c r="AE1341" s="9">
        <f>AE1340</f>
        <v>5624.85</v>
      </c>
      <c r="AF1341" s="9">
        <f>SUM(AD1340:AE1341)</f>
        <v>38521.699999999997</v>
      </c>
      <c r="AG1341" s="256">
        <f>+AG1340</f>
        <v>2026</v>
      </c>
    </row>
    <row r="1342" spans="29:33">
      <c r="AC1342" s="266">
        <f t="shared" si="147"/>
        <v>299992.27272727271</v>
      </c>
      <c r="AD1342" s="266">
        <f t="shared" si="148"/>
        <v>0</v>
      </c>
      <c r="AE1342" s="266">
        <v>5079.41</v>
      </c>
      <c r="AF1342" s="350"/>
      <c r="AG1342" s="349">
        <f>+AG1340+1</f>
        <v>2027</v>
      </c>
    </row>
    <row r="1343" spans="29:33" ht="15.75">
      <c r="AC1343" s="9">
        <f t="shared" si="147"/>
        <v>299992.27272727271</v>
      </c>
      <c r="AD1343" s="9">
        <f t="shared" si="148"/>
        <v>27272</v>
      </c>
      <c r="AE1343" s="9">
        <f>AE1342</f>
        <v>5079.41</v>
      </c>
      <c r="AF1343" s="9">
        <f>SUM(AD1342:AE1343)</f>
        <v>37430.82</v>
      </c>
      <c r="AG1343" s="256">
        <f>+AG1342</f>
        <v>2027</v>
      </c>
    </row>
    <row r="1344" spans="29:33">
      <c r="AC1344" s="266">
        <f t="shared" si="147"/>
        <v>272720.27272727271</v>
      </c>
      <c r="AD1344" s="266">
        <f t="shared" si="148"/>
        <v>0</v>
      </c>
      <c r="AE1344" s="266">
        <v>4533.97</v>
      </c>
      <c r="AF1344" s="350"/>
      <c r="AG1344" s="349">
        <f>+AG1342+1</f>
        <v>2028</v>
      </c>
    </row>
    <row r="1345" spans="29:33" ht="15.75">
      <c r="AC1345" s="9">
        <f t="shared" si="147"/>
        <v>272720.27272727271</v>
      </c>
      <c r="AD1345" s="9">
        <f t="shared" si="148"/>
        <v>27272</v>
      </c>
      <c r="AE1345" s="9">
        <f>AE1344</f>
        <v>4533.97</v>
      </c>
      <c r="AF1345" s="9">
        <f>SUM(AD1344:AE1345)</f>
        <v>36339.94</v>
      </c>
      <c r="AG1345" s="256">
        <f>+AG1344</f>
        <v>2028</v>
      </c>
    </row>
    <row r="1346" spans="29:33">
      <c r="AC1346" s="266">
        <f t="shared" si="147"/>
        <v>245448.27272727271</v>
      </c>
      <c r="AD1346" s="266">
        <f t="shared" si="148"/>
        <v>0</v>
      </c>
      <c r="AE1346" s="266">
        <v>4124.8900000000003</v>
      </c>
      <c r="AF1346" s="350"/>
      <c r="AG1346" s="349">
        <f>+AG1344+1</f>
        <v>2029</v>
      </c>
    </row>
    <row r="1347" spans="29:33" ht="15.75">
      <c r="AC1347" s="9">
        <f t="shared" si="147"/>
        <v>245448.27272727271</v>
      </c>
      <c r="AD1347" s="9">
        <f t="shared" si="148"/>
        <v>27272</v>
      </c>
      <c r="AE1347" s="9">
        <f>AE1346</f>
        <v>4124.8900000000003</v>
      </c>
      <c r="AF1347" s="9">
        <f>SUM(AD1346:AE1347)</f>
        <v>35521.78</v>
      </c>
      <c r="AG1347" s="256">
        <f>+AG1346</f>
        <v>2029</v>
      </c>
    </row>
    <row r="1348" spans="29:33">
      <c r="AC1348" s="266">
        <f t="shared" si="147"/>
        <v>218176.27272727271</v>
      </c>
      <c r="AD1348" s="266">
        <f t="shared" si="148"/>
        <v>0</v>
      </c>
      <c r="AE1348" s="266">
        <v>3715.81</v>
      </c>
      <c r="AF1348" s="350"/>
      <c r="AG1348" s="349">
        <f>+AG1346+1</f>
        <v>2030</v>
      </c>
    </row>
    <row r="1349" spans="29:33" ht="15.75">
      <c r="AC1349" s="9">
        <f t="shared" si="147"/>
        <v>218176.27272727271</v>
      </c>
      <c r="AD1349" s="9">
        <f t="shared" si="148"/>
        <v>27272</v>
      </c>
      <c r="AE1349" s="9">
        <f>AE1348</f>
        <v>3715.81</v>
      </c>
      <c r="AF1349" s="9">
        <f>SUM(AD1348:AE1349)</f>
        <v>34703.620000000003</v>
      </c>
      <c r="AG1349" s="256">
        <f>+AG1348</f>
        <v>2030</v>
      </c>
    </row>
    <row r="1350" spans="29:33">
      <c r="AC1350" s="266">
        <f t="shared" si="147"/>
        <v>190904.27272727271</v>
      </c>
      <c r="AD1350" s="266">
        <f t="shared" si="148"/>
        <v>0</v>
      </c>
      <c r="AE1350" s="266">
        <v>3289.69</v>
      </c>
      <c r="AF1350" s="350"/>
      <c r="AG1350" s="349">
        <f>+AG1348+1</f>
        <v>2031</v>
      </c>
    </row>
    <row r="1351" spans="29:33" ht="15.75">
      <c r="AC1351" s="9">
        <f t="shared" si="147"/>
        <v>190904.27272727271</v>
      </c>
      <c r="AD1351" s="9">
        <f t="shared" si="148"/>
        <v>27272</v>
      </c>
      <c r="AE1351" s="9">
        <f>AE1350</f>
        <v>3289.69</v>
      </c>
      <c r="AF1351" s="9">
        <f>SUM(AD1350:AE1351)</f>
        <v>33851.379999999997</v>
      </c>
      <c r="AG1351" s="256">
        <f>+AG1350</f>
        <v>2031</v>
      </c>
    </row>
    <row r="1352" spans="29:33">
      <c r="AC1352" s="266">
        <f t="shared" si="147"/>
        <v>163632.27272727271</v>
      </c>
      <c r="AD1352" s="266">
        <f t="shared" si="148"/>
        <v>0</v>
      </c>
      <c r="AE1352" s="266">
        <v>2846.52</v>
      </c>
      <c r="AF1352" s="350"/>
      <c r="AG1352" s="349">
        <f>+AG1350+1</f>
        <v>2032</v>
      </c>
    </row>
    <row r="1353" spans="29:33" ht="15.75">
      <c r="AC1353" s="9">
        <f t="shared" si="147"/>
        <v>163632.27272727271</v>
      </c>
      <c r="AD1353" s="9">
        <f t="shared" si="148"/>
        <v>27272</v>
      </c>
      <c r="AE1353" s="9">
        <f>AE1352</f>
        <v>2846.52</v>
      </c>
      <c r="AF1353" s="9">
        <f>SUM(AD1352:AE1353)</f>
        <v>32965.040000000001</v>
      </c>
      <c r="AG1353" s="256">
        <f>+AG1352</f>
        <v>2032</v>
      </c>
    </row>
    <row r="1354" spans="29:33">
      <c r="AC1354" s="266">
        <f t="shared" si="147"/>
        <v>136360.27272727271</v>
      </c>
      <c r="AD1354" s="266">
        <f t="shared" si="148"/>
        <v>0</v>
      </c>
      <c r="AE1354" s="266">
        <v>2386.3000000000002</v>
      </c>
      <c r="AF1354" s="350"/>
      <c r="AG1354" s="349">
        <f>+AG1352+1</f>
        <v>2033</v>
      </c>
    </row>
    <row r="1355" spans="29:33" ht="15.75">
      <c r="AC1355" s="9">
        <f t="shared" si="147"/>
        <v>136360.27272727271</v>
      </c>
      <c r="AD1355" s="9">
        <f t="shared" si="148"/>
        <v>27272</v>
      </c>
      <c r="AE1355" s="9">
        <f>AE1354</f>
        <v>2386.3000000000002</v>
      </c>
      <c r="AF1355" s="9">
        <f>SUM(AD1354:AE1355)</f>
        <v>32044.6</v>
      </c>
      <c r="AG1355" s="256">
        <f>+AG1354</f>
        <v>2033</v>
      </c>
    </row>
    <row r="1356" spans="29:33">
      <c r="AC1356" s="266">
        <f t="shared" si="147"/>
        <v>109088.27272727271</v>
      </c>
      <c r="AD1356" s="266">
        <f t="shared" si="148"/>
        <v>0</v>
      </c>
      <c r="AE1356" s="266">
        <v>1926.09</v>
      </c>
      <c r="AF1356" s="350"/>
      <c r="AG1356" s="349">
        <f>+AG1354+1</f>
        <v>2034</v>
      </c>
    </row>
    <row r="1357" spans="29:33" ht="15.75">
      <c r="AC1357" s="9">
        <f t="shared" si="147"/>
        <v>109088.27272727271</v>
      </c>
      <c r="AD1357" s="9">
        <f t="shared" si="148"/>
        <v>27272</v>
      </c>
      <c r="AE1357" s="9">
        <f>AE1356</f>
        <v>1926.09</v>
      </c>
      <c r="AF1357" s="9">
        <f>SUM(AD1356:AE1357)</f>
        <v>31124.18</v>
      </c>
      <c r="AG1357" s="256">
        <f>+AG1356</f>
        <v>2034</v>
      </c>
    </row>
    <row r="1358" spans="29:33">
      <c r="AC1358" s="266">
        <f t="shared" si="147"/>
        <v>81816.272727272706</v>
      </c>
      <c r="AD1358" s="266">
        <f t="shared" si="148"/>
        <v>0</v>
      </c>
      <c r="AE1358" s="266">
        <v>1448.83</v>
      </c>
      <c r="AF1358" s="350"/>
      <c r="AG1358" s="349">
        <f>+AG1356+1</f>
        <v>2035</v>
      </c>
    </row>
    <row r="1359" spans="29:33" ht="15.75">
      <c r="AC1359" s="9">
        <f t="shared" si="147"/>
        <v>81816.272727272706</v>
      </c>
      <c r="AD1359" s="9">
        <f t="shared" si="148"/>
        <v>27272</v>
      </c>
      <c r="AE1359" s="9">
        <f>AE1358</f>
        <v>1448.83</v>
      </c>
      <c r="AF1359" s="9">
        <f>SUM(AD1358:AE1359)</f>
        <v>30169.660000000003</v>
      </c>
      <c r="AG1359" s="256">
        <f>+AG1358</f>
        <v>2035</v>
      </c>
    </row>
    <row r="1360" spans="29:33">
      <c r="AC1360" s="266">
        <f>AC1359-AD1359</f>
        <v>54544.272727272706</v>
      </c>
      <c r="AD1360" s="266">
        <f t="shared" si="148"/>
        <v>0</v>
      </c>
      <c r="AE1360" s="266">
        <v>971.57</v>
      </c>
      <c r="AF1360" s="350"/>
      <c r="AG1360" s="349">
        <f>+AG1358+1</f>
        <v>2036</v>
      </c>
    </row>
    <row r="1361" spans="29:33" ht="15.75">
      <c r="AC1361" s="9">
        <f>AC1360-AD1360</f>
        <v>54544.272727272706</v>
      </c>
      <c r="AD1361" s="9">
        <f t="shared" si="148"/>
        <v>27272</v>
      </c>
      <c r="AE1361" s="9">
        <f>AE1360</f>
        <v>971.57</v>
      </c>
      <c r="AF1361" s="9">
        <f>SUM(AD1360:AE1361)</f>
        <v>29215.14</v>
      </c>
      <c r="AG1361" s="256">
        <f>+AG1360</f>
        <v>2036</v>
      </c>
    </row>
    <row r="1362" spans="29:33">
      <c r="AC1362" s="266">
        <f>AC1361-AD1361</f>
        <v>27272.272727272706</v>
      </c>
      <c r="AD1362" s="266">
        <f t="shared" si="148"/>
        <v>0</v>
      </c>
      <c r="AE1362" s="266">
        <v>494.31</v>
      </c>
      <c r="AF1362" s="350"/>
      <c r="AG1362" s="349">
        <f>+AG1360+1</f>
        <v>2037</v>
      </c>
    </row>
    <row r="1363" spans="29:33" ht="15.75">
      <c r="AC1363" s="9">
        <f>AC1362-AD1362</f>
        <v>27272.272727272706</v>
      </c>
      <c r="AD1363" s="9">
        <f t="shared" si="148"/>
        <v>27272</v>
      </c>
      <c r="AE1363" s="9">
        <f>AE1362</f>
        <v>494.31</v>
      </c>
      <c r="AF1363" s="9">
        <f>SUM(AD1362:AE1363)</f>
        <v>28260.620000000003</v>
      </c>
      <c r="AG1363" s="256">
        <f>+AG1362</f>
        <v>2037</v>
      </c>
    </row>
    <row r="1366" spans="29:33">
      <c r="AD1366" s="9">
        <f>SUM(AD1321:AD1365)</f>
        <v>599999.72727272729</v>
      </c>
      <c r="AE1366" s="9">
        <f>SUM(AE1321:AE1365)</f>
        <v>254792.91999999998</v>
      </c>
      <c r="AF1366" s="9">
        <f>SUM(AF1321:AF1365)</f>
        <v>854792.64727272734</v>
      </c>
    </row>
    <row r="1380" spans="27:35">
      <c r="AG1380" s="338"/>
    </row>
    <row r="1382" spans="27:35">
      <c r="AB1382" s="11"/>
      <c r="AC1382" s="9" t="s">
        <v>450</v>
      </c>
      <c r="AG1382" s="344"/>
    </row>
    <row r="1383" spans="27:35">
      <c r="AA1383" s="9" t="s">
        <v>505</v>
      </c>
      <c r="AB1383" s="11" t="s">
        <v>39</v>
      </c>
      <c r="AC1383" s="9">
        <v>250000</v>
      </c>
      <c r="AD1383" s="342"/>
      <c r="AE1383" s="342"/>
      <c r="AF1383" s="342"/>
      <c r="AG1383" s="344"/>
    </row>
    <row r="1384" spans="27:35">
      <c r="AB1384" s="11" t="s">
        <v>40</v>
      </c>
      <c r="AC1384" s="335">
        <f>$AD$131</f>
        <v>5</v>
      </c>
      <c r="AG1384" s="344"/>
      <c r="AH1384" s="342"/>
      <c r="AI1384" s="342"/>
    </row>
    <row r="1385" spans="27:35">
      <c r="AB1385" s="11" t="s">
        <v>41</v>
      </c>
      <c r="AC1385" s="9">
        <v>10</v>
      </c>
      <c r="AD1385" s="335"/>
      <c r="AG1385" s="344"/>
    </row>
    <row r="1386" spans="27:35">
      <c r="AB1386" s="11"/>
      <c r="AC1386" s="342" t="s">
        <v>43</v>
      </c>
      <c r="AD1386" s="342" t="s">
        <v>44</v>
      </c>
      <c r="AE1386" s="341" t="s">
        <v>45</v>
      </c>
      <c r="AF1386" s="341" t="s">
        <v>46</v>
      </c>
    </row>
    <row r="1387" spans="27:35">
      <c r="AB1387" s="11"/>
      <c r="AF1387" s="335"/>
      <c r="AG1387" s="338" t="s">
        <v>392</v>
      </c>
    </row>
    <row r="1388" spans="27:35" ht="15.75">
      <c r="AB1388" s="11" t="s">
        <v>506</v>
      </c>
      <c r="AC1388" s="9">
        <v>100000</v>
      </c>
      <c r="AF1388" s="9">
        <f>SUM(AD1387:AE1388)</f>
        <v>0</v>
      </c>
      <c r="AG1388" s="256" t="s">
        <v>393</v>
      </c>
    </row>
    <row r="1389" spans="27:35">
      <c r="AB1389" s="11"/>
      <c r="AC1389" s="266">
        <f>AC1388-AD1388</f>
        <v>100000</v>
      </c>
      <c r="AD1389" s="266"/>
      <c r="AE1389" s="266"/>
      <c r="AF1389" s="350"/>
      <c r="AG1389" s="349" t="s">
        <v>394</v>
      </c>
    </row>
    <row r="1390" spans="27:35" ht="15.75">
      <c r="AB1390" s="11" t="s">
        <v>507</v>
      </c>
      <c r="AC1390" s="9">
        <v>100000</v>
      </c>
      <c r="AF1390" s="9">
        <f>SUM(AD1389:AE1390)</f>
        <v>0</v>
      </c>
      <c r="AG1390" s="256" t="s">
        <v>395</v>
      </c>
    </row>
    <row r="1391" spans="27:35">
      <c r="AB1391" s="11" t="s">
        <v>508</v>
      </c>
      <c r="AC1391" s="266">
        <v>100000</v>
      </c>
      <c r="AD1391" s="266"/>
      <c r="AE1391" s="266"/>
      <c r="AF1391" s="350"/>
      <c r="AG1391" s="349" t="s">
        <v>509</v>
      </c>
      <c r="AI1391" s="339"/>
    </row>
    <row r="1392" spans="27:35" ht="15.75">
      <c r="AB1392" s="11" t="s">
        <v>510</v>
      </c>
      <c r="AC1392" s="9">
        <f t="shared" ref="AC1392:AC1424" si="149">AC1391-AD1391</f>
        <v>100000</v>
      </c>
      <c r="AD1392" s="9">
        <v>5000</v>
      </c>
      <c r="AF1392" s="9">
        <f>SUM(AD1391:AE1392)</f>
        <v>5000</v>
      </c>
      <c r="AG1392" s="256" t="s">
        <v>511</v>
      </c>
    </row>
    <row r="1393" spans="28:35">
      <c r="AC1393" s="266">
        <f t="shared" si="149"/>
        <v>95000</v>
      </c>
      <c r="AD1393" s="266"/>
      <c r="AE1393" s="266">
        <v>2078.13</v>
      </c>
      <c r="AF1393" s="350"/>
      <c r="AG1393" s="349" t="s">
        <v>421</v>
      </c>
    </row>
    <row r="1394" spans="28:35" ht="15.75">
      <c r="AB1394" s="11"/>
      <c r="AC1394" s="9">
        <f t="shared" si="149"/>
        <v>95000</v>
      </c>
      <c r="AD1394" s="9">
        <v>10000</v>
      </c>
      <c r="AE1394" s="9">
        <f>AE1393</f>
        <v>2078.13</v>
      </c>
      <c r="AF1394" s="9">
        <f>SUM(AD1393:AE1394)</f>
        <v>14156.260000000002</v>
      </c>
      <c r="AG1394" s="256" t="s">
        <v>422</v>
      </c>
    </row>
    <row r="1395" spans="28:35">
      <c r="AB1395" s="11"/>
      <c r="AC1395" s="266">
        <f t="shared" si="149"/>
        <v>85000</v>
      </c>
      <c r="AD1395" s="266"/>
      <c r="AE1395" s="266">
        <v>1878.13</v>
      </c>
      <c r="AF1395" s="350"/>
      <c r="AG1395" s="349" t="s">
        <v>423</v>
      </c>
    </row>
    <row r="1396" spans="28:35" ht="15.75">
      <c r="AC1396" s="9">
        <f t="shared" si="149"/>
        <v>85000</v>
      </c>
      <c r="AD1396" s="9">
        <f>AD1394</f>
        <v>10000</v>
      </c>
      <c r="AE1396" s="9">
        <f>AE1395</f>
        <v>1878.13</v>
      </c>
      <c r="AF1396" s="9">
        <f>SUM(AD1395:AE1396)</f>
        <v>13756.260000000002</v>
      </c>
      <c r="AG1396" s="256" t="s">
        <v>424</v>
      </c>
      <c r="AI1396" s="338"/>
    </row>
    <row r="1397" spans="28:35">
      <c r="AB1397" s="11"/>
      <c r="AC1397" s="266">
        <f t="shared" si="149"/>
        <v>75000</v>
      </c>
      <c r="AD1397" s="266"/>
      <c r="AE1397" s="266">
        <v>1678.13</v>
      </c>
      <c r="AF1397" s="350"/>
      <c r="AG1397" s="349" t="s">
        <v>425</v>
      </c>
    </row>
    <row r="1398" spans="28:35" ht="15.75">
      <c r="AC1398" s="9">
        <f t="shared" si="149"/>
        <v>75000</v>
      </c>
      <c r="AD1398" s="9">
        <f>AD1396</f>
        <v>10000</v>
      </c>
      <c r="AE1398" s="9">
        <f>AE1397</f>
        <v>1678.13</v>
      </c>
      <c r="AF1398" s="9">
        <f>SUM(AD1397:AE1398)-AH1351</f>
        <v>13356.260000000002</v>
      </c>
      <c r="AG1398" s="256" t="s">
        <v>426</v>
      </c>
    </row>
    <row r="1399" spans="28:35">
      <c r="AC1399" s="266">
        <f t="shared" si="149"/>
        <v>65000</v>
      </c>
      <c r="AD1399" s="266"/>
      <c r="AE1399" s="266">
        <v>1478.13</v>
      </c>
      <c r="AF1399" s="350"/>
      <c r="AG1399" s="349" t="s">
        <v>427</v>
      </c>
    </row>
    <row r="1400" spans="28:35" ht="15.75">
      <c r="AC1400" s="9">
        <f t="shared" si="149"/>
        <v>65000</v>
      </c>
      <c r="AD1400" s="9">
        <f>AD1398</f>
        <v>10000</v>
      </c>
      <c r="AE1400" s="9">
        <f>AE1399</f>
        <v>1478.13</v>
      </c>
      <c r="AF1400" s="9">
        <f>SUM(AD1399:AE1400)-AH1353</f>
        <v>12956.260000000002</v>
      </c>
      <c r="AG1400" s="256" t="s">
        <v>428</v>
      </c>
    </row>
    <row r="1401" spans="28:35">
      <c r="AC1401" s="266">
        <f t="shared" si="149"/>
        <v>55000</v>
      </c>
      <c r="AD1401" s="266"/>
      <c r="AE1401" s="266">
        <v>1303.1300000000001</v>
      </c>
      <c r="AF1401" s="350"/>
      <c r="AG1401" s="349" t="s">
        <v>429</v>
      </c>
    </row>
    <row r="1402" spans="28:35" ht="15.75">
      <c r="AC1402" s="9">
        <f t="shared" si="149"/>
        <v>55000</v>
      </c>
      <c r="AD1402" s="9">
        <f>AD1400</f>
        <v>10000</v>
      </c>
      <c r="AE1402" s="9">
        <f>AE1401</f>
        <v>1303.1300000000001</v>
      </c>
      <c r="AF1402" s="9">
        <f>SUM(AD1401:AE1402)-AH1355</f>
        <v>12606.260000000002</v>
      </c>
      <c r="AG1402" s="256" t="s">
        <v>430</v>
      </c>
    </row>
    <row r="1403" spans="28:35">
      <c r="AC1403" s="266">
        <f t="shared" si="149"/>
        <v>45000</v>
      </c>
      <c r="AD1403" s="266"/>
      <c r="AE1403" s="266">
        <v>1078.1300000000001</v>
      </c>
      <c r="AF1403" s="350"/>
      <c r="AG1403" s="349" t="s">
        <v>431</v>
      </c>
    </row>
    <row r="1404" spans="28:35" ht="15.75">
      <c r="AC1404" s="9">
        <f t="shared" si="149"/>
        <v>45000</v>
      </c>
      <c r="AD1404" s="9">
        <f>AD1402</f>
        <v>10000</v>
      </c>
      <c r="AE1404" s="9">
        <f>AE1403</f>
        <v>1078.1300000000001</v>
      </c>
      <c r="AF1404" s="9">
        <f>SUM(AD1403:AE1404)-AH1357</f>
        <v>12156.260000000002</v>
      </c>
      <c r="AG1404" s="256" t="s">
        <v>432</v>
      </c>
    </row>
    <row r="1405" spans="28:35">
      <c r="AC1405" s="266">
        <f t="shared" si="149"/>
        <v>35000</v>
      </c>
      <c r="AD1405" s="266"/>
      <c r="AE1405" s="266">
        <v>828.13</v>
      </c>
      <c r="AF1405" s="350"/>
      <c r="AG1405" s="349" t="s">
        <v>433</v>
      </c>
    </row>
    <row r="1406" spans="28:35" ht="15.75">
      <c r="AC1406" s="9">
        <f t="shared" si="149"/>
        <v>35000</v>
      </c>
      <c r="AD1406" s="9">
        <f>AD1404</f>
        <v>10000</v>
      </c>
      <c r="AE1406" s="9">
        <f>AE1405</f>
        <v>828.13</v>
      </c>
      <c r="AF1406" s="9">
        <f>SUM(AD1405:AE1406)-AH1359</f>
        <v>11656.259999999998</v>
      </c>
      <c r="AG1406" s="256" t="s">
        <v>434</v>
      </c>
    </row>
    <row r="1407" spans="28:35">
      <c r="AC1407" s="266">
        <f t="shared" si="149"/>
        <v>25000</v>
      </c>
      <c r="AD1407" s="266"/>
      <c r="AE1407" s="266">
        <v>578.13</v>
      </c>
      <c r="AF1407" s="350"/>
      <c r="AG1407" s="349" t="s">
        <v>435</v>
      </c>
    </row>
    <row r="1408" spans="28:35" ht="15.75">
      <c r="AC1408" s="9">
        <f t="shared" si="149"/>
        <v>25000</v>
      </c>
      <c r="AD1408" s="9">
        <f>AD1406</f>
        <v>10000</v>
      </c>
      <c r="AE1408" s="9">
        <f>AE1407</f>
        <v>578.13</v>
      </c>
      <c r="AF1408" s="9">
        <f>SUM(AD1407:AE1408)-AH1361</f>
        <v>11156.259999999998</v>
      </c>
      <c r="AG1408" s="256" t="s">
        <v>436</v>
      </c>
    </row>
    <row r="1409" spans="29:33">
      <c r="AC1409" s="266">
        <f t="shared" si="149"/>
        <v>15000</v>
      </c>
      <c r="AD1409" s="266"/>
      <c r="AE1409" s="266">
        <v>328.13</v>
      </c>
      <c r="AF1409" s="350"/>
      <c r="AG1409" s="349" t="s">
        <v>438</v>
      </c>
    </row>
    <row r="1410" spans="29:33" ht="15.75">
      <c r="AC1410" s="9">
        <f t="shared" si="149"/>
        <v>15000</v>
      </c>
      <c r="AD1410" s="9">
        <f>AD1408</f>
        <v>10000</v>
      </c>
      <c r="AE1410" s="9">
        <f>AE1409</f>
        <v>328.13</v>
      </c>
      <c r="AF1410" s="9">
        <f>SUM(AD1409:AE1410)-AH1363</f>
        <v>10656.259999999998</v>
      </c>
      <c r="AG1410" s="256" t="s">
        <v>439</v>
      </c>
    </row>
    <row r="1411" spans="29:33">
      <c r="AC1411" s="266">
        <f t="shared" si="149"/>
        <v>5000</v>
      </c>
      <c r="AD1411" s="266"/>
      <c r="AE1411" s="266">
        <v>109.38</v>
      </c>
      <c r="AF1411" s="350"/>
      <c r="AG1411" s="349" t="s">
        <v>224</v>
      </c>
    </row>
    <row r="1412" spans="29:33" ht="15.75">
      <c r="AC1412" s="9">
        <f t="shared" si="149"/>
        <v>5000</v>
      </c>
      <c r="AD1412" s="9">
        <v>5000</v>
      </c>
      <c r="AE1412" s="9">
        <f>AE1411</f>
        <v>109.38</v>
      </c>
      <c r="AF1412" s="9">
        <f>SUM(AD1411:AE1412)-AH1365</f>
        <v>5218.76</v>
      </c>
      <c r="AG1412" s="256" t="s">
        <v>225</v>
      </c>
    </row>
    <row r="1413" spans="29:33">
      <c r="AC1413" s="266">
        <f t="shared" si="149"/>
        <v>0</v>
      </c>
      <c r="AD1413" s="266"/>
      <c r="AE1413" s="266"/>
      <c r="AF1413" s="350"/>
      <c r="AG1413" s="349" t="s">
        <v>226</v>
      </c>
    </row>
    <row r="1414" spans="29:33" ht="15.75">
      <c r="AC1414" s="9">
        <f t="shared" si="149"/>
        <v>0</v>
      </c>
      <c r="AF1414" s="9">
        <f>SUM(AD1413:AE1414)-AH1367</f>
        <v>0</v>
      </c>
      <c r="AG1414" s="256" t="s">
        <v>227</v>
      </c>
    </row>
    <row r="1415" spans="29:33">
      <c r="AC1415" s="266">
        <f t="shared" si="149"/>
        <v>0</v>
      </c>
      <c r="AD1415" s="266"/>
      <c r="AE1415" s="266"/>
      <c r="AF1415" s="350"/>
      <c r="AG1415" s="349" t="s">
        <v>228</v>
      </c>
    </row>
    <row r="1416" spans="29:33" ht="15.75">
      <c r="AC1416" s="9">
        <f t="shared" si="149"/>
        <v>0</v>
      </c>
      <c r="AD1416" s="9">
        <f>AD1414</f>
        <v>0</v>
      </c>
      <c r="AF1416" s="9">
        <f>SUM(AD1415:AE1416)-AH1369</f>
        <v>0</v>
      </c>
      <c r="AG1416" s="256" t="s">
        <v>229</v>
      </c>
    </row>
    <row r="1417" spans="29:33">
      <c r="AC1417" s="266">
        <f t="shared" si="149"/>
        <v>0</v>
      </c>
      <c r="AD1417" s="266"/>
      <c r="AE1417" s="266"/>
      <c r="AF1417" s="350"/>
      <c r="AG1417" s="349" t="s">
        <v>230</v>
      </c>
    </row>
    <row r="1418" spans="29:33" ht="15.75">
      <c r="AC1418" s="9">
        <f t="shared" si="149"/>
        <v>0</v>
      </c>
      <c r="AD1418" s="9">
        <f>AD1416</f>
        <v>0</v>
      </c>
      <c r="AF1418" s="9">
        <f>SUM(AD1417:AE1418)-AH1371</f>
        <v>0</v>
      </c>
      <c r="AG1418" s="256" t="s">
        <v>231</v>
      </c>
    </row>
    <row r="1419" spans="29:33">
      <c r="AC1419" s="266">
        <f t="shared" si="149"/>
        <v>0</v>
      </c>
      <c r="AD1419" s="266"/>
      <c r="AE1419" s="266"/>
      <c r="AF1419" s="350"/>
      <c r="AG1419" s="349" t="s">
        <v>232</v>
      </c>
    </row>
    <row r="1420" spans="29:33" ht="15.75">
      <c r="AC1420" s="9">
        <f t="shared" si="149"/>
        <v>0</v>
      </c>
      <c r="AD1420" s="9">
        <f>AD1418</f>
        <v>0</v>
      </c>
      <c r="AF1420" s="9">
        <f>SUM(AD1419:AE1420)-AH1373</f>
        <v>0</v>
      </c>
      <c r="AG1420" s="256" t="s">
        <v>233</v>
      </c>
    </row>
    <row r="1421" spans="29:33">
      <c r="AC1421" s="266">
        <f t="shared" si="149"/>
        <v>0</v>
      </c>
      <c r="AD1421" s="266"/>
      <c r="AE1421" s="266"/>
      <c r="AF1421" s="350"/>
      <c r="AG1421" s="349" t="s">
        <v>234</v>
      </c>
    </row>
    <row r="1422" spans="29:33" ht="15.75">
      <c r="AC1422" s="9">
        <f t="shared" si="149"/>
        <v>0</v>
      </c>
      <c r="AD1422" s="9">
        <f>AD1420</f>
        <v>0</v>
      </c>
      <c r="AF1422" s="9">
        <f>SUM(AD1421:AE1422)-AH1375</f>
        <v>0</v>
      </c>
      <c r="AG1422" s="256" t="s">
        <v>235</v>
      </c>
    </row>
    <row r="1423" spans="29:33">
      <c r="AC1423" s="266">
        <f t="shared" si="149"/>
        <v>0</v>
      </c>
      <c r="AD1423" s="266"/>
      <c r="AE1423" s="266"/>
      <c r="AF1423" s="350"/>
      <c r="AG1423" s="349" t="s">
        <v>236</v>
      </c>
    </row>
    <row r="1424" spans="29:33" ht="15.75">
      <c r="AC1424" s="9">
        <f t="shared" si="149"/>
        <v>0</v>
      </c>
      <c r="AF1424" s="9">
        <f>SUM(AD1423:AE1424)-AH1377</f>
        <v>0</v>
      </c>
      <c r="AG1424" s="256" t="s">
        <v>237</v>
      </c>
    </row>
    <row r="1425" spans="28:33">
      <c r="AC1425" s="266"/>
      <c r="AD1425" s="266"/>
      <c r="AE1425" s="266"/>
      <c r="AF1425" s="350"/>
      <c r="AG1425" s="266"/>
    </row>
    <row r="1426" spans="28:33">
      <c r="AD1426" s="9">
        <f>SUM(AD1391:AD1425)</f>
        <v>100000</v>
      </c>
      <c r="AE1426" s="9">
        <f>SUM(AE1392:AE1425)</f>
        <v>22675.100000000017</v>
      </c>
      <c r="AF1426" s="9">
        <f>SUM(AF1394:AF1425)</f>
        <v>117675.1</v>
      </c>
    </row>
    <row r="1430" spans="28:33">
      <c r="AB1430" s="11"/>
      <c r="AG1430" s="344"/>
    </row>
    <row r="1431" spans="28:33">
      <c r="AB1431" s="11" t="s">
        <v>39</v>
      </c>
      <c r="AC1431" s="9">
        <v>4000000</v>
      </c>
      <c r="AD1431" s="342"/>
      <c r="AE1431" s="342"/>
      <c r="AF1431" s="342"/>
      <c r="AG1431" s="344"/>
    </row>
    <row r="1432" spans="28:33">
      <c r="AB1432" s="11" t="s">
        <v>40</v>
      </c>
      <c r="AC1432" s="335">
        <v>4.7500000000000001E-2</v>
      </c>
      <c r="AG1432" s="344"/>
    </row>
    <row r="1433" spans="28:33">
      <c r="AB1433" s="11" t="s">
        <v>41</v>
      </c>
      <c r="AC1433" s="9">
        <v>20</v>
      </c>
      <c r="AD1433" s="335"/>
      <c r="AG1433" s="344"/>
    </row>
    <row r="1434" spans="28:33">
      <c r="AB1434" s="11"/>
      <c r="AC1434" s="342" t="s">
        <v>43</v>
      </c>
      <c r="AD1434" s="342" t="s">
        <v>44</v>
      </c>
      <c r="AE1434" s="341" t="s">
        <v>45</v>
      </c>
      <c r="AF1434" s="341" t="s">
        <v>46</v>
      </c>
      <c r="AG1434" s="342" t="s">
        <v>42</v>
      </c>
    </row>
    <row r="1435" spans="28:33">
      <c r="AB1435" s="11"/>
      <c r="AC1435" s="9">
        <f>AC1431</f>
        <v>4000000</v>
      </c>
      <c r="AF1435" s="335"/>
      <c r="AG1435" s="338">
        <v>1</v>
      </c>
    </row>
    <row r="1436" spans="28:33" ht="15.75">
      <c r="AB1436" s="11"/>
      <c r="AC1436" s="9">
        <f t="shared" ref="AC1436:AC1476" si="150">AC1435-AD1435</f>
        <v>4000000</v>
      </c>
      <c r="AD1436" s="9">
        <v>200000</v>
      </c>
      <c r="AE1436" s="9">
        <f>AC1436*$AC$1432</f>
        <v>190000</v>
      </c>
      <c r="AF1436" s="9">
        <f>SUM(AD1435:AE1436)</f>
        <v>390000</v>
      </c>
      <c r="AG1436" s="256">
        <v>1</v>
      </c>
    </row>
    <row r="1437" spans="28:33">
      <c r="AB1437" s="11"/>
      <c r="AC1437" s="266">
        <f t="shared" si="150"/>
        <v>3800000</v>
      </c>
      <c r="AD1437" s="266"/>
      <c r="AE1437" s="266"/>
      <c r="AF1437" s="350"/>
      <c r="AG1437" s="349">
        <f t="shared" ref="AG1437:AG1476" si="151">AG1435+1</f>
        <v>2</v>
      </c>
    </row>
    <row r="1438" spans="28:33" ht="15.75">
      <c r="AB1438" s="11"/>
      <c r="AC1438" s="9">
        <f t="shared" si="150"/>
        <v>3800000</v>
      </c>
      <c r="AD1438" s="9">
        <f>AD1436</f>
        <v>200000</v>
      </c>
      <c r="AE1438" s="9">
        <f>AC1438*$AC$1432</f>
        <v>180500</v>
      </c>
      <c r="AF1438" s="9">
        <f>SUM(AD1437:AE1438)</f>
        <v>380500</v>
      </c>
      <c r="AG1438" s="256">
        <f t="shared" si="151"/>
        <v>2</v>
      </c>
    </row>
    <row r="1439" spans="28:33">
      <c r="AB1439" s="11"/>
      <c r="AC1439" s="266">
        <f t="shared" si="150"/>
        <v>3600000</v>
      </c>
      <c r="AD1439" s="266"/>
      <c r="AE1439" s="266"/>
      <c r="AF1439" s="350"/>
      <c r="AG1439" s="349">
        <f t="shared" si="151"/>
        <v>3</v>
      </c>
    </row>
    <row r="1440" spans="28:33" ht="15.75">
      <c r="AB1440" s="11"/>
      <c r="AC1440" s="9">
        <f t="shared" si="150"/>
        <v>3600000</v>
      </c>
      <c r="AD1440" s="9">
        <f>AD1438</f>
        <v>200000</v>
      </c>
      <c r="AE1440" s="9">
        <f>AC1440*$AC$1432</f>
        <v>171000</v>
      </c>
      <c r="AF1440" s="9">
        <f>SUM(AD1439:AE1440)</f>
        <v>371000</v>
      </c>
      <c r="AG1440" s="256">
        <f t="shared" si="151"/>
        <v>3</v>
      </c>
    </row>
    <row r="1441" spans="28:33">
      <c r="AB1441" s="11"/>
      <c r="AC1441" s="266">
        <f t="shared" si="150"/>
        <v>3400000</v>
      </c>
      <c r="AD1441" s="266"/>
      <c r="AE1441" s="266"/>
      <c r="AF1441" s="350"/>
      <c r="AG1441" s="349">
        <f t="shared" si="151"/>
        <v>4</v>
      </c>
    </row>
    <row r="1442" spans="28:33" ht="15.75">
      <c r="AC1442" s="9">
        <f t="shared" si="150"/>
        <v>3400000</v>
      </c>
      <c r="AD1442" s="9">
        <f>AD1440</f>
        <v>200000</v>
      </c>
      <c r="AE1442" s="9">
        <f>AC1442*$AC$1432</f>
        <v>161500</v>
      </c>
      <c r="AF1442" s="9">
        <f>SUM(AD1441:AE1442)</f>
        <v>361500</v>
      </c>
      <c r="AG1442" s="256">
        <f t="shared" si="151"/>
        <v>4</v>
      </c>
    </row>
    <row r="1443" spans="28:33">
      <c r="AC1443" s="266">
        <f t="shared" si="150"/>
        <v>3200000</v>
      </c>
      <c r="AD1443" s="266"/>
      <c r="AE1443" s="266"/>
      <c r="AF1443" s="350"/>
      <c r="AG1443" s="349">
        <f t="shared" si="151"/>
        <v>5</v>
      </c>
    </row>
    <row r="1444" spans="28:33" ht="15.75">
      <c r="AC1444" s="9">
        <f t="shared" si="150"/>
        <v>3200000</v>
      </c>
      <c r="AD1444" s="9">
        <f>AD1442</f>
        <v>200000</v>
      </c>
      <c r="AE1444" s="9">
        <f>AC1444*$AC$1432</f>
        <v>152000</v>
      </c>
      <c r="AF1444" s="9">
        <f>SUM(AD1443:AE1444)</f>
        <v>352000</v>
      </c>
      <c r="AG1444" s="256">
        <f t="shared" si="151"/>
        <v>5</v>
      </c>
    </row>
    <row r="1445" spans="28:33">
      <c r="AC1445" s="266">
        <f t="shared" si="150"/>
        <v>3000000</v>
      </c>
      <c r="AD1445" s="266"/>
      <c r="AE1445" s="266"/>
      <c r="AF1445" s="350"/>
      <c r="AG1445" s="349">
        <f t="shared" si="151"/>
        <v>6</v>
      </c>
    </row>
    <row r="1446" spans="28:33" ht="15.75">
      <c r="AC1446" s="9">
        <f t="shared" si="150"/>
        <v>3000000</v>
      </c>
      <c r="AD1446" s="9">
        <f>AD1444</f>
        <v>200000</v>
      </c>
      <c r="AE1446" s="9">
        <f>AC1446*$AC$1432</f>
        <v>142500</v>
      </c>
      <c r="AF1446" s="9">
        <f>SUM(AD1445:AE1446)</f>
        <v>342500</v>
      </c>
      <c r="AG1446" s="256">
        <f t="shared" si="151"/>
        <v>6</v>
      </c>
    </row>
    <row r="1447" spans="28:33">
      <c r="AC1447" s="266">
        <f t="shared" si="150"/>
        <v>2800000</v>
      </c>
      <c r="AD1447" s="266"/>
      <c r="AE1447" s="266"/>
      <c r="AF1447" s="350"/>
      <c r="AG1447" s="349">
        <f t="shared" si="151"/>
        <v>7</v>
      </c>
    </row>
    <row r="1448" spans="28:33" ht="15.75">
      <c r="AC1448" s="9">
        <f t="shared" si="150"/>
        <v>2800000</v>
      </c>
      <c r="AD1448" s="9">
        <f>AD1446</f>
        <v>200000</v>
      </c>
      <c r="AE1448" s="9">
        <f>AC1448*$AC$1432</f>
        <v>133000</v>
      </c>
      <c r="AF1448" s="9">
        <f>SUM(AD1447:AE1448)</f>
        <v>333000</v>
      </c>
      <c r="AG1448" s="256">
        <f t="shared" si="151"/>
        <v>7</v>
      </c>
    </row>
    <row r="1449" spans="28:33">
      <c r="AC1449" s="266">
        <f t="shared" si="150"/>
        <v>2600000</v>
      </c>
      <c r="AD1449" s="266"/>
      <c r="AE1449" s="266"/>
      <c r="AF1449" s="350"/>
      <c r="AG1449" s="349">
        <f t="shared" si="151"/>
        <v>8</v>
      </c>
    </row>
    <row r="1450" spans="28:33" ht="15.75">
      <c r="AC1450" s="9">
        <f t="shared" si="150"/>
        <v>2600000</v>
      </c>
      <c r="AD1450" s="9">
        <f>AD1448</f>
        <v>200000</v>
      </c>
      <c r="AE1450" s="9">
        <f>AC1450*$AC$1432</f>
        <v>123500</v>
      </c>
      <c r="AF1450" s="9">
        <f>SUM(AD1449:AE1450)</f>
        <v>323500</v>
      </c>
      <c r="AG1450" s="256">
        <f t="shared" si="151"/>
        <v>8</v>
      </c>
    </row>
    <row r="1451" spans="28:33">
      <c r="AC1451" s="266">
        <f t="shared" si="150"/>
        <v>2400000</v>
      </c>
      <c r="AD1451" s="266"/>
      <c r="AE1451" s="266"/>
      <c r="AF1451" s="350"/>
      <c r="AG1451" s="349">
        <f t="shared" si="151"/>
        <v>9</v>
      </c>
    </row>
    <row r="1452" spans="28:33" ht="15.75">
      <c r="AC1452" s="9">
        <f t="shared" si="150"/>
        <v>2400000</v>
      </c>
      <c r="AD1452" s="9">
        <f>AD1450</f>
        <v>200000</v>
      </c>
      <c r="AE1452" s="9">
        <f>AC1452*$AC$1432</f>
        <v>114000</v>
      </c>
      <c r="AF1452" s="9">
        <f>SUM(AD1451:AE1452)</f>
        <v>314000</v>
      </c>
      <c r="AG1452" s="256">
        <f t="shared" si="151"/>
        <v>9</v>
      </c>
    </row>
    <row r="1453" spans="28:33">
      <c r="AC1453" s="266">
        <f t="shared" si="150"/>
        <v>2200000</v>
      </c>
      <c r="AD1453" s="266"/>
      <c r="AE1453" s="266"/>
      <c r="AF1453" s="350"/>
      <c r="AG1453" s="349">
        <f t="shared" si="151"/>
        <v>10</v>
      </c>
    </row>
    <row r="1454" spans="28:33" ht="15.75">
      <c r="AC1454" s="9">
        <f t="shared" si="150"/>
        <v>2200000</v>
      </c>
      <c r="AD1454" s="9">
        <f>AD1452</f>
        <v>200000</v>
      </c>
      <c r="AE1454" s="9">
        <f>AC1454*$AC$1432</f>
        <v>104500</v>
      </c>
      <c r="AF1454" s="9">
        <f>SUM(AD1453:AE1454)</f>
        <v>304500</v>
      </c>
      <c r="AG1454" s="256">
        <f t="shared" si="151"/>
        <v>10</v>
      </c>
    </row>
    <row r="1455" spans="28:33">
      <c r="AC1455" s="266">
        <f t="shared" si="150"/>
        <v>2000000</v>
      </c>
      <c r="AD1455" s="266"/>
      <c r="AE1455" s="266"/>
      <c r="AF1455" s="350"/>
      <c r="AG1455" s="349">
        <f t="shared" si="151"/>
        <v>11</v>
      </c>
    </row>
    <row r="1456" spans="28:33" ht="15.75">
      <c r="AC1456" s="9">
        <f t="shared" si="150"/>
        <v>2000000</v>
      </c>
      <c r="AD1456" s="9">
        <f>AD1454</f>
        <v>200000</v>
      </c>
      <c r="AE1456" s="9">
        <f>AC1456*$AC$1432</f>
        <v>95000</v>
      </c>
      <c r="AF1456" s="9">
        <f>SUM(AD1455:AE1456)</f>
        <v>295000</v>
      </c>
      <c r="AG1456" s="256">
        <f t="shared" si="151"/>
        <v>11</v>
      </c>
    </row>
    <row r="1457" spans="29:33">
      <c r="AC1457" s="266">
        <f t="shared" si="150"/>
        <v>1800000</v>
      </c>
      <c r="AD1457" s="266"/>
      <c r="AE1457" s="266"/>
      <c r="AF1457" s="350"/>
      <c r="AG1457" s="349">
        <f t="shared" si="151"/>
        <v>12</v>
      </c>
    </row>
    <row r="1458" spans="29:33" ht="15.75">
      <c r="AC1458" s="9">
        <f t="shared" si="150"/>
        <v>1800000</v>
      </c>
      <c r="AD1458" s="9">
        <f>AD1456</f>
        <v>200000</v>
      </c>
      <c r="AE1458" s="9">
        <f>AC1458*$AC$1432</f>
        <v>85500</v>
      </c>
      <c r="AF1458" s="9">
        <f>SUM(AD1457:AE1458)</f>
        <v>285500</v>
      </c>
      <c r="AG1458" s="256">
        <f t="shared" si="151"/>
        <v>12</v>
      </c>
    </row>
    <row r="1459" spans="29:33">
      <c r="AC1459" s="266">
        <f t="shared" si="150"/>
        <v>1600000</v>
      </c>
      <c r="AD1459" s="266"/>
      <c r="AE1459" s="266"/>
      <c r="AF1459" s="350"/>
      <c r="AG1459" s="349">
        <f t="shared" si="151"/>
        <v>13</v>
      </c>
    </row>
    <row r="1460" spans="29:33" ht="15.75">
      <c r="AC1460" s="9">
        <f t="shared" si="150"/>
        <v>1600000</v>
      </c>
      <c r="AD1460" s="9">
        <f>AD1458</f>
        <v>200000</v>
      </c>
      <c r="AE1460" s="9">
        <f>AC1460*$AC$1432</f>
        <v>76000</v>
      </c>
      <c r="AF1460" s="9">
        <f>SUM(AD1459:AE1460)</f>
        <v>276000</v>
      </c>
      <c r="AG1460" s="256">
        <f t="shared" si="151"/>
        <v>13</v>
      </c>
    </row>
    <row r="1461" spans="29:33">
      <c r="AC1461" s="266">
        <f t="shared" si="150"/>
        <v>1400000</v>
      </c>
      <c r="AD1461" s="266"/>
      <c r="AE1461" s="266"/>
      <c r="AF1461" s="350"/>
      <c r="AG1461" s="349">
        <f t="shared" si="151"/>
        <v>14</v>
      </c>
    </row>
    <row r="1462" spans="29:33" ht="15.75">
      <c r="AC1462" s="9">
        <f t="shared" si="150"/>
        <v>1400000</v>
      </c>
      <c r="AD1462" s="9">
        <f>AD1460</f>
        <v>200000</v>
      </c>
      <c r="AE1462" s="9">
        <f>AC1462*$AC$1432</f>
        <v>66500</v>
      </c>
      <c r="AF1462" s="9">
        <f>SUM(AD1461:AE1462)</f>
        <v>266500</v>
      </c>
      <c r="AG1462" s="256">
        <f t="shared" si="151"/>
        <v>14</v>
      </c>
    </row>
    <row r="1463" spans="29:33">
      <c r="AC1463" s="266">
        <f t="shared" si="150"/>
        <v>1200000</v>
      </c>
      <c r="AD1463" s="266"/>
      <c r="AE1463" s="266"/>
      <c r="AF1463" s="350"/>
      <c r="AG1463" s="349">
        <f t="shared" si="151"/>
        <v>15</v>
      </c>
    </row>
    <row r="1464" spans="29:33" ht="15.75">
      <c r="AC1464" s="9">
        <f t="shared" si="150"/>
        <v>1200000</v>
      </c>
      <c r="AD1464" s="9">
        <f>AD1462</f>
        <v>200000</v>
      </c>
      <c r="AE1464" s="9">
        <f>AC1464*$AC$1432</f>
        <v>57000</v>
      </c>
      <c r="AF1464" s="9">
        <f>SUM(AD1463:AE1464)</f>
        <v>257000</v>
      </c>
      <c r="AG1464" s="256">
        <f t="shared" si="151"/>
        <v>15</v>
      </c>
    </row>
    <row r="1465" spans="29:33">
      <c r="AC1465" s="266">
        <f t="shared" si="150"/>
        <v>1000000</v>
      </c>
      <c r="AD1465" s="266"/>
      <c r="AE1465" s="266"/>
      <c r="AF1465" s="350"/>
      <c r="AG1465" s="349">
        <f t="shared" si="151"/>
        <v>16</v>
      </c>
    </row>
    <row r="1466" spans="29:33" ht="15.75">
      <c r="AC1466" s="9">
        <f t="shared" si="150"/>
        <v>1000000</v>
      </c>
      <c r="AD1466" s="9">
        <f>AD1464</f>
        <v>200000</v>
      </c>
      <c r="AE1466" s="9">
        <f>AC1466*$AC$1432</f>
        <v>47500</v>
      </c>
      <c r="AF1466" s="9">
        <f>SUM(AD1465:AE1466)</f>
        <v>247500</v>
      </c>
      <c r="AG1466" s="256">
        <f t="shared" si="151"/>
        <v>16</v>
      </c>
    </row>
    <row r="1467" spans="29:33">
      <c r="AC1467" s="266">
        <f t="shared" si="150"/>
        <v>800000</v>
      </c>
      <c r="AD1467" s="266"/>
      <c r="AE1467" s="266"/>
      <c r="AF1467" s="350"/>
      <c r="AG1467" s="349">
        <f t="shared" si="151"/>
        <v>17</v>
      </c>
    </row>
    <row r="1468" spans="29:33" ht="15.75">
      <c r="AC1468" s="9">
        <f t="shared" si="150"/>
        <v>800000</v>
      </c>
      <c r="AD1468" s="9">
        <f>AD1466</f>
        <v>200000</v>
      </c>
      <c r="AE1468" s="9">
        <f>AC1468*$AC$1432</f>
        <v>38000</v>
      </c>
      <c r="AF1468" s="9">
        <f>SUM(AD1467:AE1468)</f>
        <v>238000</v>
      </c>
      <c r="AG1468" s="256">
        <f t="shared" si="151"/>
        <v>17</v>
      </c>
    </row>
    <row r="1469" spans="29:33">
      <c r="AC1469" s="266">
        <f t="shared" si="150"/>
        <v>600000</v>
      </c>
      <c r="AD1469" s="266"/>
      <c r="AE1469" s="266"/>
      <c r="AF1469" s="350"/>
      <c r="AG1469" s="349">
        <f t="shared" si="151"/>
        <v>18</v>
      </c>
    </row>
    <row r="1470" spans="29:33" ht="15.75">
      <c r="AC1470" s="9">
        <f t="shared" si="150"/>
        <v>600000</v>
      </c>
      <c r="AD1470" s="9">
        <f>AD1468</f>
        <v>200000</v>
      </c>
      <c r="AE1470" s="9">
        <f>AC1470*$AC$1432</f>
        <v>28500</v>
      </c>
      <c r="AF1470" s="9">
        <f>SUM(AD1469:AE1470)</f>
        <v>228500</v>
      </c>
      <c r="AG1470" s="256">
        <f t="shared" si="151"/>
        <v>18</v>
      </c>
    </row>
    <row r="1471" spans="29:33">
      <c r="AC1471" s="266">
        <f t="shared" si="150"/>
        <v>400000</v>
      </c>
      <c r="AD1471" s="266"/>
      <c r="AE1471" s="266"/>
      <c r="AF1471" s="350"/>
      <c r="AG1471" s="349">
        <f t="shared" si="151"/>
        <v>19</v>
      </c>
    </row>
    <row r="1472" spans="29:33" ht="15.75">
      <c r="AC1472" s="9">
        <f t="shared" si="150"/>
        <v>400000</v>
      </c>
      <c r="AD1472" s="9">
        <f>AD1470</f>
        <v>200000</v>
      </c>
      <c r="AE1472" s="9">
        <f>AC1472*$AC$1432</f>
        <v>19000</v>
      </c>
      <c r="AF1472" s="9">
        <f>SUM(AD1471:AE1472)</f>
        <v>219000</v>
      </c>
      <c r="AG1472" s="256">
        <f t="shared" si="151"/>
        <v>19</v>
      </c>
    </row>
    <row r="1473" spans="29:33">
      <c r="AC1473" s="266">
        <f t="shared" si="150"/>
        <v>200000</v>
      </c>
      <c r="AD1473" s="266"/>
      <c r="AE1473" s="266"/>
      <c r="AF1473" s="350"/>
      <c r="AG1473" s="349">
        <f t="shared" si="151"/>
        <v>20</v>
      </c>
    </row>
    <row r="1474" spans="29:33" ht="15.75">
      <c r="AC1474" s="9">
        <f t="shared" si="150"/>
        <v>200000</v>
      </c>
      <c r="AD1474" s="9">
        <v>200000</v>
      </c>
      <c r="AE1474" s="9">
        <f>AC1474*$AC$1432</f>
        <v>9500</v>
      </c>
      <c r="AF1474" s="9">
        <f>SUM(AD1473:AE1474)</f>
        <v>209500</v>
      </c>
      <c r="AG1474" s="256">
        <f t="shared" si="151"/>
        <v>20</v>
      </c>
    </row>
    <row r="1475" spans="29:33">
      <c r="AC1475" s="266">
        <f t="shared" si="150"/>
        <v>0</v>
      </c>
      <c r="AD1475" s="266"/>
      <c r="AE1475" s="266"/>
      <c r="AF1475" s="350"/>
      <c r="AG1475" s="349">
        <f t="shared" si="151"/>
        <v>21</v>
      </c>
    </row>
    <row r="1476" spans="29:33" ht="15.75">
      <c r="AC1476" s="9">
        <f t="shared" si="150"/>
        <v>0</v>
      </c>
      <c r="AE1476" s="9">
        <f>AC1476*0.045</f>
        <v>0</v>
      </c>
      <c r="AF1476" s="9">
        <f>SUM(AD1475:AE1476)</f>
        <v>0</v>
      </c>
      <c r="AG1476" s="256">
        <f t="shared" si="151"/>
        <v>21</v>
      </c>
    </row>
    <row r="1477" spans="29:33">
      <c r="AC1477" s="266"/>
      <c r="AD1477" s="266">
        <f>SUM(AD1435:AD1476)</f>
        <v>4000000</v>
      </c>
      <c r="AE1477" s="266">
        <f>SUM(AE1435:AE1476)</f>
        <v>1995000</v>
      </c>
      <c r="AF1477" s="266">
        <f>SUM(AF1435:AF1476)</f>
        <v>5995000</v>
      </c>
      <c r="AG1477" s="349"/>
    </row>
    <row r="1478" spans="29:33">
      <c r="AF1478" s="9">
        <f>AF1477-AE1477-AD1477</f>
        <v>0</v>
      </c>
    </row>
  </sheetData>
  <mergeCells count="1">
    <mergeCell ref="A3:AL3"/>
  </mergeCells>
  <printOptions horizontalCentered="1" verticalCentered="1" gridLines="1"/>
  <pageMargins left="0" right="0" top="0" bottom="0" header="0" footer="0"/>
  <pageSetup scale="41" fitToWidth="0" orientation="landscape" r:id="rId1"/>
  <headerFooter scaleWithDoc="0" alignWithMargins="0">
    <oddHeader>&amp;L&amp;F&amp;RPage &amp;P of &amp;N</oddHeader>
    <oddFooter>&amp;L&amp;A&amp;R&amp;D &amp;T</oddFooter>
  </headerFooter>
  <rowBreaks count="11" manualBreakCount="11">
    <brk id="83" max="37" man="1"/>
    <brk id="123" max="65535" man="1"/>
    <brk id="273" max="65535" man="1"/>
    <brk id="324" max="65535" man="1"/>
    <brk id="384" max="65535" man="1"/>
    <brk id="434" max="65535" man="1"/>
    <brk id="570" max="65535" man="1"/>
    <brk id="596" max="65535" man="1"/>
    <brk id="624" max="65535" man="1"/>
    <brk id="654" max="65535" man="1"/>
    <brk id="683" max="6553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305"/>
  <sheetViews>
    <sheetView tabSelected="1" zoomScaleNormal="100" zoomScaleSheetLayoutView="65" workbookViewId="0"/>
  </sheetViews>
  <sheetFormatPr defaultColWidth="8.7109375" defaultRowHeight="15"/>
  <cols>
    <col min="1" max="1" width="3.7109375" customWidth="1"/>
    <col min="2" max="2" width="89.7109375" customWidth="1"/>
    <col min="3" max="9" width="13.7109375" customWidth="1"/>
    <col min="10" max="11" width="16.42578125" customWidth="1"/>
    <col min="12" max="13" width="14.7109375" customWidth="1"/>
    <col min="14" max="14" width="13.7109375" customWidth="1"/>
    <col min="15" max="15" width="15.5703125" customWidth="1"/>
    <col min="16" max="16" width="3.7109375" customWidth="1"/>
  </cols>
  <sheetData>
    <row r="1" spans="1:16" ht="21.4" customHeight="1" thickBot="1">
      <c r="A1" s="19"/>
      <c r="B1" s="127" t="s">
        <v>795</v>
      </c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</row>
    <row r="2" spans="1:16" ht="18" customHeight="1" thickBot="1">
      <c r="A2" s="19"/>
      <c r="B2" s="128" t="s">
        <v>87</v>
      </c>
      <c r="C2" s="188"/>
      <c r="D2" s="753" t="s">
        <v>86</v>
      </c>
      <c r="E2" s="754"/>
      <c r="F2" s="754"/>
      <c r="G2" s="754"/>
      <c r="H2" s="754"/>
      <c r="I2" s="754"/>
      <c r="J2" s="754"/>
      <c r="K2" s="754"/>
      <c r="L2" s="754"/>
      <c r="M2" s="754"/>
      <c r="N2" s="755"/>
      <c r="O2" s="188"/>
      <c r="P2" s="87"/>
    </row>
    <row r="3" spans="1:16" ht="18" customHeight="1" thickBot="1">
      <c r="A3" s="19"/>
      <c r="B3" s="19"/>
      <c r="C3" s="200" t="s">
        <v>47</v>
      </c>
      <c r="D3" s="189">
        <f>Dashboard!B6</f>
        <v>2023</v>
      </c>
      <c r="E3" s="190">
        <f>D3+1</f>
        <v>2024</v>
      </c>
      <c r="F3" s="190">
        <f t="shared" ref="F3:M3" si="0">E3+1</f>
        <v>2025</v>
      </c>
      <c r="G3" s="190">
        <f t="shared" si="0"/>
        <v>2026</v>
      </c>
      <c r="H3" s="190">
        <f t="shared" si="0"/>
        <v>2027</v>
      </c>
      <c r="I3" s="190">
        <f t="shared" si="0"/>
        <v>2028</v>
      </c>
      <c r="J3" s="190">
        <f t="shared" si="0"/>
        <v>2029</v>
      </c>
      <c r="K3" s="190">
        <f t="shared" si="0"/>
        <v>2030</v>
      </c>
      <c r="L3" s="190">
        <f t="shared" si="0"/>
        <v>2031</v>
      </c>
      <c r="M3" s="190">
        <f t="shared" si="0"/>
        <v>2032</v>
      </c>
      <c r="N3" s="756" t="s">
        <v>49</v>
      </c>
      <c r="O3" s="757"/>
      <c r="P3" s="87"/>
    </row>
    <row r="4" spans="1:16" ht="31.5">
      <c r="A4" s="19"/>
      <c r="B4" s="19"/>
      <c r="C4" s="191" t="s">
        <v>85</v>
      </c>
      <c r="D4" s="129"/>
      <c r="E4" s="130"/>
      <c r="F4" s="130"/>
      <c r="G4" s="130"/>
      <c r="H4" s="130"/>
      <c r="I4" s="130"/>
      <c r="J4" s="130"/>
      <c r="K4" s="130"/>
      <c r="L4" s="130"/>
      <c r="M4" s="130"/>
      <c r="N4" s="606" t="s">
        <v>740</v>
      </c>
      <c r="O4" s="606" t="s">
        <v>554</v>
      </c>
      <c r="P4" s="87"/>
    </row>
    <row r="5" spans="1:16">
      <c r="A5" s="19"/>
      <c r="B5" s="131">
        <f>Dashboard!B6</f>
        <v>2023</v>
      </c>
      <c r="C5" s="186"/>
      <c r="D5" s="195"/>
      <c r="E5" s="196"/>
      <c r="F5" s="196"/>
      <c r="G5" s="196"/>
      <c r="H5" s="196"/>
      <c r="I5" s="196"/>
      <c r="J5" s="196"/>
      <c r="K5" s="196"/>
      <c r="L5" s="196"/>
      <c r="M5" s="196"/>
      <c r="N5" s="199"/>
      <c r="O5" s="192"/>
      <c r="P5" s="87"/>
    </row>
    <row r="6" spans="1:16" ht="14.25" customHeight="1">
      <c r="A6" s="19"/>
      <c r="B6" s="109" t="s">
        <v>67</v>
      </c>
      <c r="C6" s="192">
        <f>Dashboard!C6</f>
        <v>0</v>
      </c>
      <c r="D6" s="132">
        <f>IF((Dashboard!$D$31)&gt;0,'FY23 Level-Principal'!$E$7,'FY23 Level-Payment'!$D$26)</f>
        <v>0</v>
      </c>
      <c r="E6" s="133">
        <f>IF((Dashboard!$D$31)&gt;0,'FY23 Level-Principal'!$E$9,'FY23 Level-Payment'!$D$27)</f>
        <v>0</v>
      </c>
      <c r="F6" s="133">
        <f>IF((Dashboard!$D$31)&gt;0,'FY23 Level-Principal'!$E$11,'FY23 Level-Payment'!$D$28)</f>
        <v>0</v>
      </c>
      <c r="G6" s="133">
        <f>IF((Dashboard!$D$31)&gt;0,'FY23 Level-Principal'!$E$13,'FY23 Level-Payment'!$D$29)</f>
        <v>0</v>
      </c>
      <c r="H6" s="133">
        <f>IF((Dashboard!$D$31)&gt;0,'FY23 Level-Principal'!$E$15,'FY23 Level-Payment'!$D$30)</f>
        <v>0</v>
      </c>
      <c r="I6" s="133">
        <f>IF((Dashboard!$D$31)&gt;0,'FY23 Level-Principal'!$E$17,'FY23 Level-Payment'!$D$31)</f>
        <v>0</v>
      </c>
      <c r="J6" s="133">
        <f>IF((Dashboard!$D$31)&gt;0,'FY23 Level-Principal'!$E$19,'FY23 Level-Payment'!$D$32)</f>
        <v>0</v>
      </c>
      <c r="K6" s="133">
        <f>IF((Dashboard!$D$31)&gt;0,'FY23 Level-Principal'!$E$21,'FY23 Level-Payment'!$D$33)</f>
        <v>0</v>
      </c>
      <c r="L6" s="133">
        <f>IF((Dashboard!$D$31)&gt;0,'FY23 Level-Principal'!$E$23,'FY23 Level-Payment'!$D$34)</f>
        <v>0</v>
      </c>
      <c r="M6" s="133">
        <f>IF((Dashboard!$D$31)&gt;0,'FY23 Level-Principal'!$E$25,'FY23 Level-Payment'!$D$35)</f>
        <v>0</v>
      </c>
      <c r="N6" s="194">
        <f>SUM(D6:M6)</f>
        <v>0</v>
      </c>
      <c r="O6" s="194">
        <f>IF((Dashboard!$D$31)&gt;0,'FY23 Level-Principal'!$E$70,'FY23 Level-Payment'!$E$92)</f>
        <v>0</v>
      </c>
      <c r="P6" s="87"/>
    </row>
    <row r="7" spans="1:16">
      <c r="A7" s="19"/>
      <c r="B7" s="109"/>
      <c r="C7" s="192"/>
      <c r="D7" s="132"/>
      <c r="E7" s="133"/>
      <c r="F7" s="133"/>
      <c r="G7" s="196"/>
      <c r="H7" s="196"/>
      <c r="I7" s="196"/>
      <c r="J7" s="196"/>
      <c r="K7" s="196"/>
      <c r="L7" s="196"/>
      <c r="M7" s="196"/>
      <c r="N7" s="199"/>
      <c r="O7" s="192"/>
      <c r="P7" s="87"/>
    </row>
    <row r="8" spans="1:16">
      <c r="A8" s="19"/>
      <c r="B8" s="111">
        <f>Dashboard!B7</f>
        <v>2024</v>
      </c>
      <c r="C8" s="192"/>
      <c r="D8" s="195"/>
      <c r="E8" s="196"/>
      <c r="F8" s="196"/>
      <c r="G8" s="196"/>
      <c r="H8" s="196"/>
      <c r="I8" s="196"/>
      <c r="J8" s="196"/>
      <c r="K8" s="196"/>
      <c r="L8" s="196"/>
      <c r="M8" s="605"/>
      <c r="N8" s="605"/>
      <c r="O8" s="192"/>
      <c r="P8" s="87"/>
    </row>
    <row r="9" spans="1:16">
      <c r="A9" s="19"/>
      <c r="B9" s="109" t="s">
        <v>67</v>
      </c>
      <c r="C9" s="192">
        <f>Dashboard!C7</f>
        <v>12000000</v>
      </c>
      <c r="D9" s="195"/>
      <c r="E9" s="133">
        <f>IF((Dashboard!$E$31)&gt;0,'FY24 Level-Principal'!$E$7,'FY24 Level-Payment'!$D$26)</f>
        <v>799367.17</v>
      </c>
      <c r="F9" s="133">
        <f>IF((Dashboard!$E$31)&gt;0,'FY24 Level-Principal'!$E$9,'FY24 Level-Payment'!$D$27)</f>
        <v>799367.17</v>
      </c>
      <c r="G9" s="133">
        <f>IF((Dashboard!$E$31)&gt;0,'FY24 Level-Principal'!$E$11,'FY24 Level-Payment'!$D$28)</f>
        <v>799367.17000000016</v>
      </c>
      <c r="H9" s="133">
        <f>IF((Dashboard!$E$31)&gt;0,'FY24 Level-Principal'!$E$13,'FY24 Level-Payment'!$D$29)</f>
        <v>799367.16999999993</v>
      </c>
      <c r="I9" s="133">
        <f>IF((Dashboard!$E$31)&gt;0,'FY24 Level-Principal'!$E$15,'FY24 Level-Payment'!$D$30)</f>
        <v>799367.16999999993</v>
      </c>
      <c r="J9" s="133">
        <f>IF((Dashboard!$E$31)&gt;0,'FY24 Level-Principal'!$E$17,'FY24 Level-Payment'!$D$31)</f>
        <v>799367.17000000039</v>
      </c>
      <c r="K9" s="133">
        <f>IF((Dashboard!$E$31)&gt;0,'FY24 Level-Principal'!$E$19,'FY24 Level-Payment'!$D$32)</f>
        <v>799367.16999999993</v>
      </c>
      <c r="L9" s="133">
        <f>IF((Dashboard!$E$31)&gt;0,'FY24 Level-Principal'!$E$21,'FY24 Level-Payment'!$D$33)</f>
        <v>799367.16999999993</v>
      </c>
      <c r="M9" s="612">
        <f>IF((Dashboard!$E$31)&gt;0,'FY24 Level-Principal'!$E$23,'FY24 Level-Payment'!$D$34)</f>
        <v>799367.16999999993</v>
      </c>
      <c r="N9" s="194">
        <f>SUM(D9:M9)</f>
        <v>7194304.5300000003</v>
      </c>
      <c r="O9" s="194">
        <f>IF((Dashboard!$E$31)&gt;0,'FY24 Level-Principal'!$E$70,'FY24 Level-Payment'!$E$92)</f>
        <v>8793038.9600000009</v>
      </c>
      <c r="P9" s="87"/>
    </row>
    <row r="10" spans="1:16">
      <c r="A10" s="19"/>
      <c r="B10" s="109"/>
      <c r="C10" s="192"/>
      <c r="D10" s="195"/>
      <c r="E10" s="133"/>
      <c r="F10" s="133"/>
      <c r="G10" s="133"/>
      <c r="H10" s="196"/>
      <c r="I10" s="196"/>
      <c r="J10" s="196"/>
      <c r="K10" s="196"/>
      <c r="L10" s="196"/>
      <c r="M10" s="605"/>
      <c r="N10" s="605"/>
      <c r="O10" s="192"/>
      <c r="P10" s="87"/>
    </row>
    <row r="11" spans="1:16">
      <c r="A11" s="19"/>
      <c r="B11" s="111">
        <f>Dashboard!B8</f>
        <v>2025</v>
      </c>
      <c r="C11" s="192"/>
      <c r="D11" s="195"/>
      <c r="E11" s="133"/>
      <c r="F11" s="133"/>
      <c r="G11" s="133"/>
      <c r="H11" s="196"/>
      <c r="I11" s="196"/>
      <c r="J11" s="196"/>
      <c r="K11" s="196"/>
      <c r="L11" s="196"/>
      <c r="M11" s="605"/>
      <c r="N11" s="199"/>
      <c r="O11" s="192"/>
      <c r="P11" s="87"/>
    </row>
    <row r="12" spans="1:16">
      <c r="A12" s="19"/>
      <c r="B12" s="109" t="s">
        <v>67</v>
      </c>
      <c r="C12" s="192">
        <f>Dashboard!C8</f>
        <v>0</v>
      </c>
      <c r="D12" s="132"/>
      <c r="E12" s="133"/>
      <c r="F12" s="133">
        <f>IF((Dashboard!$F$31)&gt;0,'FY25 Level-Principal'!$E$7,'FY25 Level-Payment'!$D$26)</f>
        <v>0</v>
      </c>
      <c r="G12" s="133">
        <f>IF((Dashboard!$F$31)&gt;0,'FY25 Level-Principal'!$E$9,'FY25 Level-Payment'!$D$27)</f>
        <v>0</v>
      </c>
      <c r="H12" s="133">
        <f>IF((Dashboard!$F$31)&gt;0,'FY25 Level-Principal'!$E$11,'FY25 Level-Payment'!$D$28)</f>
        <v>0</v>
      </c>
      <c r="I12" s="133">
        <f>IF((Dashboard!$F$31)&gt;0,'FY25 Level-Principal'!$E$13,'FY25 Level-Payment'!$D$29)</f>
        <v>0</v>
      </c>
      <c r="J12" s="133">
        <f>IF((Dashboard!$F$31)&gt;0,'FY25 Level-Principal'!$E$15,'FY25 Level-Payment'!$D$30)</f>
        <v>0</v>
      </c>
      <c r="K12" s="133">
        <f>IF((Dashboard!$F$31)&gt;0,'FY25 Level-Principal'!$E$17,'FY25 Level-Payment'!$D$31)</f>
        <v>0</v>
      </c>
      <c r="L12" s="133">
        <f>IF((Dashboard!$F$31)&gt;0,'FY25 Level-Principal'!$E$19,'FY25 Level-Payment'!$D$32)</f>
        <v>0</v>
      </c>
      <c r="M12" s="612">
        <f>IF((Dashboard!$F$31)&gt;0,'FY25 Level-Principal'!$E$21,'FY25 Level-Payment'!$D$33)</f>
        <v>0</v>
      </c>
      <c r="N12" s="194">
        <f>SUM(D12:M12)</f>
        <v>0</v>
      </c>
      <c r="O12" s="194">
        <f>IF((Dashboard!$F$31)&gt;0,'FY25 Level-Principal'!$E$70,'FY25 Level-Payment'!$E$92)</f>
        <v>0</v>
      </c>
      <c r="P12" s="87"/>
    </row>
    <row r="13" spans="1:16">
      <c r="A13" s="19"/>
      <c r="B13" s="109"/>
      <c r="C13" s="192"/>
      <c r="D13" s="195"/>
      <c r="E13" s="133"/>
      <c r="F13" s="133"/>
      <c r="G13" s="133"/>
      <c r="H13" s="196"/>
      <c r="I13" s="196"/>
      <c r="J13" s="196"/>
      <c r="K13" s="196"/>
      <c r="L13" s="196"/>
      <c r="M13" s="605"/>
      <c r="N13" s="199"/>
      <c r="O13" s="192"/>
      <c r="P13" s="87"/>
    </row>
    <row r="14" spans="1:16">
      <c r="A14" s="19"/>
      <c r="B14" s="111">
        <f>Dashboard!B9</f>
        <v>2026</v>
      </c>
      <c r="C14" s="192"/>
      <c r="D14" s="195"/>
      <c r="E14" s="133"/>
      <c r="F14" s="133"/>
      <c r="G14" s="133"/>
      <c r="H14" s="196"/>
      <c r="I14" s="196"/>
      <c r="J14" s="196"/>
      <c r="K14" s="196"/>
      <c r="L14" s="196"/>
      <c r="M14" s="605"/>
      <c r="N14" s="199"/>
      <c r="O14" s="192"/>
      <c r="P14" s="87"/>
    </row>
    <row r="15" spans="1:16">
      <c r="A15" s="19"/>
      <c r="B15" s="109" t="s">
        <v>67</v>
      </c>
      <c r="C15" s="192">
        <f>Dashboard!C9</f>
        <v>150000000</v>
      </c>
      <c r="D15" s="132"/>
      <c r="E15" s="133"/>
      <c r="F15" s="133"/>
      <c r="G15" s="133">
        <f>IF((Dashboard!$G$31)&gt;0,'FY26 Level-Principal'!$E$7,'FY26 Level-Payment'!$D$26)</f>
        <v>7653518.2000000002</v>
      </c>
      <c r="H15" s="133">
        <f>IF((Dashboard!$G$31)&gt;0,'FY26 Level-Principal'!$E$9,'FY26 Level-Payment'!$D$27)</f>
        <v>7653518.2000000002</v>
      </c>
      <c r="I15" s="133">
        <f>IF((Dashboard!$G$31)&gt;0,'FY26 Level-Principal'!$E$11,'FY26 Level-Payment'!$D$28)</f>
        <v>7653518.2000000011</v>
      </c>
      <c r="J15" s="133">
        <f>IF((Dashboard!$G$31)&gt;0,'FY26 Level-Principal'!$E$13,'FY26 Level-Payment'!$D$29)</f>
        <v>7653518.1999999993</v>
      </c>
      <c r="K15" s="133">
        <f>IF((Dashboard!$G$31)&gt;0,'FY26 Level-Principal'!$E$15,'FY26 Level-Payment'!$D$30)</f>
        <v>7653518.1999999993</v>
      </c>
      <c r="L15" s="133">
        <f>IF((Dashboard!$G$31)&gt;0,'FY26 Level-Principal'!$E$17,'FY26 Level-Payment'!$D$31)</f>
        <v>7653518.200000003</v>
      </c>
      <c r="M15" s="133">
        <f>IF((Dashboard!$G$31)&gt;0,'FY26 Level-Principal'!$E$19,'FY26 Level-Payment'!$D$32)</f>
        <v>7653518.200000003</v>
      </c>
      <c r="N15" s="194">
        <f>SUM(D15:M15)</f>
        <v>53574627.400000006</v>
      </c>
      <c r="O15" s="194">
        <f>IF((Dashboard!$G$31)&gt;0,'FY26 Level-Principal'!$E$70,'FY26 Level-Payment'!$E$92)</f>
        <v>176030918.61999989</v>
      </c>
      <c r="P15" s="87"/>
    </row>
    <row r="16" spans="1:16">
      <c r="A16" s="19"/>
      <c r="B16" s="109"/>
      <c r="C16" s="192"/>
      <c r="D16" s="195"/>
      <c r="E16" s="133"/>
      <c r="F16" s="133"/>
      <c r="G16" s="133"/>
      <c r="H16" s="196"/>
      <c r="I16" s="196"/>
      <c r="J16" s="196"/>
      <c r="K16" s="196"/>
      <c r="L16" s="196"/>
      <c r="M16" s="605"/>
      <c r="N16" s="199"/>
      <c r="O16" s="192"/>
      <c r="P16" s="87"/>
    </row>
    <row r="17" spans="1:16">
      <c r="A17" s="19"/>
      <c r="B17" s="111">
        <f>Dashboard!B10</f>
        <v>2027</v>
      </c>
      <c r="C17" s="192"/>
      <c r="D17" s="195"/>
      <c r="E17" s="133"/>
      <c r="F17" s="133"/>
      <c r="G17" s="133"/>
      <c r="H17" s="196"/>
      <c r="I17" s="196"/>
      <c r="J17" s="196"/>
      <c r="K17" s="196"/>
      <c r="L17" s="196"/>
      <c r="M17" s="605"/>
      <c r="N17" s="199"/>
      <c r="O17" s="192"/>
      <c r="P17" s="87"/>
    </row>
    <row r="18" spans="1:16">
      <c r="A18" s="19"/>
      <c r="B18" s="109" t="s">
        <v>67</v>
      </c>
      <c r="C18" s="192">
        <f>Dashboard!C10</f>
        <v>10000000</v>
      </c>
      <c r="D18" s="132"/>
      <c r="E18" s="133"/>
      <c r="F18" s="133"/>
      <c r="G18" s="133"/>
      <c r="H18" s="133">
        <f>IF((Dashboard!$H$31)&gt;0,'FY27 Level-Principal'!$E$7,'FY27 Level-Payment'!$D$26)</f>
        <v>525326.88</v>
      </c>
      <c r="I18" s="133">
        <f>IF((Dashboard!$H$31)&gt;0,'FY27 Level-Principal'!$E$9,'FY27 Level-Payment'!$D$27)</f>
        <v>525326.88</v>
      </c>
      <c r="J18" s="133">
        <f>IF((Dashboard!$H$31)&gt;0,'FY27 Level-Principal'!$E$11,'FY27 Level-Payment'!$D$28)</f>
        <v>525326.88000000012</v>
      </c>
      <c r="K18" s="133">
        <f>IF((Dashboard!$H$31)&gt;0,'FY27 Level-Principal'!$E$13,'FY27 Level-Payment'!$D$29)</f>
        <v>525326.87999999989</v>
      </c>
      <c r="L18" s="133">
        <f>IF((Dashboard!$H$31)&gt;0,'FY27 Level-Principal'!$E$15,'FY27 Level-Payment'!$D$30)</f>
        <v>525326.87999999989</v>
      </c>
      <c r="M18" s="133">
        <f>IF((Dashboard!$H$31)&gt;0,'FY27 Level-Principal'!$E$17,'FY27 Level-Payment'!$D$31)</f>
        <v>525326.87999999989</v>
      </c>
      <c r="N18" s="194">
        <f>SUM(D18:M18)</f>
        <v>3151961.28</v>
      </c>
      <c r="O18" s="194">
        <f>IF((Dashboard!$H$31)&gt;0,'FY27 Level-Principal'!$E$70,'FY27 Level-Payment'!$E$92)</f>
        <v>12607844.910000011</v>
      </c>
      <c r="P18" s="87"/>
    </row>
    <row r="19" spans="1:16">
      <c r="A19" s="19"/>
      <c r="B19" s="109"/>
      <c r="C19" s="192"/>
      <c r="D19" s="195"/>
      <c r="E19" s="133"/>
      <c r="F19" s="133"/>
      <c r="G19" s="133"/>
      <c r="H19" s="196"/>
      <c r="I19" s="196"/>
      <c r="J19" s="196"/>
      <c r="K19" s="196"/>
      <c r="L19" s="196"/>
      <c r="M19" s="605"/>
      <c r="N19" s="199"/>
      <c r="O19" s="192"/>
      <c r="P19" s="87"/>
    </row>
    <row r="20" spans="1:16">
      <c r="A20" s="19"/>
      <c r="B20" s="111">
        <f>Dashboard!B11</f>
        <v>2028</v>
      </c>
      <c r="C20" s="192"/>
      <c r="D20" s="195"/>
      <c r="E20" s="133"/>
      <c r="F20" s="133"/>
      <c r="G20" s="133"/>
      <c r="H20" s="196"/>
      <c r="I20" s="196"/>
      <c r="J20" s="196"/>
      <c r="K20" s="196"/>
      <c r="L20" s="196"/>
      <c r="M20" s="605"/>
      <c r="N20" s="199"/>
      <c r="O20" s="192"/>
      <c r="P20" s="87"/>
    </row>
    <row r="21" spans="1:16">
      <c r="A21" s="19"/>
      <c r="B21" s="109" t="s">
        <v>67</v>
      </c>
      <c r="C21" s="192">
        <f>Dashboard!C11</f>
        <v>0</v>
      </c>
      <c r="D21" s="132"/>
      <c r="E21" s="133"/>
      <c r="F21" s="133"/>
      <c r="G21" s="133"/>
      <c r="H21" s="133"/>
      <c r="I21" s="133">
        <f>IF((Dashboard!$I$31)&gt;0,'FY28 Level-Principal'!$E$7,'FY28 Level-Payment'!$D$26)</f>
        <v>0</v>
      </c>
      <c r="J21" s="133">
        <f>IF((Dashboard!$I$31)&gt;0,'FY28 Level-Principal'!$E$9,'FY28 Level-Payment'!$D$27)</f>
        <v>0</v>
      </c>
      <c r="K21" s="133">
        <f>IF((Dashboard!$I$31)&gt;0,'FY28 Level-Principal'!$E$11,'FY28 Level-Payment'!$D$28)</f>
        <v>0</v>
      </c>
      <c r="L21" s="133">
        <f>IF((Dashboard!$I$31)&gt;0,'FY28 Level-Principal'!$E$13,'FY28 Level-Payment'!$D$29)</f>
        <v>0</v>
      </c>
      <c r="M21" s="133">
        <f>IF((Dashboard!$I$31)&gt;0,'FY28 Level-Principal'!$E$15,'FY28 Level-Payment'!$D$30)</f>
        <v>0</v>
      </c>
      <c r="N21" s="194">
        <f>SUM(D21:M21)</f>
        <v>0</v>
      </c>
      <c r="O21" s="194">
        <f>IF((Dashboard!$I$31)&gt;0,'FY28 Level-Principal'!$E$70,'FY28 Level-Payment'!$E$92)</f>
        <v>0</v>
      </c>
      <c r="P21" s="87"/>
    </row>
    <row r="22" spans="1:16">
      <c r="A22" s="19"/>
      <c r="B22" s="109"/>
      <c r="C22" s="192"/>
      <c r="D22" s="195"/>
      <c r="E22" s="133"/>
      <c r="F22" s="133"/>
      <c r="G22" s="133"/>
      <c r="H22" s="196"/>
      <c r="I22" s="196"/>
      <c r="J22" s="196"/>
      <c r="K22" s="196"/>
      <c r="L22" s="196"/>
      <c r="M22" s="605"/>
      <c r="N22" s="199"/>
      <c r="O22" s="192"/>
      <c r="P22" s="87"/>
    </row>
    <row r="23" spans="1:16">
      <c r="A23" s="19"/>
      <c r="B23" s="111">
        <f>Dashboard!B12</f>
        <v>2029</v>
      </c>
      <c r="C23" s="192"/>
      <c r="D23" s="195"/>
      <c r="E23" s="133"/>
      <c r="F23" s="133"/>
      <c r="G23" s="133"/>
      <c r="H23" s="196"/>
      <c r="I23" s="196"/>
      <c r="J23" s="196"/>
      <c r="K23" s="196"/>
      <c r="L23" s="196"/>
      <c r="M23" s="605"/>
      <c r="N23" s="199"/>
      <c r="O23" s="192"/>
      <c r="P23" s="87"/>
    </row>
    <row r="24" spans="1:16">
      <c r="A24" s="19"/>
      <c r="B24" s="109" t="s">
        <v>67</v>
      </c>
      <c r="C24" s="192">
        <f>Dashboard!C12</f>
        <v>0</v>
      </c>
      <c r="D24" s="132"/>
      <c r="E24" s="133"/>
      <c r="F24" s="133"/>
      <c r="G24" s="133"/>
      <c r="H24" s="133"/>
      <c r="I24" s="133"/>
      <c r="J24" s="133">
        <f>IF((Dashboard!$J$31)&gt;0,'FY29 Level-Principal'!$E$7,'FY29 Level-Payment'!$D$26)</f>
        <v>0</v>
      </c>
      <c r="K24" s="133">
        <f>IF((Dashboard!$J$31)&gt;0,'FY29 Level-Principal'!$E$9,'FY29 Level-Payment'!$D$27)</f>
        <v>0</v>
      </c>
      <c r="L24" s="133">
        <f>IF((Dashboard!$J$31)&gt;0,'FY29 Level-Principal'!$E$11,'FY29 Level-Payment'!$D$28)</f>
        <v>0</v>
      </c>
      <c r="M24" s="133">
        <f>IF((Dashboard!$J$31)&gt;0,'FY29 Level-Principal'!$E$13,'FY29 Level-Payment'!$D$29)</f>
        <v>0</v>
      </c>
      <c r="N24" s="194">
        <f>SUM(D24:M24)</f>
        <v>0</v>
      </c>
      <c r="O24" s="194">
        <f>IF((Dashboard!$J$31)&gt;0,'FY29 Level-Principal'!$E$70,'FY29 Level-Payment'!$E$92)</f>
        <v>0</v>
      </c>
      <c r="P24" s="87"/>
    </row>
    <row r="25" spans="1:16">
      <c r="A25" s="19"/>
      <c r="B25" s="109"/>
      <c r="C25" s="192"/>
      <c r="D25" s="195"/>
      <c r="E25" s="133"/>
      <c r="F25" s="133"/>
      <c r="G25" s="133"/>
      <c r="H25" s="196"/>
      <c r="I25" s="196"/>
      <c r="J25" s="196"/>
      <c r="K25" s="196"/>
      <c r="L25" s="196"/>
      <c r="M25" s="605"/>
      <c r="N25" s="199"/>
      <c r="O25" s="192"/>
      <c r="P25" s="87"/>
    </row>
    <row r="26" spans="1:16">
      <c r="A26" s="19"/>
      <c r="B26" s="111">
        <f>Dashboard!B13</f>
        <v>2030</v>
      </c>
      <c r="C26" s="192"/>
      <c r="D26" s="195"/>
      <c r="E26" s="133"/>
      <c r="F26" s="133"/>
      <c r="G26" s="133"/>
      <c r="H26" s="196"/>
      <c r="I26" s="196"/>
      <c r="J26" s="196"/>
      <c r="K26" s="196"/>
      <c r="L26" s="196"/>
      <c r="M26" s="605"/>
      <c r="N26" s="199"/>
      <c r="O26" s="192"/>
      <c r="P26" s="87"/>
    </row>
    <row r="27" spans="1:16">
      <c r="A27" s="19"/>
      <c r="B27" s="109" t="s">
        <v>67</v>
      </c>
      <c r="C27" s="192">
        <f>Dashboard!C13</f>
        <v>0</v>
      </c>
      <c r="D27" s="132"/>
      <c r="E27" s="133"/>
      <c r="F27" s="133"/>
      <c r="G27" s="133"/>
      <c r="H27" s="133"/>
      <c r="I27" s="133"/>
      <c r="J27" s="133"/>
      <c r="K27" s="133">
        <f>IF((Dashboard!$K$31)&gt;0,'FY30 Level-Principal'!$E$7,'FY30 Level-Payment'!$D$26)</f>
        <v>0</v>
      </c>
      <c r="L27" s="133">
        <f>IF((Dashboard!$K$31)&gt;0,'FY30 Level-Principal'!$E$9,'FY30 Level-Payment'!$D$27)</f>
        <v>0</v>
      </c>
      <c r="M27" s="133">
        <f>IF((Dashboard!$K$31)&gt;0,'FY30 Level-Principal'!$E$11,'FY30 Level-Payment'!$D$28)</f>
        <v>0</v>
      </c>
      <c r="N27" s="194">
        <f>SUM(D27:M27)</f>
        <v>0</v>
      </c>
      <c r="O27" s="194">
        <f>IF((Dashboard!$K$31)&gt;0,'FY30 Level-Principal'!$E$70,'FY30 Level-Payment'!$E$92)</f>
        <v>0</v>
      </c>
      <c r="P27" s="87"/>
    </row>
    <row r="28" spans="1:16">
      <c r="A28" s="19"/>
      <c r="B28" s="109"/>
      <c r="C28" s="192"/>
      <c r="D28" s="195"/>
      <c r="E28" s="133"/>
      <c r="F28" s="133"/>
      <c r="G28" s="133"/>
      <c r="H28" s="196"/>
      <c r="I28" s="196"/>
      <c r="J28" s="196"/>
      <c r="K28" s="196"/>
      <c r="L28" s="196"/>
      <c r="M28" s="605"/>
      <c r="N28" s="199"/>
      <c r="O28" s="192"/>
      <c r="P28" s="87"/>
    </row>
    <row r="29" spans="1:16">
      <c r="A29" s="19"/>
      <c r="B29" s="111">
        <f>Dashboard!B14</f>
        <v>2031</v>
      </c>
      <c r="C29" s="192"/>
      <c r="D29" s="195"/>
      <c r="E29" s="133"/>
      <c r="F29" s="133"/>
      <c r="G29" s="133"/>
      <c r="H29" s="196"/>
      <c r="I29" s="196"/>
      <c r="J29" s="196"/>
      <c r="K29" s="196"/>
      <c r="L29" s="196"/>
      <c r="M29" s="605"/>
      <c r="N29" s="199"/>
      <c r="O29" s="192"/>
      <c r="P29" s="87"/>
    </row>
    <row r="30" spans="1:16">
      <c r="A30" s="19"/>
      <c r="B30" s="109" t="s">
        <v>67</v>
      </c>
      <c r="C30" s="192">
        <f>Dashboard!C14</f>
        <v>0</v>
      </c>
      <c r="D30" s="132"/>
      <c r="E30" s="133"/>
      <c r="F30" s="133"/>
      <c r="G30" s="133"/>
      <c r="H30" s="133"/>
      <c r="I30" s="133"/>
      <c r="J30" s="133"/>
      <c r="K30" s="133"/>
      <c r="L30" s="133">
        <f>IF((Dashboard!$L$31)&gt;0,'FY31 Level-Principal'!$E$7,'FY31 Level-Payment'!$D$26)</f>
        <v>0</v>
      </c>
      <c r="M30" s="133">
        <f>IF((Dashboard!$L$31)&gt;0,'FY31 Level-Principal'!$E$9,'FY31 Level-Payment'!$D$27)</f>
        <v>0</v>
      </c>
      <c r="N30" s="194">
        <f>SUM(D30:M30)</f>
        <v>0</v>
      </c>
      <c r="O30" s="194">
        <f>IF((Dashboard!$L$31)&gt;0,'FY31 Level-Principal'!$E$70,'FY31 Level-Payment'!$E$92)</f>
        <v>0</v>
      </c>
      <c r="P30" s="87"/>
    </row>
    <row r="31" spans="1:16">
      <c r="A31" s="19"/>
      <c r="B31" s="109"/>
      <c r="C31" s="192"/>
      <c r="D31" s="195"/>
      <c r="E31" s="133"/>
      <c r="F31" s="133"/>
      <c r="G31" s="133"/>
      <c r="H31" s="196"/>
      <c r="I31" s="196"/>
      <c r="J31" s="196"/>
      <c r="K31" s="196"/>
      <c r="L31" s="196"/>
      <c r="M31" s="605"/>
      <c r="N31" s="199"/>
      <c r="O31" s="192"/>
      <c r="P31" s="87"/>
    </row>
    <row r="32" spans="1:16">
      <c r="A32" s="19"/>
      <c r="B32" s="111">
        <f>Dashboard!B15</f>
        <v>2032</v>
      </c>
      <c r="C32" s="192"/>
      <c r="D32" s="195"/>
      <c r="E32" s="133"/>
      <c r="F32" s="133"/>
      <c r="G32" s="133"/>
      <c r="H32" s="196"/>
      <c r="I32" s="196"/>
      <c r="J32" s="196"/>
      <c r="K32" s="196"/>
      <c r="L32" s="196"/>
      <c r="M32" s="605"/>
      <c r="N32" s="199"/>
      <c r="O32" s="192"/>
      <c r="P32" s="87"/>
    </row>
    <row r="33" spans="1:16">
      <c r="A33" s="19"/>
      <c r="B33" s="109" t="s">
        <v>67</v>
      </c>
      <c r="C33" s="192">
        <f>Dashboard!C15</f>
        <v>0</v>
      </c>
      <c r="D33" s="132"/>
      <c r="E33" s="133"/>
      <c r="F33" s="133"/>
      <c r="G33" s="133"/>
      <c r="H33" s="133"/>
      <c r="I33" s="133"/>
      <c r="J33" s="133"/>
      <c r="K33" s="133"/>
      <c r="L33" s="133"/>
      <c r="M33" s="133">
        <f>IF((Dashboard!$M$31)&gt;0,'FY32 Level-Principal'!$E$7,'FY32 Level-Payment'!$D$26)</f>
        <v>0</v>
      </c>
      <c r="N33" s="194">
        <f>SUM(D33:M33)</f>
        <v>0</v>
      </c>
      <c r="O33" s="194">
        <f>IF((Dashboard!$M$31)&gt;0,'FY32 Level-Principal'!$E$70,'FY32 Level-Payment'!$E$92)</f>
        <v>0</v>
      </c>
      <c r="P33" s="87"/>
    </row>
    <row r="34" spans="1:16">
      <c r="A34" s="19"/>
      <c r="B34" s="107"/>
      <c r="C34" s="192"/>
      <c r="D34" s="132"/>
      <c r="E34" s="133"/>
      <c r="F34" s="133"/>
      <c r="G34" s="133"/>
      <c r="H34" s="133"/>
      <c r="I34" s="133"/>
      <c r="J34" s="133"/>
      <c r="K34" s="133"/>
      <c r="L34" s="133"/>
      <c r="M34" s="133"/>
      <c r="N34" s="194"/>
      <c r="O34" s="194"/>
      <c r="P34" s="87"/>
    </row>
    <row r="35" spans="1:16" ht="15.75" thickBot="1">
      <c r="A35" s="19"/>
      <c r="B35" s="107" t="s">
        <v>70</v>
      </c>
      <c r="C35" s="192"/>
      <c r="D35" s="132">
        <f>D6+D9+D12+D15+D18+D21+D24+D27+D30+D33</f>
        <v>0</v>
      </c>
      <c r="E35" s="133">
        <f t="shared" ref="E35:M35" si="1">E6+E9+E12+E15+E18+E21+E24+E27+E30+E33</f>
        <v>799367.17</v>
      </c>
      <c r="F35" s="133">
        <f t="shared" si="1"/>
        <v>799367.17</v>
      </c>
      <c r="G35" s="133">
        <f t="shared" si="1"/>
        <v>8452885.370000001</v>
      </c>
      <c r="H35" s="133">
        <f t="shared" si="1"/>
        <v>8978212.2500000019</v>
      </c>
      <c r="I35" s="133">
        <f t="shared" si="1"/>
        <v>8978212.2500000019</v>
      </c>
      <c r="J35" s="133">
        <f t="shared" si="1"/>
        <v>8978212.25</v>
      </c>
      <c r="K35" s="133">
        <f t="shared" si="1"/>
        <v>8978212.25</v>
      </c>
      <c r="L35" s="133">
        <f t="shared" si="1"/>
        <v>8978212.2500000037</v>
      </c>
      <c r="M35" s="133">
        <f t="shared" si="1"/>
        <v>8978212.2500000037</v>
      </c>
      <c r="N35" s="192">
        <f>SUM(D35:M35)</f>
        <v>63920893.210000008</v>
      </c>
      <c r="O35" s="192"/>
      <c r="P35" s="87"/>
    </row>
    <row r="36" spans="1:16">
      <c r="A36" s="19"/>
      <c r="B36" s="107"/>
      <c r="C36" s="192"/>
      <c r="D36" s="132"/>
      <c r="E36" s="133"/>
      <c r="F36" s="133"/>
      <c r="G36" s="133"/>
      <c r="H36" s="133"/>
      <c r="I36" s="133"/>
      <c r="J36" s="133"/>
      <c r="K36" s="133"/>
      <c r="L36" s="133"/>
      <c r="M36" s="133"/>
      <c r="N36" s="666"/>
      <c r="O36" s="665"/>
      <c r="P36" s="87"/>
    </row>
    <row r="37" spans="1:16">
      <c r="A37" s="19"/>
      <c r="B37" s="107"/>
      <c r="C37" s="192"/>
      <c r="D37" s="132"/>
      <c r="E37" s="133"/>
      <c r="F37" s="133"/>
      <c r="G37" s="133"/>
      <c r="H37" s="133"/>
      <c r="I37" s="133"/>
      <c r="J37" s="133"/>
      <c r="K37" s="133"/>
      <c r="L37" s="133"/>
      <c r="M37" s="663" t="s">
        <v>741</v>
      </c>
      <c r="N37" s="662">
        <f>SUM(N6:N33)</f>
        <v>63920893.210000008</v>
      </c>
      <c r="O37" s="194">
        <f>SUM(O6:O33)</f>
        <v>197431802.48999989</v>
      </c>
      <c r="P37" s="87"/>
    </row>
    <row r="38" spans="1:16">
      <c r="A38" s="19"/>
      <c r="B38" s="107"/>
      <c r="C38" s="192"/>
      <c r="D38" s="132"/>
      <c r="E38" s="133"/>
      <c r="F38" s="133"/>
      <c r="G38" s="133"/>
      <c r="H38" s="133"/>
      <c r="I38" s="133"/>
      <c r="J38" s="133"/>
      <c r="K38" s="133"/>
      <c r="L38" s="133"/>
      <c r="M38" s="663"/>
      <c r="N38" s="662"/>
      <c r="O38" s="194"/>
      <c r="P38" s="87"/>
    </row>
    <row r="39" spans="1:16">
      <c r="A39" s="19"/>
      <c r="B39" s="107"/>
      <c r="C39" s="192"/>
      <c r="D39" s="132"/>
      <c r="E39" s="133"/>
      <c r="F39" s="133"/>
      <c r="G39" s="133"/>
      <c r="H39" s="133"/>
      <c r="I39" s="133"/>
      <c r="J39" s="133"/>
      <c r="K39" s="133"/>
      <c r="L39" s="133"/>
      <c r="M39" s="663" t="s">
        <v>742</v>
      </c>
      <c r="N39" s="758">
        <f>N37+O37</f>
        <v>261352695.6999999</v>
      </c>
      <c r="O39" s="759"/>
      <c r="P39" s="87"/>
    </row>
    <row r="40" spans="1:16">
      <c r="A40" s="19"/>
      <c r="B40" s="107"/>
      <c r="C40" s="192"/>
      <c r="D40" s="132"/>
      <c r="E40" s="133"/>
      <c r="F40" s="133"/>
      <c r="G40" s="133"/>
      <c r="H40" s="133"/>
      <c r="I40" s="133"/>
      <c r="J40" s="133"/>
      <c r="K40" s="133"/>
      <c r="L40" s="133"/>
      <c r="M40" s="663"/>
      <c r="N40" s="662"/>
      <c r="O40" s="194"/>
      <c r="P40" s="87"/>
    </row>
    <row r="41" spans="1:16">
      <c r="A41" s="19"/>
      <c r="B41" s="107"/>
      <c r="C41" s="192"/>
      <c r="D41" s="132"/>
      <c r="E41" s="133"/>
      <c r="F41" s="133"/>
      <c r="G41" s="133"/>
      <c r="H41" s="133"/>
      <c r="I41" s="133"/>
      <c r="J41" s="133"/>
      <c r="K41" s="133"/>
      <c r="L41" s="133"/>
      <c r="M41" s="201" t="s">
        <v>744</v>
      </c>
      <c r="N41" s="132"/>
      <c r="O41" s="194">
        <f>(O37/M91)*M97</f>
        <v>16524.397368189591</v>
      </c>
      <c r="P41" s="87"/>
    </row>
    <row r="42" spans="1:16" ht="15.75" thickBot="1">
      <c r="A42" s="19"/>
      <c r="B42" s="87"/>
      <c r="C42" s="193"/>
      <c r="D42" s="197"/>
      <c r="E42" s="198"/>
      <c r="F42" s="198"/>
      <c r="G42" s="198"/>
      <c r="H42" s="198"/>
      <c r="I42" s="198"/>
      <c r="J42" s="198"/>
      <c r="K42" s="198"/>
      <c r="L42" s="198"/>
      <c r="M42" s="198"/>
      <c r="N42" s="202"/>
      <c r="O42" s="664"/>
      <c r="P42" s="87"/>
    </row>
    <row r="43" spans="1:16" ht="15.75">
      <c r="A43" s="19"/>
      <c r="B43" s="134" t="s">
        <v>89</v>
      </c>
      <c r="C43" s="367">
        <f>Dashboard!B6-1</f>
        <v>2022</v>
      </c>
      <c r="D43" s="367">
        <f>C43+1</f>
        <v>2023</v>
      </c>
      <c r="E43" s="367">
        <f t="shared" ref="E43:M43" si="2">D43+1</f>
        <v>2024</v>
      </c>
      <c r="F43" s="367">
        <f t="shared" si="2"/>
        <v>2025</v>
      </c>
      <c r="G43" s="367">
        <f t="shared" si="2"/>
        <v>2026</v>
      </c>
      <c r="H43" s="367">
        <f t="shared" si="2"/>
        <v>2027</v>
      </c>
      <c r="I43" s="367">
        <f t="shared" si="2"/>
        <v>2028</v>
      </c>
      <c r="J43" s="367">
        <f t="shared" si="2"/>
        <v>2029</v>
      </c>
      <c r="K43" s="367">
        <f t="shared" si="2"/>
        <v>2030</v>
      </c>
      <c r="L43" s="367">
        <f t="shared" si="2"/>
        <v>2031</v>
      </c>
      <c r="M43" s="367">
        <f t="shared" si="2"/>
        <v>2032</v>
      </c>
      <c r="N43" s="87"/>
      <c r="O43" s="130"/>
      <c r="P43" s="87"/>
    </row>
    <row r="44" spans="1:16">
      <c r="A44" s="19"/>
      <c r="B44" s="114" t="str">
        <f>'Fifteen-Year Debt Schedule'!A15</f>
        <v>TOTAL EXCLUDED DEBT</v>
      </c>
      <c r="C44" s="115">
        <f>'Fifteen-Year Debt Schedule'!AB$15</f>
        <v>3806776.4499999997</v>
      </c>
      <c r="D44" s="115">
        <f>'Fifteen-Year Debt Schedule'!AC$15</f>
        <v>3685717.61</v>
      </c>
      <c r="E44" s="115">
        <f>'Fifteen-Year Debt Schedule'!AD$15</f>
        <v>3561146.5700000003</v>
      </c>
      <c r="F44" s="115">
        <f>'Fifteen-Year Debt Schedule'!AE$15</f>
        <v>3451758.1100000003</v>
      </c>
      <c r="G44" s="115">
        <f>'Fifteen-Year Debt Schedule'!AF$15</f>
        <v>3350173.58</v>
      </c>
      <c r="H44" s="115">
        <f>'Fifteen-Year Debt Schedule'!AG$15</f>
        <v>3242309.2199999997</v>
      </c>
      <c r="I44" s="115">
        <f>'Fifteen-Year Debt Schedule'!AH$15</f>
        <v>3064923.8499999996</v>
      </c>
      <c r="J44" s="115">
        <f>'Fifteen-Year Debt Schedule'!AI$15</f>
        <v>2084911.84</v>
      </c>
      <c r="K44" s="115">
        <f>'Fifteen-Year Debt Schedule'!AJ$15</f>
        <v>1849816.7999999998</v>
      </c>
      <c r="L44" s="115">
        <f>'Fifteen-Year Debt Schedule'!AK$15</f>
        <v>1804384.2800000003</v>
      </c>
      <c r="M44" s="115">
        <f>'Fifteen-Year Debt Schedule'!AL$15</f>
        <v>1757134.48</v>
      </c>
      <c r="N44" s="87"/>
      <c r="O44" s="130"/>
      <c r="P44" s="87"/>
    </row>
    <row r="45" spans="1:16">
      <c r="A45" s="19"/>
      <c r="B45" s="114" t="str">
        <f>'Fifteen-Year Debt Schedule'!A22</f>
        <v>NET TOTAL EXCLUDED DEBT</v>
      </c>
      <c r="C45" s="115">
        <f>'Fifteen-Year Debt Schedule'!AB$22</f>
        <v>3627940.5055555552</v>
      </c>
      <c r="D45" s="115">
        <f>'Fifteen-Year Debt Schedule'!AC$22</f>
        <v>3506881.6655555554</v>
      </c>
      <c r="E45" s="115">
        <f>'Fifteen-Year Debt Schedule'!AD$22</f>
        <v>3382310.6255555558</v>
      </c>
      <c r="F45" s="115">
        <f>'Fifteen-Year Debt Schedule'!AE$22</f>
        <v>3272922.1655555558</v>
      </c>
      <c r="G45" s="115">
        <f>'Fifteen-Year Debt Schedule'!AF$22</f>
        <v>3171337.6355555556</v>
      </c>
      <c r="H45" s="115">
        <f>'Fifteen-Year Debt Schedule'!AG$22</f>
        <v>3063473.2755555552</v>
      </c>
      <c r="I45" s="115">
        <f>'Fifteen-Year Debt Schedule'!AH$22</f>
        <v>2886087.9055555551</v>
      </c>
      <c r="J45" s="115">
        <f>'Fifteen-Year Debt Schedule'!AI$22</f>
        <v>1906075.8955555556</v>
      </c>
      <c r="K45" s="115">
        <f>'Fifteen-Year Debt Schedule'!AJ$22</f>
        <v>1736123.9666666666</v>
      </c>
      <c r="L45" s="115">
        <f>'Fifteen-Year Debt Schedule'!AK$22</f>
        <v>1690691.446666667</v>
      </c>
      <c r="M45" s="115">
        <f>'Fifteen-Year Debt Schedule'!AL$22</f>
        <v>1643441.6466666667</v>
      </c>
      <c r="N45" s="87"/>
      <c r="O45" s="130"/>
      <c r="P45" s="87"/>
    </row>
    <row r="46" spans="1:16">
      <c r="A46" s="19"/>
      <c r="B46" s="109" t="str">
        <f>'Fifteen-Year Debt Schedule'!A55</f>
        <v>TOTAL DEBT SERVICE</v>
      </c>
      <c r="C46" s="115">
        <f>'Fifteen-Year Debt Schedule'!AB$55</f>
        <v>5707373.378333332</v>
      </c>
      <c r="D46" s="115">
        <f>'Fifteen-Year Debt Schedule'!AC$55</f>
        <v>5586289.7383333333</v>
      </c>
      <c r="E46" s="115">
        <f>'Fifteen-Year Debt Schedule'!AD$55</f>
        <v>5402247.5106862765</v>
      </c>
      <c r="F46" s="115">
        <f>'Fifteen-Year Debt Schedule'!AE$55</f>
        <v>5103282.4947058838</v>
      </c>
      <c r="G46" s="115">
        <f>'Fifteen-Year Debt Schedule'!AF$55</f>
        <v>4953858.3970588241</v>
      </c>
      <c r="H46" s="115">
        <f>'Fifteen-Year Debt Schedule'!AG$55</f>
        <v>4799779.8394117635</v>
      </c>
      <c r="I46" s="115">
        <f>'Fifteen-Year Debt Schedule'!AH$55</f>
        <v>4289717.9417647067</v>
      </c>
      <c r="J46" s="115">
        <f>'Fifteen-Year Debt Schedule'!AI$55</f>
        <v>2570221.4641176471</v>
      </c>
      <c r="K46" s="115">
        <f>'Fifteen-Year Debt Schedule'!AJ$55</f>
        <v>2318863.676470588</v>
      </c>
      <c r="L46" s="115">
        <f>'Fifteen-Year Debt Schedule'!AK$55</f>
        <v>2262593.3088235296</v>
      </c>
      <c r="M46" s="115">
        <f>'Fifteen-Year Debt Schedule'!AL$55</f>
        <v>2204460.4411764694</v>
      </c>
      <c r="N46" s="87"/>
      <c r="O46" s="130"/>
      <c r="P46" s="87"/>
    </row>
    <row r="47" spans="1:16" ht="18" customHeight="1">
      <c r="A47" s="19"/>
      <c r="B47" s="128" t="s">
        <v>514</v>
      </c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O47" s="246"/>
      <c r="P47" s="87"/>
    </row>
    <row r="48" spans="1:16">
      <c r="A48" s="19"/>
      <c r="B48" s="134" t="s">
        <v>575</v>
      </c>
      <c r="C48" s="135" t="s">
        <v>81</v>
      </c>
      <c r="D48" s="135" t="s">
        <v>77</v>
      </c>
      <c r="E48" s="135"/>
      <c r="F48" s="240"/>
      <c r="G48" s="136"/>
      <c r="H48" s="137"/>
      <c r="I48" s="137"/>
      <c r="J48" s="19"/>
      <c r="K48" s="19"/>
      <c r="L48" s="138"/>
      <c r="M48" s="88"/>
      <c r="P48" s="87"/>
    </row>
    <row r="49" spans="1:16">
      <c r="A49" s="19"/>
      <c r="B49" s="109" t="s">
        <v>75</v>
      </c>
      <c r="C49" s="139">
        <v>7986</v>
      </c>
      <c r="D49" s="139">
        <v>7182410232</v>
      </c>
      <c r="E49" s="113"/>
      <c r="F49" s="113"/>
      <c r="G49" s="140"/>
      <c r="H49" s="141"/>
      <c r="I49" s="141"/>
      <c r="J49" s="19"/>
      <c r="K49" s="19"/>
      <c r="L49" s="142"/>
      <c r="M49" s="143"/>
      <c r="N49" s="19"/>
      <c r="O49" s="19"/>
      <c r="P49" s="87"/>
    </row>
    <row r="50" spans="1:16">
      <c r="A50" s="19"/>
      <c r="B50" s="109" t="s">
        <v>80</v>
      </c>
      <c r="C50" s="139">
        <v>416</v>
      </c>
      <c r="D50" s="139">
        <v>738918728</v>
      </c>
      <c r="E50" s="87"/>
      <c r="F50" s="87"/>
      <c r="G50" s="140"/>
      <c r="H50" s="141"/>
      <c r="I50" s="141"/>
      <c r="J50" s="19"/>
      <c r="K50" s="19"/>
      <c r="N50" s="19"/>
      <c r="O50" s="19"/>
      <c r="P50" s="87"/>
    </row>
    <row r="51" spans="1:16">
      <c r="A51" s="19"/>
      <c r="B51" s="109" t="s">
        <v>76</v>
      </c>
      <c r="C51" s="139">
        <v>388</v>
      </c>
      <c r="D51" s="139">
        <v>122575490</v>
      </c>
      <c r="E51" s="87"/>
      <c r="F51" s="87"/>
      <c r="G51" s="140"/>
      <c r="H51" s="141"/>
      <c r="I51" s="141"/>
      <c r="J51" s="19"/>
      <c r="K51" s="241"/>
      <c r="L51" s="242"/>
      <c r="M51" s="146"/>
      <c r="N51" s="152"/>
      <c r="O51" s="152"/>
      <c r="P51" s="233"/>
    </row>
    <row r="52" spans="1:16" ht="15.75" thickBot="1">
      <c r="A52" s="19"/>
      <c r="B52" s="134" t="s">
        <v>78</v>
      </c>
      <c r="C52" s="139">
        <f>SUM(C49:C51)</f>
        <v>8790</v>
      </c>
      <c r="D52" s="147">
        <f>SUM(D49:D51)</f>
        <v>8043904450</v>
      </c>
      <c r="E52" s="87"/>
      <c r="F52" s="87"/>
      <c r="G52" s="136"/>
      <c r="H52" s="141"/>
      <c r="I52" s="148"/>
      <c r="J52" s="19"/>
      <c r="K52" s="158"/>
      <c r="L52" s="238"/>
      <c r="N52" s="212"/>
      <c r="O52" s="158"/>
      <c r="P52" s="233"/>
    </row>
    <row r="53" spans="1:16" ht="16.5" thickTop="1" thickBot="1">
      <c r="A53" s="19"/>
      <c r="B53" s="134" t="s">
        <v>791</v>
      </c>
      <c r="C53" s="149"/>
      <c r="D53" s="719">
        <f>D52/C52</f>
        <v>915119.96018202498</v>
      </c>
      <c r="E53" s="115"/>
      <c r="F53" s="115"/>
      <c r="G53" s="134" t="s">
        <v>783</v>
      </c>
      <c r="H53" s="719">
        <f>703600</f>
        <v>703600</v>
      </c>
      <c r="I53" s="148"/>
      <c r="J53" s="19"/>
      <c r="K53" s="135"/>
      <c r="M53" s="19"/>
      <c r="N53" s="212"/>
      <c r="O53" s="158"/>
      <c r="P53" s="233"/>
    </row>
    <row r="54" spans="1:16" ht="16.5" thickTop="1" thickBot="1">
      <c r="A54" s="19"/>
      <c r="B54" s="134"/>
      <c r="C54" s="149"/>
      <c r="D54" s="147"/>
      <c r="E54" s="115"/>
      <c r="F54" s="115"/>
      <c r="G54" s="136"/>
      <c r="H54" s="115"/>
      <c r="I54" s="148"/>
      <c r="J54" s="19"/>
      <c r="K54" s="3"/>
      <c r="M54" s="19"/>
      <c r="N54" s="212"/>
      <c r="O54" s="158"/>
      <c r="P54" s="233"/>
    </row>
    <row r="55" spans="1:16" ht="45">
      <c r="A55" s="19"/>
      <c r="B55" s="209" t="s">
        <v>562</v>
      </c>
      <c r="C55" s="227" t="s">
        <v>47</v>
      </c>
      <c r="D55" s="228" t="s">
        <v>560</v>
      </c>
      <c r="E55" s="229" t="s">
        <v>565</v>
      </c>
      <c r="F55" s="230" t="s">
        <v>561</v>
      </c>
      <c r="G55" s="228" t="s">
        <v>81</v>
      </c>
      <c r="H55" s="231" t="s">
        <v>563</v>
      </c>
      <c r="I55" s="229" t="s">
        <v>564</v>
      </c>
      <c r="J55" s="232" t="s">
        <v>561</v>
      </c>
      <c r="K55" s="115"/>
      <c r="M55" s="19"/>
      <c r="N55" s="235"/>
      <c r="O55" s="236"/>
      <c r="P55" s="237"/>
    </row>
    <row r="56" spans="1:16">
      <c r="A56" s="19"/>
      <c r="B56" s="134"/>
      <c r="C56" s="214" t="s">
        <v>167</v>
      </c>
      <c r="D56" s="225">
        <v>5599519350</v>
      </c>
      <c r="E56" s="216"/>
      <c r="F56" s="216"/>
      <c r="G56" s="223">
        <v>8369</v>
      </c>
      <c r="H56" s="215">
        <f>D56/G56</f>
        <v>669078.6653124626</v>
      </c>
      <c r="I56" s="216"/>
      <c r="J56" s="217"/>
      <c r="K56" s="115"/>
      <c r="M56" s="19"/>
      <c r="N56" s="212"/>
      <c r="O56" s="158"/>
      <c r="P56" s="233"/>
    </row>
    <row r="57" spans="1:16">
      <c r="A57" s="19"/>
      <c r="B57" s="134"/>
      <c r="C57" s="214" t="s">
        <v>170</v>
      </c>
      <c r="D57" s="225">
        <v>5438188940</v>
      </c>
      <c r="E57" s="215">
        <f>D57-D56</f>
        <v>-161330410</v>
      </c>
      <c r="F57" s="218">
        <f t="shared" ref="F57:F67" si="3">E57/D56</f>
        <v>-2.8811474684876302E-2</v>
      </c>
      <c r="G57" s="223">
        <v>8396</v>
      </c>
      <c r="H57" s="215">
        <f t="shared" ref="H57:H66" si="4">D57/G57</f>
        <v>647711.87946641259</v>
      </c>
      <c r="I57" s="215">
        <f>H57-H56</f>
        <v>-21366.785846050014</v>
      </c>
      <c r="J57" s="219">
        <f t="shared" ref="J57:J67" si="5">I57/H56</f>
        <v>-3.1934639308924359E-2</v>
      </c>
      <c r="K57" s="115"/>
      <c r="M57" s="19"/>
      <c r="N57" s="212"/>
      <c r="O57" s="158"/>
      <c r="P57" s="233"/>
    </row>
    <row r="58" spans="1:16">
      <c r="A58" s="19"/>
      <c r="B58" s="134"/>
      <c r="C58" s="214" t="s">
        <v>171</v>
      </c>
      <c r="D58" s="225">
        <v>5439457670</v>
      </c>
      <c r="E58" s="215">
        <f t="shared" ref="E58:E66" si="6">D58-D57</f>
        <v>1268730</v>
      </c>
      <c r="F58" s="218">
        <f>E58/D57</f>
        <v>2.3330009567486634E-4</v>
      </c>
      <c r="G58" s="223">
        <v>8474</v>
      </c>
      <c r="H58" s="215">
        <f t="shared" si="4"/>
        <v>641899.65423648804</v>
      </c>
      <c r="I58" s="215">
        <f t="shared" ref="I58:I65" si="7">H58-H57</f>
        <v>-5812.2252299245447</v>
      </c>
      <c r="J58" s="219">
        <f t="shared" si="5"/>
        <v>-8.9734732589939175E-3</v>
      </c>
      <c r="K58" s="115"/>
      <c r="M58" s="19"/>
      <c r="N58" s="212"/>
      <c r="O58" s="158"/>
      <c r="P58" s="233"/>
    </row>
    <row r="59" spans="1:16">
      <c r="A59" s="19"/>
      <c r="B59" s="134"/>
      <c r="C59" s="214" t="s">
        <v>172</v>
      </c>
      <c r="D59" s="225">
        <v>5548991980</v>
      </c>
      <c r="E59" s="215">
        <f t="shared" si="6"/>
        <v>109534310</v>
      </c>
      <c r="F59" s="218">
        <f t="shared" si="3"/>
        <v>2.0136990973219578E-2</v>
      </c>
      <c r="G59" s="223">
        <v>8591</v>
      </c>
      <c r="H59" s="215">
        <f t="shared" si="4"/>
        <v>645907.57536957285</v>
      </c>
      <c r="I59" s="215">
        <f t="shared" si="7"/>
        <v>4007.9211330848048</v>
      </c>
      <c r="J59" s="219">
        <f t="shared" si="5"/>
        <v>6.2438437326345873E-3</v>
      </c>
      <c r="K59" s="115"/>
      <c r="M59" s="19"/>
      <c r="N59" s="212"/>
      <c r="O59" s="158"/>
      <c r="P59" s="19"/>
    </row>
    <row r="60" spans="1:16">
      <c r="A60" s="19"/>
      <c r="B60" s="134"/>
      <c r="C60" s="214" t="s">
        <v>173</v>
      </c>
      <c r="D60" s="225">
        <v>5919438780</v>
      </c>
      <c r="E60" s="215">
        <f t="shared" si="6"/>
        <v>370446800</v>
      </c>
      <c r="F60" s="218">
        <f t="shared" si="3"/>
        <v>6.6759296343405425E-2</v>
      </c>
      <c r="G60" s="223">
        <v>8635</v>
      </c>
      <c r="H60" s="215">
        <f t="shared" si="4"/>
        <v>685516.94035900407</v>
      </c>
      <c r="I60" s="215">
        <f t="shared" si="7"/>
        <v>39609.364989431226</v>
      </c>
      <c r="J60" s="219">
        <f t="shared" si="5"/>
        <v>6.1323580183693764E-2</v>
      </c>
      <c r="K60" s="115"/>
      <c r="M60" s="19"/>
      <c r="N60" s="19"/>
      <c r="O60" s="158"/>
      <c r="P60" s="19"/>
    </row>
    <row r="61" spans="1:16">
      <c r="A61" s="19"/>
      <c r="B61" s="134"/>
      <c r="C61" s="214" t="s">
        <v>174</v>
      </c>
      <c r="D61" s="225">
        <v>6175354200</v>
      </c>
      <c r="E61" s="215">
        <f t="shared" si="6"/>
        <v>255915420</v>
      </c>
      <c r="F61" s="218">
        <f t="shared" si="3"/>
        <v>4.3233054603869052E-2</v>
      </c>
      <c r="G61" s="223">
        <v>8658</v>
      </c>
      <c r="H61" s="215">
        <f t="shared" si="4"/>
        <v>713254.12335412332</v>
      </c>
      <c r="I61" s="215">
        <f t="shared" si="7"/>
        <v>27737.182995119249</v>
      </c>
      <c r="J61" s="219">
        <f t="shared" si="5"/>
        <v>4.0461703222962414E-2</v>
      </c>
      <c r="K61" s="115"/>
      <c r="M61" s="19"/>
      <c r="N61" s="19"/>
      <c r="O61" s="158"/>
      <c r="P61" s="19"/>
    </row>
    <row r="62" spans="1:16">
      <c r="A62" s="19"/>
      <c r="B62" s="134"/>
      <c r="C62" s="214" t="s">
        <v>175</v>
      </c>
      <c r="D62" s="225">
        <v>6465789910</v>
      </c>
      <c r="E62" s="215">
        <f t="shared" si="6"/>
        <v>290435710</v>
      </c>
      <c r="F62" s="218">
        <f t="shared" si="3"/>
        <v>4.7031425339132772E-2</v>
      </c>
      <c r="G62" s="223">
        <v>8671</v>
      </c>
      <c r="H62" s="215">
        <f t="shared" si="4"/>
        <v>745679.84200207586</v>
      </c>
      <c r="I62" s="215">
        <f t="shared" si="7"/>
        <v>32425.718647952541</v>
      </c>
      <c r="J62" s="219">
        <f t="shared" si="5"/>
        <v>4.5461663082252531E-2</v>
      </c>
      <c r="K62" s="115"/>
      <c r="M62" s="19"/>
      <c r="N62" s="170"/>
      <c r="O62" s="234"/>
      <c r="P62" s="19"/>
    </row>
    <row r="63" spans="1:16">
      <c r="A63" s="19"/>
      <c r="B63" s="134"/>
      <c r="C63" s="214" t="s">
        <v>176</v>
      </c>
      <c r="D63" s="225">
        <v>6900020290</v>
      </c>
      <c r="E63" s="215">
        <f t="shared" si="6"/>
        <v>434230380</v>
      </c>
      <c r="F63" s="218">
        <f t="shared" si="3"/>
        <v>6.715813319706207E-2</v>
      </c>
      <c r="G63" s="223">
        <v>8672</v>
      </c>
      <c r="H63" s="215">
        <f t="shared" si="4"/>
        <v>795666.5463560886</v>
      </c>
      <c r="I63" s="215">
        <f t="shared" si="7"/>
        <v>49986.704354012734</v>
      </c>
      <c r="J63" s="219">
        <f t="shared" si="5"/>
        <v>6.7035075294248833E-2</v>
      </c>
      <c r="K63" s="115"/>
      <c r="M63" s="19"/>
      <c r="N63" s="87"/>
      <c r="O63" s="87"/>
      <c r="P63" s="87"/>
    </row>
    <row r="64" spans="1:16">
      <c r="A64" s="19"/>
      <c r="B64" s="134"/>
      <c r="C64" s="214" t="s">
        <v>177</v>
      </c>
      <c r="D64" s="225">
        <v>7097584950</v>
      </c>
      <c r="E64" s="215">
        <f t="shared" si="6"/>
        <v>197564660</v>
      </c>
      <c r="F64" s="218">
        <f t="shared" si="3"/>
        <v>2.8632475224214159E-2</v>
      </c>
      <c r="G64" s="223">
        <v>8662</v>
      </c>
      <c r="H64" s="215">
        <f t="shared" si="4"/>
        <v>819393.32140383287</v>
      </c>
      <c r="I64" s="215">
        <f t="shared" si="7"/>
        <v>23726.775047744275</v>
      </c>
      <c r="J64" s="219">
        <f t="shared" si="5"/>
        <v>2.9819998284967123E-2</v>
      </c>
      <c r="K64" s="115"/>
      <c r="M64" s="19"/>
      <c r="N64" s="87"/>
      <c r="O64" s="87"/>
      <c r="P64" s="87"/>
    </row>
    <row r="65" spans="1:16">
      <c r="A65" s="19"/>
      <c r="B65" s="134"/>
      <c r="C65" s="214" t="s">
        <v>178</v>
      </c>
      <c r="D65" s="225">
        <v>7462620230</v>
      </c>
      <c r="E65" s="215">
        <f t="shared" si="6"/>
        <v>365035280</v>
      </c>
      <c r="F65" s="218">
        <f t="shared" si="3"/>
        <v>5.1430913834993972E-2</v>
      </c>
      <c r="G65" s="223">
        <v>8648</v>
      </c>
      <c r="H65" s="215">
        <f t="shared" si="4"/>
        <v>862930.18385753932</v>
      </c>
      <c r="I65" s="215">
        <f t="shared" si="7"/>
        <v>43536.862453706446</v>
      </c>
      <c r="J65" s="219">
        <f t="shared" si="5"/>
        <v>5.3133045286623194E-2</v>
      </c>
      <c r="K65" s="115"/>
      <c r="L65" s="19"/>
      <c r="M65" s="19"/>
      <c r="N65" s="87"/>
      <c r="O65" s="87"/>
      <c r="P65" s="87"/>
    </row>
    <row r="66" spans="1:16" ht="15.75" thickBot="1">
      <c r="A66" s="19"/>
      <c r="B66" s="134"/>
      <c r="C66" s="214" t="s">
        <v>179</v>
      </c>
      <c r="D66" s="225">
        <v>7641781240</v>
      </c>
      <c r="E66" s="215">
        <f t="shared" si="6"/>
        <v>179161010</v>
      </c>
      <c r="F66" s="218">
        <f t="shared" si="3"/>
        <v>2.4007788749555597E-2</v>
      </c>
      <c r="G66" s="223">
        <v>8730</v>
      </c>
      <c r="H66" s="215">
        <f t="shared" si="4"/>
        <v>875347.22107674682</v>
      </c>
      <c r="I66" s="215">
        <f>H66-H65</f>
        <v>12417.037219207501</v>
      </c>
      <c r="J66" s="219">
        <f t="shared" si="5"/>
        <v>1.4389387984668552E-2</v>
      </c>
      <c r="K66" s="115"/>
      <c r="L66" s="19"/>
      <c r="M66" s="19"/>
      <c r="P66" s="87"/>
    </row>
    <row r="67" spans="1:16" ht="16.5" thickTop="1" thickBot="1">
      <c r="A67" s="19"/>
      <c r="B67" s="134"/>
      <c r="C67" s="220" t="s">
        <v>180</v>
      </c>
      <c r="D67" s="226">
        <f>D52</f>
        <v>8043904450</v>
      </c>
      <c r="E67" s="221">
        <f>D67-D66</f>
        <v>402123210</v>
      </c>
      <c r="F67" s="222">
        <f t="shared" si="3"/>
        <v>5.2621659449649465E-2</v>
      </c>
      <c r="G67" s="224">
        <v>8790</v>
      </c>
      <c r="H67" s="221">
        <f>D67/G67</f>
        <v>915119.96018202498</v>
      </c>
      <c r="I67" s="221">
        <f>H67-H66</f>
        <v>39772.73910527816</v>
      </c>
      <c r="J67" s="222">
        <f t="shared" si="5"/>
        <v>4.5436528668423168E-2</v>
      </c>
      <c r="K67" s="115"/>
      <c r="L67" s="19"/>
      <c r="M67" s="19"/>
      <c r="N67" s="138" t="s">
        <v>745</v>
      </c>
      <c r="O67" s="721">
        <f>F68</f>
        <v>3.3857596647809157E-2</v>
      </c>
      <c r="P67" s="87"/>
    </row>
    <row r="68" spans="1:16" ht="16.5" thickTop="1" thickBot="1">
      <c r="A68" s="19"/>
      <c r="B68" s="134" t="s">
        <v>49</v>
      </c>
      <c r="C68" s="149"/>
      <c r="D68" s="147"/>
      <c r="E68" s="147"/>
      <c r="F68" s="720">
        <f>SUM(F57:F67)/COUNT(F57:F67)</f>
        <v>3.3857596647809157E-2</v>
      </c>
      <c r="G68" s="113"/>
      <c r="H68" s="147"/>
      <c r="I68" s="144"/>
      <c r="J68" s="249">
        <f>SUM(J57:J67)/COUNT(J57:J67)</f>
        <v>2.9308792106595993E-2</v>
      </c>
      <c r="K68" s="115"/>
      <c r="L68" s="19"/>
      <c r="M68" s="19"/>
      <c r="N68" s="138" t="s">
        <v>746</v>
      </c>
      <c r="O68" s="208">
        <f>J68</f>
        <v>2.9308792106595993E-2</v>
      </c>
      <c r="P68" s="87"/>
    </row>
    <row r="69" spans="1:16" ht="15.75" thickTop="1">
      <c r="A69" s="19"/>
      <c r="B69" s="134"/>
      <c r="C69" s="149"/>
      <c r="D69" s="139"/>
      <c r="E69" s="115"/>
      <c r="F69" s="206"/>
      <c r="G69" s="207"/>
      <c r="H69" s="115"/>
      <c r="I69" s="115"/>
      <c r="J69" s="206"/>
      <c r="K69" s="115"/>
      <c r="L69" s="115"/>
      <c r="M69" s="115"/>
      <c r="N69" s="87"/>
      <c r="O69" s="87"/>
      <c r="P69" s="87"/>
    </row>
    <row r="70" spans="1:16" ht="18" customHeight="1">
      <c r="A70" s="19"/>
      <c r="B70" s="128" t="s">
        <v>515</v>
      </c>
      <c r="C70" s="187">
        <f>$C$43</f>
        <v>2022</v>
      </c>
      <c r="D70" s="187">
        <f>C70+1</f>
        <v>2023</v>
      </c>
      <c r="E70" s="187">
        <f t="shared" ref="E70:M70" si="8">D70+1</f>
        <v>2024</v>
      </c>
      <c r="F70" s="187">
        <f t="shared" si="8"/>
        <v>2025</v>
      </c>
      <c r="G70" s="187">
        <f t="shared" si="8"/>
        <v>2026</v>
      </c>
      <c r="H70" s="187">
        <f t="shared" si="8"/>
        <v>2027</v>
      </c>
      <c r="I70" s="187">
        <f t="shared" si="8"/>
        <v>2028</v>
      </c>
      <c r="J70" s="187">
        <f t="shared" si="8"/>
        <v>2029</v>
      </c>
      <c r="K70" s="187">
        <f t="shared" si="8"/>
        <v>2030</v>
      </c>
      <c r="L70" s="187">
        <f t="shared" si="8"/>
        <v>2031</v>
      </c>
      <c r="M70" s="187">
        <f t="shared" si="8"/>
        <v>2032</v>
      </c>
      <c r="N70" s="87"/>
      <c r="O70" s="87"/>
      <c r="P70" s="87"/>
    </row>
    <row r="71" spans="1:16">
      <c r="A71" s="19"/>
      <c r="B71" s="150" t="str">
        <f t="shared" ref="B71:M71" si="9">B46</f>
        <v>TOTAL DEBT SERVICE</v>
      </c>
      <c r="C71" s="115">
        <f t="shared" si="9"/>
        <v>5707373.378333332</v>
      </c>
      <c r="D71" s="115">
        <f t="shared" si="9"/>
        <v>5586289.7383333333</v>
      </c>
      <c r="E71" s="115">
        <f t="shared" si="9"/>
        <v>5402247.5106862765</v>
      </c>
      <c r="F71" s="115">
        <f t="shared" si="9"/>
        <v>5103282.4947058838</v>
      </c>
      <c r="G71" s="115">
        <f t="shared" si="9"/>
        <v>4953858.3970588241</v>
      </c>
      <c r="H71" s="115">
        <f t="shared" si="9"/>
        <v>4799779.8394117635</v>
      </c>
      <c r="I71" s="115">
        <f t="shared" si="9"/>
        <v>4289717.9417647067</v>
      </c>
      <c r="J71" s="115">
        <f t="shared" si="9"/>
        <v>2570221.4641176471</v>
      </c>
      <c r="K71" s="115">
        <f t="shared" si="9"/>
        <v>2318863.676470588</v>
      </c>
      <c r="L71" s="115">
        <f t="shared" si="9"/>
        <v>2262593.3088235296</v>
      </c>
      <c r="M71" s="115">
        <f t="shared" si="9"/>
        <v>2204460.4411764694</v>
      </c>
      <c r="N71" s="87"/>
      <c r="O71" s="87"/>
      <c r="P71" s="87"/>
    </row>
    <row r="72" spans="1:16">
      <c r="A72" s="19"/>
      <c r="B72" s="109" t="str">
        <f>'Fifteen-Year Debt Schedule'!A57</f>
        <v>FINANCIAL POLICY GUIDELINE</v>
      </c>
      <c r="C72" s="115">
        <f>'Fifteen-Year Debt Schedule'!AB$57</f>
        <v>8549555.0085000005</v>
      </c>
      <c r="D72" s="115">
        <f>'Fifteen-Year Debt Schedule'!AC$57</f>
        <v>8720546.10867</v>
      </c>
      <c r="E72" s="115">
        <f>'Fifteen-Year Debt Schedule'!AD$57</f>
        <v>8894957.0308433995</v>
      </c>
      <c r="F72" s="115">
        <f>'Fifteen-Year Debt Schedule'!AE$57</f>
        <v>9072856.1714602672</v>
      </c>
      <c r="G72" s="115">
        <f>'Fifteen-Year Debt Schedule'!AF$57</f>
        <v>9254313.2948894724</v>
      </c>
      <c r="H72" s="115">
        <f>'Fifteen-Year Debt Schedule'!AG$57</f>
        <v>9439399.5607872624</v>
      </c>
      <c r="I72" s="115">
        <f>'Fifteen-Year Debt Schedule'!AH$57</f>
        <v>9628187.5520030074</v>
      </c>
      <c r="J72" s="115">
        <f>'Fifteen-Year Debt Schedule'!AI$57</f>
        <v>9820751.3030430675</v>
      </c>
      <c r="K72" s="115">
        <f>'Fifteen-Year Debt Schedule'!AJ$57</f>
        <v>10017166.32910393</v>
      </c>
      <c r="L72" s="115">
        <f>'Fifteen-Year Debt Schedule'!AK$57</f>
        <v>10217509.655686008</v>
      </c>
      <c r="M72" s="115">
        <f>'Fifteen-Year Debt Schedule'!AL$57</f>
        <v>10421859.848799728</v>
      </c>
      <c r="N72" s="87"/>
      <c r="O72" s="87"/>
      <c r="P72" s="87"/>
    </row>
    <row r="73" spans="1:16">
      <c r="A73" s="19"/>
      <c r="B73" s="109" t="str">
        <f>'Fifteen-Year Debt Schedule'!A59</f>
        <v>DEBT CAPACITY</v>
      </c>
      <c r="C73" s="116">
        <f>C72-C71</f>
        <v>2842181.6301666684</v>
      </c>
      <c r="D73" s="116">
        <f t="shared" ref="D73:M73" si="10">D72-D71</f>
        <v>3134256.3703366667</v>
      </c>
      <c r="E73" s="116">
        <f t="shared" si="10"/>
        <v>3492709.520157123</v>
      </c>
      <c r="F73" s="116">
        <f t="shared" si="10"/>
        <v>3969573.6767543834</v>
      </c>
      <c r="G73" s="116">
        <f t="shared" si="10"/>
        <v>4300454.8978306483</v>
      </c>
      <c r="H73" s="116">
        <f t="shared" si="10"/>
        <v>4639619.7213754989</v>
      </c>
      <c r="I73" s="116">
        <f t="shared" si="10"/>
        <v>5338469.6102383006</v>
      </c>
      <c r="J73" s="116">
        <f t="shared" si="10"/>
        <v>7250529.8389254203</v>
      </c>
      <c r="K73" s="116">
        <f t="shared" si="10"/>
        <v>7698302.652633342</v>
      </c>
      <c r="L73" s="116">
        <f t="shared" si="10"/>
        <v>7954916.3468624782</v>
      </c>
      <c r="M73" s="116">
        <f t="shared" si="10"/>
        <v>8217399.4076232584</v>
      </c>
      <c r="N73" s="117"/>
      <c r="O73" s="117"/>
      <c r="P73" s="87"/>
    </row>
    <row r="74" spans="1:16">
      <c r="A74" s="19"/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</row>
    <row r="75" spans="1:16" ht="15.75">
      <c r="A75" s="19"/>
      <c r="B75" s="145" t="s">
        <v>47</v>
      </c>
      <c r="C75" s="187">
        <f>C70</f>
        <v>2022</v>
      </c>
      <c r="D75" s="187">
        <f>C75+1</f>
        <v>2023</v>
      </c>
      <c r="E75" s="187">
        <f t="shared" ref="E75:M75" si="11">D75+1</f>
        <v>2024</v>
      </c>
      <c r="F75" s="187">
        <f t="shared" si="11"/>
        <v>2025</v>
      </c>
      <c r="G75" s="187">
        <f t="shared" si="11"/>
        <v>2026</v>
      </c>
      <c r="H75" s="187">
        <f t="shared" si="11"/>
        <v>2027</v>
      </c>
      <c r="I75" s="187">
        <f t="shared" si="11"/>
        <v>2028</v>
      </c>
      <c r="J75" s="187">
        <f t="shared" si="11"/>
        <v>2029</v>
      </c>
      <c r="K75" s="187">
        <f t="shared" si="11"/>
        <v>2030</v>
      </c>
      <c r="L75" s="187">
        <f t="shared" si="11"/>
        <v>2031</v>
      </c>
      <c r="M75" s="187">
        <f t="shared" si="11"/>
        <v>2032</v>
      </c>
      <c r="N75" s="87"/>
      <c r="O75" s="87"/>
      <c r="P75" s="87"/>
    </row>
    <row r="76" spans="1:16">
      <c r="A76" s="19"/>
      <c r="B76" s="151" t="s">
        <v>530</v>
      </c>
      <c r="C76" s="152" t="s">
        <v>65</v>
      </c>
      <c r="D76" s="153">
        <f>Dashboard!F6</f>
        <v>0.03</v>
      </c>
      <c r="E76" s="153">
        <f>Dashboard!F7</f>
        <v>3.2500000000000001E-2</v>
      </c>
      <c r="F76" s="153">
        <f>Dashboard!F8</f>
        <v>3.2500000000000001E-2</v>
      </c>
      <c r="G76" s="153">
        <f>Dashboard!F9</f>
        <v>3.2500000000000001E-2</v>
      </c>
      <c r="H76" s="153">
        <f>Dashboard!F10</f>
        <v>3.5000000000000003E-2</v>
      </c>
      <c r="I76" s="153">
        <f>Dashboard!F11</f>
        <v>3.5000000000000003E-2</v>
      </c>
      <c r="J76" s="153">
        <f>Dashboard!F12</f>
        <v>3.5000000000000003E-2</v>
      </c>
      <c r="K76" s="153">
        <f>Dashboard!F13</f>
        <v>3.7499999999999999E-2</v>
      </c>
      <c r="L76" s="153">
        <f>Dashboard!F14</f>
        <v>3.7499999999999999E-2</v>
      </c>
      <c r="M76" s="153">
        <f>Dashboard!F15</f>
        <v>3.7499999999999999E-2</v>
      </c>
      <c r="N76" s="87"/>
      <c r="O76" s="87"/>
      <c r="P76" s="87"/>
    </row>
    <row r="77" spans="1:16">
      <c r="A77" s="19"/>
      <c r="B77" s="87"/>
      <c r="C77" s="87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87"/>
    </row>
    <row r="78" spans="1:16" ht="18" customHeight="1">
      <c r="A78" s="19"/>
      <c r="B78" s="128" t="s">
        <v>516</v>
      </c>
      <c r="C78" s="187">
        <f>C75</f>
        <v>2022</v>
      </c>
      <c r="D78" s="187">
        <f>C78+1</f>
        <v>2023</v>
      </c>
      <c r="E78" s="187">
        <f t="shared" ref="E78:M78" si="12">D78+1</f>
        <v>2024</v>
      </c>
      <c r="F78" s="187">
        <f t="shared" si="12"/>
        <v>2025</v>
      </c>
      <c r="G78" s="187">
        <f t="shared" si="12"/>
        <v>2026</v>
      </c>
      <c r="H78" s="187">
        <f t="shared" si="12"/>
        <v>2027</v>
      </c>
      <c r="I78" s="187">
        <f t="shared" si="12"/>
        <v>2028</v>
      </c>
      <c r="J78" s="187">
        <f t="shared" si="12"/>
        <v>2029</v>
      </c>
      <c r="K78" s="187">
        <f t="shared" si="12"/>
        <v>2030</v>
      </c>
      <c r="L78" s="187">
        <f t="shared" si="12"/>
        <v>2031</v>
      </c>
      <c r="M78" s="187">
        <f t="shared" si="12"/>
        <v>2032</v>
      </c>
      <c r="N78" s="19"/>
      <c r="O78" s="19"/>
      <c r="P78" s="19"/>
    </row>
    <row r="79" spans="1:16">
      <c r="A79" s="19"/>
      <c r="B79" s="121" t="str">
        <f>'Budget Surplus-Deficit'!B7</f>
        <v xml:space="preserve">   Levy</v>
      </c>
      <c r="C79" s="122">
        <f>'Budget Surplus-Deficit'!D$7</f>
        <v>86504900</v>
      </c>
      <c r="D79" s="122">
        <f>SUM(C79:C81)</f>
        <v>89359593.5</v>
      </c>
      <c r="E79" s="122">
        <f>SUM(D79:D81)</f>
        <v>92243583.337500006</v>
      </c>
      <c r="F79" s="122">
        <f t="shared" ref="F79:M79" si="13">SUM(E79:E81)</f>
        <v>95199672.920937508</v>
      </c>
      <c r="G79" s="122">
        <f t="shared" si="13"/>
        <v>98229664.743960947</v>
      </c>
      <c r="H79" s="122">
        <f t="shared" si="13"/>
        <v>101335406.36255997</v>
      </c>
      <c r="I79" s="122">
        <f t="shared" si="13"/>
        <v>104518791.52162397</v>
      </c>
      <c r="J79" s="122">
        <f t="shared" si="13"/>
        <v>107781761.30966456</v>
      </c>
      <c r="K79" s="122">
        <f t="shared" si="13"/>
        <v>111126305.34240618</v>
      </c>
      <c r="L79" s="122">
        <f t="shared" si="13"/>
        <v>114554462.97596633</v>
      </c>
      <c r="M79" s="122">
        <f t="shared" si="13"/>
        <v>118068324.55036549</v>
      </c>
      <c r="N79" s="123"/>
      <c r="O79" s="123"/>
      <c r="P79" s="19"/>
    </row>
    <row r="80" spans="1:16">
      <c r="A80" s="19"/>
      <c r="B80" s="121" t="str">
        <f>'Budget Surplus-Deficit'!B8</f>
        <v xml:space="preserve">   2 1/2% increase</v>
      </c>
      <c r="C80" s="122">
        <f t="shared" ref="C80" si="14">C79*0.025</f>
        <v>2162622.5</v>
      </c>
      <c r="D80" s="122">
        <f>D79*0.025</f>
        <v>2233989.8374999999</v>
      </c>
      <c r="E80" s="122">
        <f>E79*0.025</f>
        <v>2306089.5834375001</v>
      </c>
      <c r="F80" s="122">
        <f t="shared" ref="F80:M80" si="15">F79*0.025</f>
        <v>2379991.823023438</v>
      </c>
      <c r="G80" s="122">
        <f t="shared" si="15"/>
        <v>2455741.6185990237</v>
      </c>
      <c r="H80" s="122">
        <f t="shared" si="15"/>
        <v>2533385.1590639995</v>
      </c>
      <c r="I80" s="122">
        <f t="shared" si="15"/>
        <v>2612969.7880405993</v>
      </c>
      <c r="J80" s="122">
        <f t="shared" si="15"/>
        <v>2694544.0327416142</v>
      </c>
      <c r="K80" s="122">
        <f t="shared" si="15"/>
        <v>2778157.6335601546</v>
      </c>
      <c r="L80" s="122">
        <f t="shared" si="15"/>
        <v>2863861.5743991584</v>
      </c>
      <c r="M80" s="122">
        <f t="shared" si="15"/>
        <v>2951708.1137591377</v>
      </c>
      <c r="N80" s="123"/>
      <c r="O80" s="123"/>
      <c r="P80" s="19"/>
    </row>
    <row r="81" spans="1:16">
      <c r="A81" s="19"/>
      <c r="B81" s="124" t="str">
        <f>'Budget Surplus-Deficit'!B9</f>
        <v xml:space="preserve">   New Growth</v>
      </c>
      <c r="C81" s="122">
        <f>'Budget Surplus-Deficit'!D$9</f>
        <v>692071</v>
      </c>
      <c r="D81" s="122">
        <f>'Budget Surplus-Deficit'!E$9</f>
        <v>650000</v>
      </c>
      <c r="E81" s="122">
        <f>'Budget Surplus-Deficit'!F$9</f>
        <v>650000</v>
      </c>
      <c r="F81" s="122">
        <f>'Budget Surplus-Deficit'!G$9</f>
        <v>650000</v>
      </c>
      <c r="G81" s="122">
        <f>'Budget Surplus-Deficit'!H$9</f>
        <v>650000</v>
      </c>
      <c r="H81" s="122">
        <f>'Budget Surplus-Deficit'!I$9</f>
        <v>650000</v>
      </c>
      <c r="I81" s="122">
        <f t="shared" ref="I81:M81" si="16">H81</f>
        <v>650000</v>
      </c>
      <c r="J81" s="122">
        <f t="shared" si="16"/>
        <v>650000</v>
      </c>
      <c r="K81" s="122">
        <f t="shared" si="16"/>
        <v>650000</v>
      </c>
      <c r="L81" s="122">
        <f t="shared" si="16"/>
        <v>650000</v>
      </c>
      <c r="M81" s="122">
        <f t="shared" si="16"/>
        <v>650000</v>
      </c>
      <c r="N81" s="123"/>
      <c r="O81" s="123"/>
      <c r="P81" s="19"/>
    </row>
    <row r="82" spans="1:16">
      <c r="A82" s="19"/>
      <c r="B82" s="124" t="s">
        <v>82</v>
      </c>
      <c r="C82" s="122">
        <f>'Fifteen-Year Debt Schedule'!AB$22</f>
        <v>3627940.5055555552</v>
      </c>
      <c r="D82" s="122">
        <f>'Fifteen-Year Debt Schedule'!AC$22</f>
        <v>3506881.6655555554</v>
      </c>
      <c r="E82" s="122">
        <f>'Fifteen-Year Debt Schedule'!AD$22</f>
        <v>3382310.6255555558</v>
      </c>
      <c r="F82" s="122">
        <f>'Fifteen-Year Debt Schedule'!AE$22</f>
        <v>3272922.1655555558</v>
      </c>
      <c r="G82" s="122">
        <f>'Fifteen-Year Debt Schedule'!AF$22</f>
        <v>3171337.6355555556</v>
      </c>
      <c r="H82" s="122">
        <f>'Fifteen-Year Debt Schedule'!AG$22</f>
        <v>3063473.2755555552</v>
      </c>
      <c r="I82" s="122">
        <f>'Fifteen-Year Debt Schedule'!AH$22</f>
        <v>2886087.9055555551</v>
      </c>
      <c r="J82" s="122">
        <f>'Fifteen-Year Debt Schedule'!AI$22</f>
        <v>1906075.8955555556</v>
      </c>
      <c r="K82" s="122">
        <f>'Fifteen-Year Debt Schedule'!AJ$22</f>
        <v>1736123.9666666666</v>
      </c>
      <c r="L82" s="122">
        <f>'Fifteen-Year Debt Schedule'!AK$22</f>
        <v>1690691.446666667</v>
      </c>
      <c r="M82" s="122">
        <f>'Fifteen-Year Debt Schedule'!AL$22</f>
        <v>1643441.6466666667</v>
      </c>
      <c r="N82" s="123"/>
      <c r="O82" s="123"/>
      <c r="P82" s="19"/>
    </row>
    <row r="83" spans="1:16">
      <c r="A83" s="19"/>
      <c r="B83" s="124" t="s">
        <v>544</v>
      </c>
      <c r="C83" s="141" t="s">
        <v>65</v>
      </c>
      <c r="D83" s="122">
        <f>D35</f>
        <v>0</v>
      </c>
      <c r="E83" s="122">
        <f t="shared" ref="E83:M83" si="17">E35</f>
        <v>799367.17</v>
      </c>
      <c r="F83" s="122">
        <f t="shared" si="17"/>
        <v>799367.17</v>
      </c>
      <c r="G83" s="122">
        <f t="shared" si="17"/>
        <v>8452885.370000001</v>
      </c>
      <c r="H83" s="122">
        <f t="shared" si="17"/>
        <v>8978212.2500000019</v>
      </c>
      <c r="I83" s="122">
        <f t="shared" si="17"/>
        <v>8978212.2500000019</v>
      </c>
      <c r="J83" s="122">
        <f t="shared" si="17"/>
        <v>8978212.25</v>
      </c>
      <c r="K83" s="122">
        <f t="shared" si="17"/>
        <v>8978212.25</v>
      </c>
      <c r="L83" s="122">
        <f t="shared" si="17"/>
        <v>8978212.2500000037</v>
      </c>
      <c r="M83" s="122">
        <f t="shared" si="17"/>
        <v>8978212.2500000037</v>
      </c>
      <c r="N83" s="154"/>
      <c r="O83" s="154"/>
      <c r="P83" s="19"/>
    </row>
    <row r="84" spans="1:16">
      <c r="A84" s="19"/>
      <c r="B84" s="124" t="s">
        <v>48</v>
      </c>
      <c r="C84" s="122">
        <f>'Budget Surplus-Deficit'!D$13</f>
        <v>0</v>
      </c>
      <c r="D84" s="122">
        <f>'Budget Surplus-Deficit'!E$13</f>
        <v>0</v>
      </c>
      <c r="E84" s="122">
        <f>'Budget Surplus-Deficit'!F$13</f>
        <v>0</v>
      </c>
      <c r="F84" s="122">
        <f>'Budget Surplus-Deficit'!G$13</f>
        <v>0</v>
      </c>
      <c r="G84" s="122">
        <f>'Budget Surplus-Deficit'!H$13</f>
        <v>0</v>
      </c>
      <c r="H84" s="122">
        <f>'Budget Surplus-Deficit'!I$13</f>
        <v>0</v>
      </c>
      <c r="I84" s="122">
        <f t="shared" ref="I84:M84" si="18">H84</f>
        <v>0</v>
      </c>
      <c r="J84" s="122">
        <f t="shared" si="18"/>
        <v>0</v>
      </c>
      <c r="K84" s="122">
        <f t="shared" si="18"/>
        <v>0</v>
      </c>
      <c r="L84" s="122">
        <f t="shared" si="18"/>
        <v>0</v>
      </c>
      <c r="M84" s="122">
        <f t="shared" si="18"/>
        <v>0</v>
      </c>
      <c r="N84" s="123"/>
      <c r="O84" s="123"/>
      <c r="P84" s="19"/>
    </row>
    <row r="85" spans="1:16">
      <c r="A85" s="19"/>
      <c r="B85" s="124" t="str">
        <f>'Budget Surplus-Deficit'!B14</f>
        <v xml:space="preserve">   Uncollected Tax Levy</v>
      </c>
      <c r="C85" s="122">
        <f>'Budget Surplus-Deficit'!D$14</f>
        <v>0</v>
      </c>
      <c r="D85" s="122">
        <f>'Budget Surplus-Deficit'!E$14</f>
        <v>0</v>
      </c>
      <c r="E85" s="122">
        <f>'Budget Surplus-Deficit'!F$14</f>
        <v>0</v>
      </c>
      <c r="F85" s="122">
        <f>'Budget Surplus-Deficit'!G$14</f>
        <v>0</v>
      </c>
      <c r="G85" s="122">
        <f>'Budget Surplus-Deficit'!H$14</f>
        <v>0</v>
      </c>
      <c r="H85" s="122">
        <f>'Budget Surplus-Deficit'!I$14</f>
        <v>0</v>
      </c>
      <c r="I85" s="122">
        <f t="shared" ref="I85:M85" si="19">H85</f>
        <v>0</v>
      </c>
      <c r="J85" s="122">
        <f t="shared" si="19"/>
        <v>0</v>
      </c>
      <c r="K85" s="122">
        <f t="shared" si="19"/>
        <v>0</v>
      </c>
      <c r="L85" s="122">
        <f t="shared" si="19"/>
        <v>0</v>
      </c>
      <c r="M85" s="122">
        <f t="shared" si="19"/>
        <v>0</v>
      </c>
      <c r="O85" s="123"/>
      <c r="P85" s="19"/>
    </row>
    <row r="86" spans="1:16">
      <c r="A86" s="19"/>
      <c r="B86" s="124" t="s">
        <v>537</v>
      </c>
      <c r="C86" s="688">
        <v>0</v>
      </c>
      <c r="D86" s="122">
        <f>Dashboard!$I6</f>
        <v>0</v>
      </c>
      <c r="E86" s="122">
        <f>Dashboard!$I7</f>
        <v>5500000</v>
      </c>
      <c r="F86" s="122">
        <f>Dashboard!$I8</f>
        <v>0</v>
      </c>
      <c r="G86" s="122">
        <f>Dashboard!$I9</f>
        <v>0</v>
      </c>
      <c r="H86" s="122">
        <f>Dashboard!$I10</f>
        <v>0</v>
      </c>
      <c r="I86" s="122">
        <f>Dashboard!$I11</f>
        <v>0</v>
      </c>
      <c r="J86" s="122">
        <f>Dashboard!$I12</f>
        <v>0</v>
      </c>
      <c r="K86" s="122">
        <f>Dashboard!$I13</f>
        <v>0</v>
      </c>
      <c r="L86" s="122">
        <f>Dashboard!$I14</f>
        <v>0</v>
      </c>
      <c r="M86" s="122">
        <f>Dashboard!$I15</f>
        <v>0</v>
      </c>
      <c r="O86" s="123"/>
      <c r="P86" s="19"/>
    </row>
    <row r="87" spans="1:16" ht="14.65" customHeight="1">
      <c r="A87" s="19"/>
      <c r="B87" s="145" t="s">
        <v>63</v>
      </c>
      <c r="C87" s="155">
        <f>SUM(C79:C85)</f>
        <v>92987534.005555555</v>
      </c>
      <c r="D87" s="116">
        <f>SUM(D79:D85)+D112</f>
        <v>95750465.003055558</v>
      </c>
      <c r="E87" s="116">
        <f t="shared" ref="E87:M87" si="20">SUM(E79:E85)+E112</f>
        <v>104881350.71649307</v>
      </c>
      <c r="F87" s="116">
        <f t="shared" si="20"/>
        <v>107939454.0795165</v>
      </c>
      <c r="G87" s="116">
        <f t="shared" si="20"/>
        <v>118738066.86811553</v>
      </c>
      <c r="H87" s="116">
        <f t="shared" si="20"/>
        <v>122483375.48467952</v>
      </c>
      <c r="I87" s="116">
        <f t="shared" si="20"/>
        <v>125717032.36365762</v>
      </c>
      <c r="J87" s="116">
        <f t="shared" si="20"/>
        <v>128233338.65886018</v>
      </c>
      <c r="K87" s="116">
        <f t="shared" si="20"/>
        <v>131647112.9928039</v>
      </c>
      <c r="L87" s="116">
        <f t="shared" si="20"/>
        <v>135274999.89220732</v>
      </c>
      <c r="M87" s="116">
        <f t="shared" si="20"/>
        <v>138992902.49709585</v>
      </c>
      <c r="N87" s="212"/>
      <c r="O87" s="158"/>
      <c r="P87" s="233"/>
    </row>
    <row r="88" spans="1:16">
      <c r="A88" s="19"/>
      <c r="B88" s="145" t="s">
        <v>88</v>
      </c>
      <c r="C88" s="148" t="s">
        <v>65</v>
      </c>
      <c r="D88" s="155">
        <f>D87-C87</f>
        <v>2762930.9975000024</v>
      </c>
      <c r="E88" s="155">
        <f t="shared" ref="E88:M88" si="21">E87-D87</f>
        <v>9130885.7134375125</v>
      </c>
      <c r="F88" s="155">
        <f t="shared" si="21"/>
        <v>3058103.3630234301</v>
      </c>
      <c r="G88" s="155">
        <f t="shared" si="21"/>
        <v>10798612.788599029</v>
      </c>
      <c r="H88" s="155">
        <f t="shared" si="21"/>
        <v>3745308.6165639907</v>
      </c>
      <c r="I88" s="155">
        <f t="shared" si="21"/>
        <v>3233656.8789781034</v>
      </c>
      <c r="J88" s="155">
        <f t="shared" si="21"/>
        <v>2516306.2952025533</v>
      </c>
      <c r="K88" s="155">
        <f t="shared" si="21"/>
        <v>3413774.3339437246</v>
      </c>
      <c r="L88" s="155">
        <f t="shared" si="21"/>
        <v>3627886.8994034231</v>
      </c>
      <c r="M88" s="155">
        <f t="shared" si="21"/>
        <v>3717902.6048885286</v>
      </c>
      <c r="N88" s="212"/>
      <c r="O88" s="158"/>
      <c r="P88" s="233"/>
    </row>
    <row r="89" spans="1:16">
      <c r="A89" s="19"/>
      <c r="B89" s="134"/>
      <c r="C89" s="149"/>
      <c r="D89" s="147"/>
      <c r="E89" s="147"/>
      <c r="F89" s="144"/>
      <c r="G89" s="116"/>
      <c r="H89" s="149"/>
      <c r="I89" s="147"/>
      <c r="J89" s="147"/>
      <c r="N89" s="212"/>
      <c r="O89" s="3"/>
      <c r="P89" s="233"/>
    </row>
    <row r="90" spans="1:16" ht="18" customHeight="1">
      <c r="A90" s="19"/>
      <c r="B90" s="156" t="s">
        <v>517</v>
      </c>
      <c r="C90" s="187">
        <f>C78</f>
        <v>2022</v>
      </c>
      <c r="D90" s="187">
        <f>C90+1</f>
        <v>2023</v>
      </c>
      <c r="E90" s="187">
        <f t="shared" ref="E90:M90" si="22">D90+1</f>
        <v>2024</v>
      </c>
      <c r="F90" s="187">
        <f t="shared" si="22"/>
        <v>2025</v>
      </c>
      <c r="G90" s="187">
        <f t="shared" si="22"/>
        <v>2026</v>
      </c>
      <c r="H90" s="187">
        <f t="shared" si="22"/>
        <v>2027</v>
      </c>
      <c r="I90" s="187">
        <f t="shared" si="22"/>
        <v>2028</v>
      </c>
      <c r="J90" s="187">
        <f t="shared" si="22"/>
        <v>2029</v>
      </c>
      <c r="K90" s="187">
        <f t="shared" si="22"/>
        <v>2030</v>
      </c>
      <c r="L90" s="187">
        <f t="shared" si="22"/>
        <v>2031</v>
      </c>
      <c r="M90" s="187">
        <f t="shared" si="22"/>
        <v>2032</v>
      </c>
      <c r="N90" s="212"/>
      <c r="O90" s="158"/>
      <c r="P90" s="233"/>
    </row>
    <row r="91" spans="1:16">
      <c r="A91" s="19"/>
      <c r="B91" s="157" t="s">
        <v>532</v>
      </c>
      <c r="C91" s="158">
        <f>D52</f>
        <v>8043904450</v>
      </c>
      <c r="D91" s="158">
        <f t="shared" ref="D91:M91" si="23">C91*(1+$O$67)</f>
        <v>8316251722.3416176</v>
      </c>
      <c r="E91" s="158">
        <f t="shared" si="23"/>
        <v>8597820018.7783089</v>
      </c>
      <c r="F91" s="158">
        <f t="shared" si="23"/>
        <v>8888921541.0245647</v>
      </c>
      <c r="G91" s="158">
        <f t="shared" si="23"/>
        <v>9189879061.1945972</v>
      </c>
      <c r="H91" s="158">
        <f t="shared" si="23"/>
        <v>9501026279.6906719</v>
      </c>
      <c r="I91" s="158">
        <f t="shared" si="23"/>
        <v>9822708195.2086735</v>
      </c>
      <c r="J91" s="158">
        <f t="shared" si="23"/>
        <v>10155281487.271179</v>
      </c>
      <c r="K91" s="158">
        <f t="shared" si="23"/>
        <v>10499114911.71217</v>
      </c>
      <c r="L91" s="158">
        <f t="shared" si="23"/>
        <v>10854589709.55192</v>
      </c>
      <c r="M91" s="158">
        <f t="shared" si="23"/>
        <v>11222100029.715389</v>
      </c>
      <c r="N91" s="212"/>
      <c r="O91" s="158"/>
      <c r="P91" s="233"/>
    </row>
    <row r="92" spans="1:16" ht="14.65" customHeight="1">
      <c r="A92" s="19"/>
      <c r="B92" s="159"/>
      <c r="C92" s="160"/>
      <c r="D92" s="161"/>
      <c r="E92" s="19"/>
      <c r="F92" s="19"/>
      <c r="G92" s="19"/>
      <c r="H92" s="19"/>
      <c r="I92" s="19"/>
      <c r="J92" s="19"/>
      <c r="K92" s="19"/>
      <c r="L92" s="19"/>
      <c r="M92" s="19"/>
      <c r="N92" s="212"/>
      <c r="O92" s="158"/>
      <c r="P92" s="233"/>
    </row>
    <row r="93" spans="1:16">
      <c r="A93" s="19"/>
      <c r="B93" s="162" t="s">
        <v>531</v>
      </c>
      <c r="C93" s="486">
        <f>C94</f>
        <v>11.8</v>
      </c>
      <c r="D93" s="168">
        <f t="shared" ref="D93:M93" si="24">(SUM(D79:D83))/(D91/1000)+$D$95</f>
        <v>11.563656416366264</v>
      </c>
      <c r="E93" s="168">
        <f t="shared" si="24"/>
        <v>11.60890103531319</v>
      </c>
      <c r="F93" s="168">
        <f t="shared" si="24"/>
        <v>11.558927557450899</v>
      </c>
      <c r="G93" s="168">
        <f t="shared" si="24"/>
        <v>12.341742754820526</v>
      </c>
      <c r="H93" s="168">
        <f t="shared" si="24"/>
        <v>12.318198573067669</v>
      </c>
      <c r="I93" s="168">
        <f t="shared" si="24"/>
        <v>12.230557447851414</v>
      </c>
      <c r="J93" s="168">
        <f t="shared" si="24"/>
        <v>12.064496460870348</v>
      </c>
      <c r="K93" s="168">
        <f t="shared" si="24"/>
        <v>11.981367572031315</v>
      </c>
      <c r="L93" s="168">
        <f t="shared" si="24"/>
        <v>11.910165302585765</v>
      </c>
      <c r="M93" s="168">
        <f t="shared" si="24"/>
        <v>11.838496467728103</v>
      </c>
      <c r="N93" s="212"/>
      <c r="O93" s="158"/>
      <c r="P93" s="233"/>
    </row>
    <row r="94" spans="1:16">
      <c r="A94" s="19"/>
      <c r="B94" s="151" t="s">
        <v>536</v>
      </c>
      <c r="C94" s="168">
        <v>11.8</v>
      </c>
      <c r="D94" s="163">
        <f t="shared" ref="D94:M94" si="25">SUM(D79:D82)/(D91/1000)+$D$95</f>
        <v>11.563656416366264</v>
      </c>
      <c r="E94" s="163">
        <f t="shared" si="25"/>
        <v>11.515927796951127</v>
      </c>
      <c r="F94" s="163">
        <f t="shared" si="25"/>
        <v>11.468999081166039</v>
      </c>
      <c r="G94" s="163">
        <f t="shared" si="25"/>
        <v>11.42193898877388</v>
      </c>
      <c r="H94" s="163">
        <f t="shared" si="25"/>
        <v>11.373225684276512</v>
      </c>
      <c r="I94" s="163">
        <f t="shared" si="25"/>
        <v>11.316531288102578</v>
      </c>
      <c r="J94" s="163">
        <f t="shared" si="25"/>
        <v>11.180403561894238</v>
      </c>
      <c r="K94" s="163">
        <f t="shared" si="25"/>
        <v>11.126227655428968</v>
      </c>
      <c r="L94" s="163">
        <f t="shared" si="25"/>
        <v>11.083030192900388</v>
      </c>
      <c r="M94" s="163">
        <f t="shared" si="25"/>
        <v>11.038449041112205</v>
      </c>
      <c r="N94" s="212"/>
      <c r="O94" s="158"/>
      <c r="P94" s="233"/>
    </row>
    <row r="95" spans="1:16">
      <c r="A95" s="19"/>
      <c r="B95" s="151" t="s">
        <v>669</v>
      </c>
      <c r="C95" s="168"/>
      <c r="D95" s="168">
        <v>0.05</v>
      </c>
      <c r="E95" s="163"/>
      <c r="F95" s="163"/>
      <c r="G95" s="163"/>
      <c r="H95" s="163"/>
      <c r="I95" s="163"/>
      <c r="J95" s="163"/>
      <c r="K95" s="163"/>
      <c r="L95" s="163"/>
      <c r="M95" s="163"/>
      <c r="N95" s="212"/>
      <c r="O95" s="158"/>
      <c r="P95" s="233"/>
    </row>
    <row r="96" spans="1:16" ht="15.75" thickBot="1">
      <c r="A96" s="19"/>
      <c r="B96" s="151"/>
      <c r="C96" s="163"/>
      <c r="D96" s="163"/>
      <c r="E96" s="163"/>
      <c r="F96" s="163"/>
      <c r="G96" s="163"/>
      <c r="H96" s="163"/>
      <c r="I96" s="163"/>
      <c r="J96" s="163"/>
      <c r="K96" s="163"/>
      <c r="L96" s="163"/>
      <c r="M96" s="163"/>
    </row>
    <row r="97" spans="1:16" ht="16.5" thickTop="1" thickBot="1">
      <c r="A97" s="19"/>
      <c r="B97" s="164" t="s">
        <v>792</v>
      </c>
      <c r="C97" s="718">
        <f>IF(Dashboard!N6=1,$H$53,(IF(Dashboard!N6=2,$D$53,Dashboard!N6)))</f>
        <v>703600</v>
      </c>
      <c r="D97" s="165">
        <f t="shared" ref="D97:M97" si="26">C97*(1+$O$68)</f>
        <v>724221.66612620093</v>
      </c>
      <c r="E97" s="165">
        <f t="shared" si="26"/>
        <v>745447.72837778635</v>
      </c>
      <c r="F97" s="165">
        <f t="shared" si="26"/>
        <v>767295.9008751451</v>
      </c>
      <c r="G97" s="165">
        <f t="shared" si="26"/>
        <v>789784.41691813804</v>
      </c>
      <c r="H97" s="165">
        <f t="shared" si="26"/>
        <v>812932.04420262086</v>
      </c>
      <c r="I97" s="165">
        <f t="shared" si="26"/>
        <v>836758.10048294556</v>
      </c>
      <c r="J97" s="165">
        <f t="shared" si="26"/>
        <v>861282.46969351033</v>
      </c>
      <c r="K97" s="165">
        <f t="shared" si="26"/>
        <v>886525.618542813</v>
      </c>
      <c r="L97" s="165">
        <f t="shared" si="26"/>
        <v>912508.61359385576</v>
      </c>
      <c r="M97" s="165">
        <f t="shared" si="26"/>
        <v>939253.13884515618</v>
      </c>
    </row>
    <row r="98" spans="1:16" ht="15.75" thickTop="1">
      <c r="A98" s="19"/>
      <c r="B98" s="162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</row>
    <row r="99" spans="1:16">
      <c r="A99" s="19"/>
      <c r="B99" s="162" t="s">
        <v>793</v>
      </c>
      <c r="C99" s="163">
        <f>(C97/1000)*C93</f>
        <v>8302.4800000000014</v>
      </c>
      <c r="D99" s="163">
        <f>(D97/1000)*D93</f>
        <v>8374.6505163717102</v>
      </c>
      <c r="E99" s="163">
        <f t="shared" ref="E99:M99" si="27">(E97/1000)*E93</f>
        <v>8653.8289057367492</v>
      </c>
      <c r="F99" s="163">
        <f t="shared" si="27"/>
        <v>8869.1177333448268</v>
      </c>
      <c r="G99" s="163">
        <f>(G97/1000)*G93</f>
        <v>9747.316105369584</v>
      </c>
      <c r="H99" s="163">
        <f t="shared" si="27"/>
        <v>10013.858346897707</v>
      </c>
      <c r="I99" s="163">
        <f t="shared" si="27"/>
        <v>10234.018017911692</v>
      </c>
      <c r="J99" s="163">
        <f t="shared" si="27"/>
        <v>10390.939307427028</v>
      </c>
      <c r="K99" s="163">
        <f t="shared" si="27"/>
        <v>10621.789297783864</v>
      </c>
      <c r="L99" s="163">
        <f t="shared" si="27"/>
        <v>10868.128427936183</v>
      </c>
      <c r="M99" s="163">
        <f t="shared" si="27"/>
        <v>11119.344966520914</v>
      </c>
    </row>
    <row r="100" spans="1:16">
      <c r="A100" s="19"/>
      <c r="B100" s="162" t="s">
        <v>794</v>
      </c>
      <c r="C100" s="163">
        <f>(C97/1000)*C94</f>
        <v>8302.4800000000014</v>
      </c>
      <c r="D100" s="163">
        <f>(D97/1000)*D94</f>
        <v>8374.6505163717102</v>
      </c>
      <c r="E100" s="163">
        <f t="shared" ref="E100:M100" si="28">(E97/1000)*E94</f>
        <v>8584.5222163998224</v>
      </c>
      <c r="F100" s="163">
        <f t="shared" si="28"/>
        <v>8800.115982119507</v>
      </c>
      <c r="G100" s="163">
        <f t="shared" si="28"/>
        <v>9020.8694243233258</v>
      </c>
      <c r="H100" s="163">
        <f t="shared" si="28"/>
        <v>9245.659604696657</v>
      </c>
      <c r="I100" s="163">
        <f t="shared" si="28"/>
        <v>9469.1992246885347</v>
      </c>
      <c r="J100" s="163">
        <f t="shared" si="28"/>
        <v>9629.4855919583879</v>
      </c>
      <c r="K100" s="163">
        <f t="shared" si="28"/>
        <v>9863.6858542773189</v>
      </c>
      <c r="L100" s="163">
        <f t="shared" si="28"/>
        <v>10113.360515742377</v>
      </c>
      <c r="M100" s="163">
        <f t="shared" si="28"/>
        <v>10367.897909846943</v>
      </c>
    </row>
    <row r="101" spans="1:16">
      <c r="A101" s="19"/>
      <c r="B101" s="162"/>
      <c r="C101" s="163"/>
      <c r="D101" s="166"/>
      <c r="E101" s="163"/>
      <c r="F101" s="163"/>
      <c r="G101" s="163"/>
      <c r="H101" s="163"/>
      <c r="I101" s="163"/>
      <c r="J101" s="163"/>
      <c r="K101" s="163"/>
      <c r="L101" s="163"/>
      <c r="M101" s="163"/>
    </row>
    <row r="102" spans="1:16">
      <c r="A102" s="19"/>
      <c r="B102" s="162" t="s">
        <v>64</v>
      </c>
      <c r="C102" s="167">
        <v>1.4999999999999999E-2</v>
      </c>
      <c r="D102" s="167">
        <f>C102</f>
        <v>1.4999999999999999E-2</v>
      </c>
      <c r="E102" s="167">
        <f t="shared" ref="E102:M102" si="29">D102</f>
        <v>1.4999999999999999E-2</v>
      </c>
      <c r="F102" s="167">
        <f t="shared" si="29"/>
        <v>1.4999999999999999E-2</v>
      </c>
      <c r="G102" s="167">
        <f t="shared" si="29"/>
        <v>1.4999999999999999E-2</v>
      </c>
      <c r="H102" s="167">
        <f t="shared" si="29"/>
        <v>1.4999999999999999E-2</v>
      </c>
      <c r="I102" s="167">
        <f t="shared" si="29"/>
        <v>1.4999999999999999E-2</v>
      </c>
      <c r="J102" s="167">
        <f t="shared" si="29"/>
        <v>1.4999999999999999E-2</v>
      </c>
      <c r="K102" s="167">
        <f t="shared" si="29"/>
        <v>1.4999999999999999E-2</v>
      </c>
      <c r="L102" s="167">
        <f t="shared" si="29"/>
        <v>1.4999999999999999E-2</v>
      </c>
      <c r="M102" s="167">
        <f t="shared" si="29"/>
        <v>1.4999999999999999E-2</v>
      </c>
    </row>
    <row r="103" spans="1:16">
      <c r="A103" s="19"/>
      <c r="B103" s="162" t="s">
        <v>83</v>
      </c>
      <c r="C103" s="163">
        <f>(((C97-100000)/1000)*C102)*C93</f>
        <v>106.83720000000001</v>
      </c>
      <c r="D103" s="163">
        <f t="shared" ref="D103:M103" si="30">(((D97-100000)/1000)*D102)*D93</f>
        <v>108.27427312102625</v>
      </c>
      <c r="E103" s="163">
        <f t="shared" si="30"/>
        <v>112.39408203308146</v>
      </c>
      <c r="F103" s="163">
        <f t="shared" si="30"/>
        <v>115.69837466399606</v>
      </c>
      <c r="G103" s="163">
        <f>(((G97-100000)/1000)*G102)*G93</f>
        <v>127.69712744831297</v>
      </c>
      <c r="H103" s="163">
        <f t="shared" si="30"/>
        <v>131.7305773438641</v>
      </c>
      <c r="I103" s="163">
        <f t="shared" si="30"/>
        <v>135.16443409689825</v>
      </c>
      <c r="J103" s="163">
        <f t="shared" si="30"/>
        <v>137.76734492009987</v>
      </c>
      <c r="K103" s="163">
        <f t="shared" si="30"/>
        <v>141.35478810871098</v>
      </c>
      <c r="L103" s="163">
        <f t="shared" si="30"/>
        <v>145.15667846516408</v>
      </c>
      <c r="M103" s="163">
        <f t="shared" si="30"/>
        <v>149.03242979622155</v>
      </c>
    </row>
    <row r="104" spans="1:16">
      <c r="A104" s="19"/>
      <c r="B104" s="162" t="s">
        <v>84</v>
      </c>
      <c r="C104" s="163">
        <f>(((C97-100000)/1000)*C102)*C94</f>
        <v>106.83720000000001</v>
      </c>
      <c r="D104" s="163">
        <f t="shared" ref="D104:M104" si="31">(((D97-100000)/1000)*D102)*D94</f>
        <v>108.27427312102625</v>
      </c>
      <c r="E104" s="163">
        <f t="shared" si="31"/>
        <v>111.49394155057065</v>
      </c>
      <c r="F104" s="163">
        <f t="shared" si="31"/>
        <v>114.79824111004355</v>
      </c>
      <c r="G104" s="163">
        <f t="shared" si="31"/>
        <v>118.18013288168906</v>
      </c>
      <c r="H104" s="163">
        <f t="shared" si="31"/>
        <v>121.62505554403508</v>
      </c>
      <c r="I104" s="163">
        <f t="shared" si="31"/>
        <v>125.06319143817413</v>
      </c>
      <c r="J104" s="163">
        <f t="shared" si="31"/>
        <v>127.67167853653446</v>
      </c>
      <c r="K104" s="163">
        <f t="shared" si="31"/>
        <v>131.26594633101632</v>
      </c>
      <c r="L104" s="163">
        <f t="shared" si="31"/>
        <v>135.07586244678507</v>
      </c>
      <c r="M104" s="163">
        <f t="shared" si="31"/>
        <v>138.96079508603583</v>
      </c>
    </row>
    <row r="105" spans="1:16">
      <c r="A105" s="19"/>
      <c r="B105" s="162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</row>
    <row r="106" spans="1:16" ht="14.65" customHeight="1">
      <c r="A106" s="19"/>
      <c r="B106" s="162" t="s">
        <v>539</v>
      </c>
      <c r="C106" s="168">
        <f>C99+C103</f>
        <v>8409.3172000000013</v>
      </c>
      <c r="D106" s="163">
        <f>D99+D103</f>
        <v>8482.9247894927357</v>
      </c>
      <c r="E106" s="163">
        <f t="shared" ref="E106:M106" si="32">E99+E103</f>
        <v>8766.2229877698301</v>
      </c>
      <c r="F106" s="163">
        <f t="shared" si="32"/>
        <v>8984.816108008823</v>
      </c>
      <c r="G106" s="163">
        <f t="shared" si="32"/>
        <v>9875.013232817897</v>
      </c>
      <c r="H106" s="163">
        <f t="shared" si="32"/>
        <v>10145.588924241571</v>
      </c>
      <c r="I106" s="163">
        <f t="shared" si="32"/>
        <v>10369.18245200859</v>
      </c>
      <c r="J106" s="163">
        <f t="shared" si="32"/>
        <v>10528.706652347128</v>
      </c>
      <c r="K106" s="163">
        <f t="shared" si="32"/>
        <v>10763.144085892574</v>
      </c>
      <c r="L106" s="163">
        <f t="shared" si="32"/>
        <v>11013.285106401347</v>
      </c>
      <c r="M106" s="163">
        <f t="shared" si="32"/>
        <v>11268.377396317135</v>
      </c>
    </row>
    <row r="107" spans="1:16" ht="14.65" customHeight="1">
      <c r="A107" s="19"/>
      <c r="B107" s="690" t="s">
        <v>749</v>
      </c>
      <c r="C107" s="679">
        <f>C100+C104</f>
        <v>8409.3172000000013</v>
      </c>
      <c r="D107" s="679">
        <f>D100+D104</f>
        <v>8482.9247894927357</v>
      </c>
      <c r="E107" s="679">
        <f t="shared" ref="E107:M107" si="33">E100+E104</f>
        <v>8696.0161579503929</v>
      </c>
      <c r="F107" s="679">
        <f t="shared" si="33"/>
        <v>8914.9142232295508</v>
      </c>
      <c r="G107" s="679">
        <f t="shared" si="33"/>
        <v>9139.0495572050149</v>
      </c>
      <c r="H107" s="679">
        <f t="shared" si="33"/>
        <v>9367.2846602406917</v>
      </c>
      <c r="I107" s="679">
        <f t="shared" si="33"/>
        <v>9594.2624161267086</v>
      </c>
      <c r="J107" s="679">
        <f t="shared" si="33"/>
        <v>9757.1572704949231</v>
      </c>
      <c r="K107" s="679">
        <f t="shared" si="33"/>
        <v>9994.9518006083345</v>
      </c>
      <c r="L107" s="679">
        <f t="shared" si="33"/>
        <v>10248.436378189162</v>
      </c>
      <c r="M107" s="680">
        <f t="shared" si="33"/>
        <v>10506.858704932978</v>
      </c>
    </row>
    <row r="108" spans="1:16" ht="14.65" customHeight="1">
      <c r="A108" s="19"/>
      <c r="B108" s="681" t="s">
        <v>747</v>
      </c>
      <c r="C108" s="682" t="s">
        <v>65</v>
      </c>
      <c r="D108" s="683">
        <f>D107-C107</f>
        <v>73.607589492734405</v>
      </c>
      <c r="E108" s="683">
        <f t="shared" ref="E108:M108" si="34">E107-D107</f>
        <v>213.09136845765715</v>
      </c>
      <c r="F108" s="683">
        <f t="shared" si="34"/>
        <v>218.89806527915789</v>
      </c>
      <c r="G108" s="683">
        <f t="shared" si="34"/>
        <v>224.13533397546416</v>
      </c>
      <c r="H108" s="683">
        <f t="shared" si="34"/>
        <v>228.23510303567673</v>
      </c>
      <c r="I108" s="683">
        <f t="shared" si="34"/>
        <v>226.97775588601689</v>
      </c>
      <c r="J108" s="683">
        <f t="shared" si="34"/>
        <v>162.89485436821451</v>
      </c>
      <c r="K108" s="683">
        <f t="shared" si="34"/>
        <v>237.79453011341138</v>
      </c>
      <c r="L108" s="683">
        <f t="shared" si="34"/>
        <v>253.48457758082805</v>
      </c>
      <c r="M108" s="684">
        <f t="shared" si="34"/>
        <v>258.42232674381557</v>
      </c>
      <c r="N108" s="170">
        <f>SUM(D108:M108)</f>
        <v>2097.5415049329767</v>
      </c>
    </row>
    <row r="109" spans="1:16" ht="14.65" customHeight="1">
      <c r="A109" s="19"/>
      <c r="B109" s="171" t="s">
        <v>748</v>
      </c>
      <c r="C109" s="172">
        <f>C106-C107</f>
        <v>0</v>
      </c>
      <c r="D109" s="172">
        <f>D106-D107</f>
        <v>0</v>
      </c>
      <c r="E109" s="172">
        <f t="shared" ref="E109:M109" si="35">E106-E107</f>
        <v>70.206829819437189</v>
      </c>
      <c r="F109" s="172">
        <f t="shared" si="35"/>
        <v>69.901884779272223</v>
      </c>
      <c r="G109" s="172">
        <f>G106-G107</f>
        <v>735.96367561288207</v>
      </c>
      <c r="H109" s="172">
        <f t="shared" si="35"/>
        <v>778.3042640008789</v>
      </c>
      <c r="I109" s="172">
        <f t="shared" si="35"/>
        <v>774.92003588188163</v>
      </c>
      <c r="J109" s="172">
        <f t="shared" si="35"/>
        <v>771.54938185220453</v>
      </c>
      <c r="K109" s="172">
        <f t="shared" si="35"/>
        <v>768.19228528423992</v>
      </c>
      <c r="L109" s="172">
        <f t="shared" si="35"/>
        <v>764.84872821218414</v>
      </c>
      <c r="M109" s="172">
        <f t="shared" si="35"/>
        <v>761.51869138415714</v>
      </c>
      <c r="N109" s="170">
        <f>SUM(D109:M109)</f>
        <v>5495.4057768271377</v>
      </c>
      <c r="O109" s="170"/>
      <c r="P109" s="19"/>
    </row>
    <row r="110" spans="1:16" ht="14.65" customHeight="1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87"/>
    </row>
    <row r="111" spans="1:16" ht="18" customHeight="1">
      <c r="A111" s="19"/>
      <c r="B111" s="173" t="s">
        <v>518</v>
      </c>
      <c r="C111" s="187">
        <f>C90</f>
        <v>2022</v>
      </c>
      <c r="D111" s="187">
        <f>C111+1</f>
        <v>2023</v>
      </c>
      <c r="E111" s="187">
        <f t="shared" ref="E111:M111" si="36">D111+1</f>
        <v>2024</v>
      </c>
      <c r="F111" s="187">
        <f t="shared" si="36"/>
        <v>2025</v>
      </c>
      <c r="G111" s="187">
        <f t="shared" si="36"/>
        <v>2026</v>
      </c>
      <c r="H111" s="187">
        <f t="shared" si="36"/>
        <v>2027</v>
      </c>
      <c r="I111" s="187">
        <f t="shared" si="36"/>
        <v>2028</v>
      </c>
      <c r="J111" s="187">
        <f t="shared" si="36"/>
        <v>2029</v>
      </c>
      <c r="K111" s="187">
        <f t="shared" si="36"/>
        <v>2030</v>
      </c>
      <c r="L111" s="187">
        <f t="shared" si="36"/>
        <v>2031</v>
      </c>
      <c r="M111" s="187">
        <f t="shared" si="36"/>
        <v>2032</v>
      </c>
      <c r="N111" s="170"/>
      <c r="O111" s="170"/>
      <c r="P111" s="19"/>
    </row>
    <row r="112" spans="1:16" ht="14.65" customHeight="1">
      <c r="A112" s="19"/>
      <c r="B112" s="691" t="s">
        <v>533</v>
      </c>
      <c r="C112" s="692" t="s">
        <v>65</v>
      </c>
      <c r="D112" s="692">
        <f>D86</f>
        <v>0</v>
      </c>
      <c r="E112" s="692">
        <f t="shared" ref="E112:M112" si="37">(D112*1.025)+E86</f>
        <v>5500000</v>
      </c>
      <c r="F112" s="692">
        <f t="shared" si="37"/>
        <v>5637499.9999999991</v>
      </c>
      <c r="G112" s="692">
        <f t="shared" si="37"/>
        <v>5778437.4999999981</v>
      </c>
      <c r="H112" s="692">
        <f t="shared" si="37"/>
        <v>5922898.4374999972</v>
      </c>
      <c r="I112" s="692">
        <f t="shared" si="37"/>
        <v>6070970.8984374963</v>
      </c>
      <c r="J112" s="692">
        <f t="shared" si="37"/>
        <v>6222745.1708984328</v>
      </c>
      <c r="K112" s="692">
        <f t="shared" si="37"/>
        <v>6378313.8001708928</v>
      </c>
      <c r="L112" s="692">
        <f t="shared" si="37"/>
        <v>6537771.6451751646</v>
      </c>
      <c r="M112" s="692">
        <f t="shared" si="37"/>
        <v>6701215.9363045432</v>
      </c>
      <c r="N112" s="170"/>
      <c r="O112" s="170"/>
      <c r="P112" s="19"/>
    </row>
    <row r="113" spans="1:16" ht="14.65" customHeight="1">
      <c r="A113" s="19"/>
      <c r="B113" s="173"/>
      <c r="C113" s="187"/>
      <c r="D113" s="187"/>
      <c r="E113" s="187"/>
      <c r="F113" s="187"/>
      <c r="G113" s="187"/>
      <c r="H113" s="187"/>
      <c r="I113" s="187"/>
      <c r="J113" s="187"/>
      <c r="K113" s="187"/>
      <c r="L113" s="187"/>
      <c r="M113" s="187"/>
      <c r="N113" s="170"/>
      <c r="O113" s="170"/>
      <c r="P113" s="19"/>
    </row>
    <row r="114" spans="1:16" ht="14.65" customHeight="1">
      <c r="A114" s="19"/>
      <c r="B114" s="162" t="s">
        <v>534</v>
      </c>
      <c r="C114" s="176" t="s">
        <v>65</v>
      </c>
      <c r="D114" s="177">
        <f>(SUM(D79:D83)+D112)/(D91/1000)+$D$95</f>
        <v>11.563656416366264</v>
      </c>
      <c r="E114" s="177">
        <f t="shared" ref="E114:M114" si="38">(SUM(E79:E83)+E112)/(E91/1000)+$D$95</f>
        <v>12.248598073398144</v>
      </c>
      <c r="F114" s="177">
        <f t="shared" si="38"/>
        <v>12.193143977742331</v>
      </c>
      <c r="G114" s="177">
        <f t="shared" si="38"/>
        <v>12.970525512626356</v>
      </c>
      <c r="H114" s="177">
        <f t="shared" si="38"/>
        <v>12.941594221405234</v>
      </c>
      <c r="I114" s="177">
        <f t="shared" si="38"/>
        <v>12.848612140894092</v>
      </c>
      <c r="J114" s="177">
        <f t="shared" si="38"/>
        <v>12.677255957364675</v>
      </c>
      <c r="K114" s="177">
        <f t="shared" si="38"/>
        <v>12.588877238684802</v>
      </c>
      <c r="L114" s="177">
        <f t="shared" si="38"/>
        <v>12.512470117425703</v>
      </c>
      <c r="M114" s="177">
        <f t="shared" si="38"/>
        <v>12.435641023431597</v>
      </c>
      <c r="N114" s="174"/>
      <c r="O114" s="174"/>
      <c r="P114" s="87"/>
    </row>
    <row r="115" spans="1:16" ht="14.65" customHeight="1">
      <c r="A115" s="19"/>
      <c r="B115" s="171"/>
      <c r="C115" s="178"/>
      <c r="D115" s="177"/>
      <c r="E115" s="177"/>
      <c r="F115" s="177"/>
      <c r="G115" s="179"/>
      <c r="H115" s="179"/>
      <c r="I115" s="179"/>
      <c r="J115" s="179"/>
      <c r="K115" s="179"/>
      <c r="L115" s="179"/>
      <c r="M115" s="179"/>
      <c r="N115" s="174"/>
      <c r="O115" s="174"/>
      <c r="P115" s="87"/>
    </row>
    <row r="116" spans="1:16" ht="14.65" customHeight="1">
      <c r="A116" s="19"/>
      <c r="B116" s="162" t="s">
        <v>541</v>
      </c>
      <c r="C116" s="176" t="s">
        <v>65</v>
      </c>
      <c r="D116" s="177">
        <f t="shared" ref="D116:M116" si="39">(D97/1000)*D114</f>
        <v>8374.6505163717102</v>
      </c>
      <c r="E116" s="177">
        <f t="shared" si="39"/>
        <v>9130.6896096271776</v>
      </c>
      <c r="F116" s="177">
        <f t="shared" si="39"/>
        <v>9355.7493929021512</v>
      </c>
      <c r="G116" s="177">
        <f t="shared" si="39"/>
        <v>10243.91892911144</v>
      </c>
      <c r="H116" s="177">
        <f t="shared" si="39"/>
        <v>10520.636645647783</v>
      </c>
      <c r="I116" s="177">
        <f t="shared" si="39"/>
        <v>10751.180288856653</v>
      </c>
      <c r="J116" s="177">
        <f t="shared" si="39"/>
        <v>10918.698319895813</v>
      </c>
      <c r="K116" s="177">
        <f t="shared" si="39"/>
        <v>11160.362180784585</v>
      </c>
      <c r="L116" s="177">
        <f t="shared" si="39"/>
        <v>11417.736759486679</v>
      </c>
      <c r="M116" s="177">
        <f t="shared" si="39"/>
        <v>11680.214864809717</v>
      </c>
      <c r="N116" s="170"/>
      <c r="O116" s="170"/>
      <c r="P116" s="87"/>
    </row>
    <row r="117" spans="1:16" ht="14.65" customHeight="1">
      <c r="A117" s="19"/>
      <c r="B117" s="162" t="s">
        <v>519</v>
      </c>
      <c r="C117" s="180" t="s">
        <v>65</v>
      </c>
      <c r="D117" s="181">
        <f t="shared" ref="D117:M117" si="40">(((D97-100000)/1000)*D102)*D114</f>
        <v>108.27427312102625</v>
      </c>
      <c r="E117" s="181">
        <f t="shared" si="40"/>
        <v>118.58744703431043</v>
      </c>
      <c r="F117" s="181">
        <f t="shared" si="40"/>
        <v>122.04652492691878</v>
      </c>
      <c r="G117" s="181">
        <f t="shared" si="40"/>
        <v>134.20299566773207</v>
      </c>
      <c r="H117" s="181">
        <f t="shared" si="40"/>
        <v>138.39715835260887</v>
      </c>
      <c r="I117" s="181">
        <f t="shared" si="40"/>
        <v>141.99478612150864</v>
      </c>
      <c r="J117" s="181">
        <f t="shared" si="40"/>
        <v>144.76459086239018</v>
      </c>
      <c r="K117" s="181">
        <f t="shared" si="40"/>
        <v>148.52211685374155</v>
      </c>
      <c r="L117" s="181">
        <f t="shared" si="40"/>
        <v>152.49734621616162</v>
      </c>
      <c r="M117" s="181">
        <f t="shared" si="40"/>
        <v>156.54976143699835</v>
      </c>
      <c r="N117" s="170"/>
      <c r="O117" s="170"/>
      <c r="P117" s="87"/>
    </row>
    <row r="118" spans="1:16" ht="14.65" customHeight="1">
      <c r="A118" s="19"/>
      <c r="B118" s="169" t="s">
        <v>540</v>
      </c>
      <c r="C118" s="152" t="s">
        <v>65</v>
      </c>
      <c r="D118" s="182">
        <f>D116+D117</f>
        <v>8482.9247894927357</v>
      </c>
      <c r="E118" s="182">
        <f t="shared" ref="E118:M118" si="41">E116+E117</f>
        <v>9249.2770566614872</v>
      </c>
      <c r="F118" s="182">
        <f t="shared" si="41"/>
        <v>9477.7959178290694</v>
      </c>
      <c r="G118" s="182">
        <f t="shared" si="41"/>
        <v>10378.121924779172</v>
      </c>
      <c r="H118" s="182">
        <f t="shared" si="41"/>
        <v>10659.033804000392</v>
      </c>
      <c r="I118" s="182">
        <f t="shared" si="41"/>
        <v>10893.17507497816</v>
      </c>
      <c r="J118" s="182">
        <f t="shared" si="41"/>
        <v>11063.462910758204</v>
      </c>
      <c r="K118" s="182">
        <f t="shared" si="41"/>
        <v>11308.884297638326</v>
      </c>
      <c r="L118" s="182">
        <f t="shared" si="41"/>
        <v>11570.234105702841</v>
      </c>
      <c r="M118" s="182">
        <f t="shared" si="41"/>
        <v>11836.764626246715</v>
      </c>
      <c r="N118" s="170"/>
      <c r="O118" s="170"/>
      <c r="P118" s="87"/>
    </row>
    <row r="119" spans="1:16" ht="14.65" customHeight="1">
      <c r="A119" s="19"/>
      <c r="B119" s="171"/>
      <c r="C119" s="183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70"/>
      <c r="O119" s="170"/>
      <c r="P119" s="87"/>
    </row>
    <row r="120" spans="1:16" ht="14.65" customHeight="1">
      <c r="A120" s="19"/>
      <c r="B120" s="675" t="s">
        <v>750</v>
      </c>
      <c r="C120" s="676" t="s">
        <v>65</v>
      </c>
      <c r="D120" s="677">
        <f t="shared" ref="D120:M120" si="42">D118-D107</f>
        <v>0</v>
      </c>
      <c r="E120" s="677">
        <f t="shared" si="42"/>
        <v>553.26089871109434</v>
      </c>
      <c r="F120" s="677">
        <f t="shared" si="42"/>
        <v>562.8816945995186</v>
      </c>
      <c r="G120" s="677">
        <f>G118-G107</f>
        <v>1239.0723675741574</v>
      </c>
      <c r="H120" s="677">
        <f t="shared" si="42"/>
        <v>1291.7491437597</v>
      </c>
      <c r="I120" s="677">
        <f t="shared" si="42"/>
        <v>1298.9126588514519</v>
      </c>
      <c r="J120" s="677">
        <f t="shared" si="42"/>
        <v>1306.305640263281</v>
      </c>
      <c r="K120" s="677">
        <f t="shared" si="42"/>
        <v>1313.9324970299913</v>
      </c>
      <c r="L120" s="677">
        <f t="shared" si="42"/>
        <v>1321.7977275136782</v>
      </c>
      <c r="M120" s="678">
        <f t="shared" si="42"/>
        <v>1329.9059213137371</v>
      </c>
      <c r="N120" s="170">
        <f>SUM(D120:M120)</f>
        <v>10217.81854961661</v>
      </c>
      <c r="O120" s="170"/>
      <c r="P120" s="87"/>
    </row>
    <row r="121" spans="1:16" ht="14.65" customHeight="1">
      <c r="A121" s="19"/>
      <c r="B121" s="175"/>
      <c r="C121" s="180"/>
      <c r="D121" s="181"/>
      <c r="E121" s="181"/>
      <c r="F121" s="181"/>
      <c r="G121" s="181"/>
      <c r="H121" s="181"/>
      <c r="I121" s="181"/>
      <c r="J121" s="181"/>
      <c r="K121" s="181"/>
      <c r="L121" s="181"/>
      <c r="M121" s="181"/>
      <c r="N121" s="170"/>
      <c r="O121" s="170"/>
      <c r="P121" s="87"/>
    </row>
    <row r="122" spans="1:16" ht="14.65" customHeight="1">
      <c r="A122" s="19"/>
      <c r="B122" s="488" t="s">
        <v>542</v>
      </c>
      <c r="C122" s="180" t="s">
        <v>65</v>
      </c>
      <c r="D122" s="181">
        <f t="shared" ref="D122:M122" si="43">D118-D109</f>
        <v>8482.9247894927357</v>
      </c>
      <c r="E122" s="181">
        <f t="shared" si="43"/>
        <v>9179.07022684205</v>
      </c>
      <c r="F122" s="181">
        <f t="shared" si="43"/>
        <v>9407.8940330497971</v>
      </c>
      <c r="G122" s="181">
        <f>G118-G109</f>
        <v>9642.1582491662903</v>
      </c>
      <c r="H122" s="181">
        <f t="shared" si="43"/>
        <v>9880.7295399995128</v>
      </c>
      <c r="I122" s="181">
        <f t="shared" si="43"/>
        <v>10118.255039096279</v>
      </c>
      <c r="J122" s="181">
        <f t="shared" si="43"/>
        <v>10291.913528906</v>
      </c>
      <c r="K122" s="181">
        <f t="shared" si="43"/>
        <v>10540.692012354086</v>
      </c>
      <c r="L122" s="181">
        <f t="shared" si="43"/>
        <v>10805.385377490657</v>
      </c>
      <c r="M122" s="181">
        <f t="shared" si="43"/>
        <v>11075.245934862558</v>
      </c>
      <c r="N122" s="170"/>
      <c r="O122" s="170"/>
      <c r="P122" s="87"/>
    </row>
    <row r="123" spans="1:16" ht="14.65" customHeight="1">
      <c r="A123" s="19"/>
      <c r="B123" s="175"/>
      <c r="C123" s="180"/>
      <c r="D123" s="181"/>
      <c r="E123" s="181"/>
      <c r="F123" s="181"/>
      <c r="G123" s="181"/>
      <c r="H123" s="181"/>
      <c r="I123" s="181"/>
      <c r="J123" s="181"/>
      <c r="K123" s="181"/>
      <c r="L123" s="181"/>
      <c r="M123" s="181"/>
      <c r="N123" s="170"/>
      <c r="O123" s="170"/>
      <c r="P123" s="87"/>
    </row>
    <row r="124" spans="1:16" ht="14.65" customHeight="1">
      <c r="A124" s="19"/>
      <c r="B124" s="175" t="s">
        <v>543</v>
      </c>
      <c r="C124" s="180" t="s">
        <v>65</v>
      </c>
      <c r="D124" s="181">
        <f t="shared" ref="D124:M124" si="44">D122-D107</f>
        <v>0</v>
      </c>
      <c r="E124" s="181">
        <f t="shared" si="44"/>
        <v>483.05406889165715</v>
      </c>
      <c r="F124" s="181">
        <f t="shared" si="44"/>
        <v>492.97980982024637</v>
      </c>
      <c r="G124" s="181">
        <f>G122-G107</f>
        <v>503.10869196127533</v>
      </c>
      <c r="H124" s="181">
        <f t="shared" si="44"/>
        <v>513.44487975882112</v>
      </c>
      <c r="I124" s="181">
        <f t="shared" si="44"/>
        <v>523.99262296957022</v>
      </c>
      <c r="J124" s="181">
        <f t="shared" si="44"/>
        <v>534.75625841107649</v>
      </c>
      <c r="K124" s="181">
        <f t="shared" si="44"/>
        <v>545.74021174575137</v>
      </c>
      <c r="L124" s="181">
        <f t="shared" si="44"/>
        <v>556.94899930149404</v>
      </c>
      <c r="M124" s="181">
        <f t="shared" si="44"/>
        <v>568.38722992957992</v>
      </c>
      <c r="N124" s="170">
        <f>SUM(D124:M124)</f>
        <v>4722.412772789472</v>
      </c>
      <c r="O124" s="170"/>
      <c r="P124" s="87"/>
    </row>
    <row r="125" spans="1:16" ht="14.65" customHeight="1">
      <c r="A125" s="19"/>
      <c r="B125" s="162"/>
      <c r="C125" s="183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70"/>
      <c r="O125" s="170"/>
      <c r="P125" s="87"/>
    </row>
    <row r="126" spans="1:16" ht="14.65" customHeight="1">
      <c r="A126" s="19"/>
      <c r="B126" s="487" t="s">
        <v>550</v>
      </c>
      <c r="C126" s="489" t="s">
        <v>65</v>
      </c>
      <c r="D126" s="490">
        <f t="shared" ref="D126:M126" si="45">D118-C107</f>
        <v>73.607589492734405</v>
      </c>
      <c r="E126" s="490">
        <f>E118-D107</f>
        <v>766.3522671687515</v>
      </c>
      <c r="F126" s="490">
        <f t="shared" si="45"/>
        <v>781.77975987867649</v>
      </c>
      <c r="G126" s="490">
        <f t="shared" si="45"/>
        <v>1463.2077015496216</v>
      </c>
      <c r="H126" s="490">
        <f t="shared" si="45"/>
        <v>1519.9842467953767</v>
      </c>
      <c r="I126" s="490">
        <f t="shared" si="45"/>
        <v>1525.8904147374687</v>
      </c>
      <c r="J126" s="490">
        <f t="shared" si="45"/>
        <v>1469.2004946314955</v>
      </c>
      <c r="K126" s="490">
        <f t="shared" si="45"/>
        <v>1551.7270271434027</v>
      </c>
      <c r="L126" s="490">
        <f t="shared" si="45"/>
        <v>1575.2823050945062</v>
      </c>
      <c r="M126" s="491">
        <f t="shared" si="45"/>
        <v>1588.3282480575526</v>
      </c>
      <c r="N126" s="170">
        <f>SUM(D126:M126)</f>
        <v>12315.360054549586</v>
      </c>
      <c r="O126" s="170"/>
      <c r="P126" s="87"/>
    </row>
    <row r="127" spans="1:16" ht="14.65" customHeight="1">
      <c r="A127" s="19"/>
      <c r="B127" s="162"/>
      <c r="C127" s="183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70"/>
      <c r="O127" s="170"/>
      <c r="P127" s="87"/>
    </row>
    <row r="128" spans="1:16" ht="14.65" customHeight="1">
      <c r="A128" s="19"/>
      <c r="B128" s="169" t="s">
        <v>551</v>
      </c>
      <c r="C128" s="183" t="s">
        <v>65</v>
      </c>
      <c r="D128" s="239">
        <f t="shared" ref="D128:M128" si="46">D126/C107</f>
        <v>8.7530994184324973E-3</v>
      </c>
      <c r="E128" s="185">
        <f t="shared" si="46"/>
        <v>9.0340570756678604E-2</v>
      </c>
      <c r="F128" s="185">
        <f t="shared" si="46"/>
        <v>8.9900909299016077E-2</v>
      </c>
      <c r="G128" s="185">
        <f t="shared" si="46"/>
        <v>0.16413031745576956</v>
      </c>
      <c r="H128" s="185">
        <f t="shared" si="46"/>
        <v>0.16631754071155641</v>
      </c>
      <c r="I128" s="185">
        <f t="shared" si="46"/>
        <v>0.16289570244556453</v>
      </c>
      <c r="J128" s="185">
        <f t="shared" si="46"/>
        <v>0.15313324056698308</v>
      </c>
      <c r="K128" s="185">
        <f t="shared" si="46"/>
        <v>0.15903474589220112</v>
      </c>
      <c r="L128" s="185">
        <f t="shared" si="46"/>
        <v>0.15760779406646344</v>
      </c>
      <c r="M128" s="185">
        <f t="shared" si="46"/>
        <v>0.15498249581154161</v>
      </c>
      <c r="N128" s="170"/>
      <c r="O128" s="170"/>
      <c r="P128" s="87"/>
    </row>
    <row r="129" spans="1:16" s="2" customFormat="1">
      <c r="A129" s="152"/>
      <c r="B129" s="152"/>
      <c r="C129" s="152"/>
      <c r="D129" s="152"/>
      <c r="E129" s="152"/>
      <c r="F129" s="152"/>
      <c r="G129" s="152"/>
      <c r="H129" s="152"/>
      <c r="I129" s="152"/>
      <c r="J129" s="152"/>
      <c r="K129" s="152"/>
      <c r="L129" s="152"/>
      <c r="M129" s="152"/>
      <c r="N129" s="152"/>
      <c r="O129" s="152"/>
      <c r="P129" s="152"/>
    </row>
    <row r="305" spans="4:4">
      <c r="D305">
        <v>0.03</v>
      </c>
    </row>
  </sheetData>
  <sheetProtection algorithmName="SHA-512" hashValue="MaG6ZK36/CMvGKISz4EsDWfMI7RyH+BQ1gqNTaH9zTvXMvuKGjb7lu3v/vCsXuGpttb8+1xzEjOTGxdY0aXMgg==" saltValue="blCYtj1MGAFyzR2bacUxQA==" spinCount="100000" sheet="1" objects="1" scenarios="1"/>
  <mergeCells count="3">
    <mergeCell ref="D2:N2"/>
    <mergeCell ref="N3:O3"/>
    <mergeCell ref="N39:O39"/>
  </mergeCells>
  <phoneticPr fontId="16" type="noConversion"/>
  <printOptions headings="1" gridLines="1"/>
  <pageMargins left="0.45" right="0.45" top="0.5" bottom="0.5" header="0.3" footer="0.3"/>
  <pageSetup scale="44" orientation="landscape" cellComments="asDisplayed" r:id="rId1"/>
  <headerFooter>
    <oddHeader>&amp;L&amp;F&amp;RPage &amp;P of &amp;N</oddHeader>
    <oddFooter>&amp;L&amp;A&amp;R&amp;D &amp;T</oddFooter>
  </headerFooter>
  <rowBreaks count="1" manualBreakCount="1">
    <brk id="77" max="14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99"/>
  <sheetViews>
    <sheetView view="pageBreakPreview" zoomScale="75" zoomScaleNormal="125" zoomScaleSheetLayoutView="75" workbookViewId="0">
      <selection activeCell="E67" sqref="E67"/>
    </sheetView>
  </sheetViews>
  <sheetFormatPr defaultColWidth="12.42578125" defaultRowHeight="15.75"/>
  <cols>
    <col min="1" max="1" width="3.7109375" style="370" customWidth="1"/>
    <col min="2" max="2" width="70.42578125" style="393" customWidth="1"/>
    <col min="3" max="4" width="14.28515625" style="373" customWidth="1"/>
    <col min="5" max="8" width="16.42578125" style="373" customWidth="1"/>
    <col min="9" max="9" width="16.42578125" style="371" customWidth="1"/>
    <col min="10" max="10" width="3.7109375" style="371" customWidth="1"/>
    <col min="11" max="12" width="12.42578125" style="371"/>
    <col min="13" max="13" width="12.42578125" style="371" bestFit="1" customWidth="1"/>
    <col min="14" max="14" width="12.28515625" style="371" bestFit="1" customWidth="1"/>
    <col min="15" max="18" width="12.42578125" style="371" bestFit="1" customWidth="1"/>
    <col min="19" max="21" width="12.42578125" style="371"/>
    <col min="22" max="16384" width="12.42578125" style="370"/>
  </cols>
  <sheetData>
    <row r="1" spans="2:30" ht="16.5" thickBot="1">
      <c r="I1" s="422"/>
      <c r="J1" s="422"/>
    </row>
    <row r="2" spans="2:30" ht="21" thickTop="1">
      <c r="B2" s="368" t="s">
        <v>654</v>
      </c>
      <c r="C2" s="369"/>
      <c r="D2" s="369"/>
      <c r="E2" s="369"/>
      <c r="F2" s="369"/>
      <c r="G2" s="369"/>
      <c r="H2" s="369"/>
      <c r="I2" s="450" t="s">
        <v>37</v>
      </c>
      <c r="J2" s="422"/>
    </row>
    <row r="3" spans="2:30">
      <c r="B3" s="372" t="s">
        <v>782</v>
      </c>
      <c r="I3" s="424"/>
      <c r="J3" s="422"/>
    </row>
    <row r="4" spans="2:30" ht="10.15" customHeight="1">
      <c r="B4" s="372"/>
      <c r="I4" s="424"/>
      <c r="J4" s="422"/>
    </row>
    <row r="5" spans="2:30" s="374" customFormat="1">
      <c r="B5" s="405" t="s">
        <v>601</v>
      </c>
      <c r="C5" s="406">
        <v>2021</v>
      </c>
      <c r="D5" s="406">
        <f>+C5+1</f>
        <v>2022</v>
      </c>
      <c r="E5" s="406">
        <f t="shared" ref="E5:I5" si="0">+D5+1</f>
        <v>2023</v>
      </c>
      <c r="F5" s="406">
        <f t="shared" si="0"/>
        <v>2024</v>
      </c>
      <c r="G5" s="406">
        <f t="shared" si="0"/>
        <v>2025</v>
      </c>
      <c r="H5" s="406">
        <f t="shared" si="0"/>
        <v>2026</v>
      </c>
      <c r="I5" s="479">
        <f t="shared" si="0"/>
        <v>2027</v>
      </c>
      <c r="J5" s="422"/>
      <c r="K5" s="371"/>
      <c r="L5" s="371"/>
      <c r="M5" s="371"/>
      <c r="N5" s="371"/>
      <c r="O5" s="371"/>
      <c r="P5" s="371"/>
      <c r="Q5" s="371"/>
      <c r="R5" s="371"/>
      <c r="S5" s="371"/>
      <c r="T5" s="371"/>
      <c r="U5" s="371"/>
      <c r="V5" s="370"/>
      <c r="W5" s="370"/>
      <c r="X5" s="370"/>
      <c r="Y5" s="370"/>
      <c r="Z5" s="370"/>
      <c r="AA5" s="370"/>
      <c r="AB5" s="370"/>
      <c r="AC5" s="370"/>
      <c r="AD5" s="370"/>
    </row>
    <row r="6" spans="2:30" ht="15" customHeight="1">
      <c r="B6" s="375" t="s">
        <v>608</v>
      </c>
      <c r="C6" s="407"/>
      <c r="D6" s="408"/>
      <c r="E6" s="407"/>
      <c r="F6" s="407"/>
      <c r="G6" s="407"/>
      <c r="H6" s="407"/>
      <c r="I6" s="425"/>
      <c r="J6" s="422"/>
    </row>
    <row r="7" spans="2:30">
      <c r="B7" s="376" t="s">
        <v>602</v>
      </c>
      <c r="C7" s="397">
        <v>82762765</v>
      </c>
      <c r="D7" s="398">
        <f>86504900</f>
        <v>86504900</v>
      </c>
      <c r="E7" s="398">
        <f>SUM(D7:D10)</f>
        <v>89359593.5</v>
      </c>
      <c r="F7" s="398">
        <f>SUM(E7:E10)</f>
        <v>92243583.337500006</v>
      </c>
      <c r="G7" s="398">
        <f t="shared" ref="G7:H7" si="1">SUM(F7:F10)</f>
        <v>100699672.92093751</v>
      </c>
      <c r="H7" s="398">
        <f t="shared" si="1"/>
        <v>103867164.74396095</v>
      </c>
      <c r="I7" s="426">
        <f>SUM(H7:H10)</f>
        <v>107113843.86255997</v>
      </c>
      <c r="J7" s="422"/>
    </row>
    <row r="8" spans="2:30">
      <c r="B8" s="376" t="s">
        <v>603</v>
      </c>
      <c r="C8" s="397">
        <v>2069069</v>
      </c>
      <c r="D8" s="398">
        <f>D7*0.025</f>
        <v>2162622.5</v>
      </c>
      <c r="E8" s="398">
        <f>E7*0.025</f>
        <v>2233989.8374999999</v>
      </c>
      <c r="F8" s="398">
        <f>F7*0.025</f>
        <v>2306089.5834375001</v>
      </c>
      <c r="G8" s="398">
        <f t="shared" ref="G8:I8" si="2">G7*0.025</f>
        <v>2517491.823023438</v>
      </c>
      <c r="H8" s="398">
        <f t="shared" si="2"/>
        <v>2596679.1185990237</v>
      </c>
      <c r="I8" s="426">
        <f t="shared" si="2"/>
        <v>2677846.0965639995</v>
      </c>
      <c r="J8" s="422"/>
    </row>
    <row r="9" spans="2:30" ht="16.5" thickBot="1">
      <c r="B9" s="735" t="s">
        <v>604</v>
      </c>
      <c r="C9" s="397">
        <v>1676856</v>
      </c>
      <c r="D9" s="398">
        <v>692071</v>
      </c>
      <c r="E9" s="737">
        <v>650000</v>
      </c>
      <c r="F9" s="737">
        <f>+E9</f>
        <v>650000</v>
      </c>
      <c r="G9" s="737">
        <f>+F9</f>
        <v>650000</v>
      </c>
      <c r="H9" s="737">
        <f>+G9</f>
        <v>650000</v>
      </c>
      <c r="I9" s="738">
        <f>+H9</f>
        <v>650000</v>
      </c>
      <c r="J9" s="422"/>
    </row>
    <row r="10" spans="2:30" ht="17.25" thickTop="1" thickBot="1">
      <c r="B10" s="404" t="s">
        <v>666</v>
      </c>
      <c r="C10" s="409"/>
      <c r="D10" s="402"/>
      <c r="E10" s="403">
        <f>Model!D86</f>
        <v>0</v>
      </c>
      <c r="F10" s="403">
        <f>Model!E$86</f>
        <v>5500000</v>
      </c>
      <c r="G10" s="403">
        <f>Model!F$86</f>
        <v>0</v>
      </c>
      <c r="H10" s="403">
        <f>Model!G$86</f>
        <v>0</v>
      </c>
      <c r="I10" s="427">
        <f>Model!H$86</f>
        <v>0</v>
      </c>
      <c r="J10" s="422"/>
    </row>
    <row r="11" spans="2:30" ht="17.25" thickTop="1" thickBot="1">
      <c r="B11" s="376" t="s">
        <v>605</v>
      </c>
      <c r="C11" s="397">
        <f>'Fifteen-Year Debt Schedule'!AA$22</f>
        <v>3400160.0855555548</v>
      </c>
      <c r="D11" s="397">
        <f>'Fifteen-Year Debt Schedule'!AB$22</f>
        <v>3627940.5055555552</v>
      </c>
      <c r="E11" s="397">
        <f>'Fifteen-Year Debt Schedule'!AC$22</f>
        <v>3506881.6655555554</v>
      </c>
      <c r="F11" s="397">
        <f>'Fifteen-Year Debt Schedule'!AD$22</f>
        <v>3382310.6255555558</v>
      </c>
      <c r="G11" s="397">
        <f>'Fifteen-Year Debt Schedule'!AE$22</f>
        <v>3272922.1655555558</v>
      </c>
      <c r="H11" s="397">
        <f>'Fifteen-Year Debt Schedule'!AF$22</f>
        <v>3171337.6355555556</v>
      </c>
      <c r="I11" s="428">
        <f>'Fifteen-Year Debt Schedule'!AG$22</f>
        <v>3063473.2755555552</v>
      </c>
      <c r="J11" s="422"/>
    </row>
    <row r="12" spans="2:30" ht="17.25" thickTop="1" thickBot="1">
      <c r="B12" s="404" t="s">
        <v>667</v>
      </c>
      <c r="C12" s="397"/>
      <c r="D12" s="397"/>
      <c r="E12" s="477">
        <f>Model!D$83</f>
        <v>0</v>
      </c>
      <c r="F12" s="477">
        <f>Model!E$83</f>
        <v>799367.17</v>
      </c>
      <c r="G12" s="477">
        <f>Model!F$83</f>
        <v>799367.17</v>
      </c>
      <c r="H12" s="477">
        <f>Model!G$83</f>
        <v>8452885.370000001</v>
      </c>
      <c r="I12" s="478">
        <f>Model!H$83</f>
        <v>8978212.2500000019</v>
      </c>
      <c r="J12" s="422"/>
    </row>
    <row r="13" spans="2:30" ht="16.5" thickTop="1">
      <c r="B13" s="376" t="s">
        <v>606</v>
      </c>
      <c r="C13" s="397">
        <v>-500000</v>
      </c>
      <c r="D13" s="398">
        <v>0</v>
      </c>
      <c r="E13" s="398">
        <v>0</v>
      </c>
      <c r="F13" s="398">
        <v>0</v>
      </c>
      <c r="G13" s="398">
        <v>0</v>
      </c>
      <c r="H13" s="398">
        <v>0</v>
      </c>
      <c r="I13" s="426">
        <v>0</v>
      </c>
      <c r="J13" s="422"/>
    </row>
    <row r="14" spans="2:30">
      <c r="B14" s="376" t="s">
        <v>607</v>
      </c>
      <c r="C14" s="397">
        <v>0</v>
      </c>
      <c r="D14" s="398">
        <v>0</v>
      </c>
      <c r="E14" s="398">
        <v>0</v>
      </c>
      <c r="F14" s="398">
        <v>0</v>
      </c>
      <c r="G14" s="398">
        <v>0</v>
      </c>
      <c r="H14" s="398">
        <v>0</v>
      </c>
      <c r="I14" s="426">
        <v>0</v>
      </c>
      <c r="J14" s="422"/>
    </row>
    <row r="15" spans="2:30">
      <c r="B15" s="376"/>
      <c r="C15" s="399" t="s">
        <v>585</v>
      </c>
      <c r="D15" s="399" t="s">
        <v>585</v>
      </c>
      <c r="E15" s="399" t="s">
        <v>585</v>
      </c>
      <c r="F15" s="399" t="s">
        <v>585</v>
      </c>
      <c r="G15" s="399" t="s">
        <v>585</v>
      </c>
      <c r="H15" s="399" t="s">
        <v>585</v>
      </c>
      <c r="I15" s="429" t="s">
        <v>585</v>
      </c>
      <c r="J15" s="422"/>
    </row>
    <row r="16" spans="2:30">
      <c r="B16" s="375" t="s">
        <v>586</v>
      </c>
      <c r="C16" s="400">
        <f>SUM(C7:C14)</f>
        <v>89408850.085555553</v>
      </c>
      <c r="D16" s="400">
        <f t="shared" ref="D16:H16" si="3">SUM(D7:D14)</f>
        <v>92987534.005555555</v>
      </c>
      <c r="E16" s="686">
        <f>SUM(E7:E14)</f>
        <v>95750465.003055558</v>
      </c>
      <c r="F16" s="686">
        <f>SUM(F7:F14)</f>
        <v>104881350.71649307</v>
      </c>
      <c r="G16" s="686">
        <f>SUM(G7:G14)</f>
        <v>107939454.0795165</v>
      </c>
      <c r="H16" s="686">
        <f t="shared" si="3"/>
        <v>118738066.86811553</v>
      </c>
      <c r="I16" s="687">
        <f>SUM(I7:I14)</f>
        <v>122483375.48467952</v>
      </c>
      <c r="J16" s="422"/>
    </row>
    <row r="17" spans="2:10" ht="12" customHeight="1">
      <c r="B17" s="376"/>
      <c r="C17" s="397"/>
      <c r="D17" s="379"/>
      <c r="E17" s="379"/>
      <c r="F17" s="379"/>
      <c r="G17" s="379"/>
      <c r="H17" s="379"/>
      <c r="I17" s="431"/>
      <c r="J17" s="422"/>
    </row>
    <row r="18" spans="2:10">
      <c r="B18" s="375" t="s">
        <v>587</v>
      </c>
      <c r="C18" s="400">
        <f>SUM(C19:C29)</f>
        <v>44296055</v>
      </c>
      <c r="D18" s="400">
        <f t="shared" ref="D18:I18" si="4">SUM(D19:D29)</f>
        <v>45273090</v>
      </c>
      <c r="E18" s="400">
        <f t="shared" si="4"/>
        <v>41707886</v>
      </c>
      <c r="F18" s="400">
        <f t="shared" si="4"/>
        <v>40636606.924999997</v>
      </c>
      <c r="G18" s="400">
        <f t="shared" si="4"/>
        <v>41061238.748124994</v>
      </c>
      <c r="H18" s="400">
        <f t="shared" si="4"/>
        <v>41498986.366828121</v>
      </c>
      <c r="I18" s="430">
        <f t="shared" si="4"/>
        <v>41950177.675998822</v>
      </c>
      <c r="J18" s="422"/>
    </row>
    <row r="19" spans="2:10">
      <c r="B19" s="376" t="s">
        <v>588</v>
      </c>
      <c r="C19" s="397">
        <v>11742465</v>
      </c>
      <c r="D19" s="398">
        <f t="shared" ref="D19" si="5">10139491</f>
        <v>10139491</v>
      </c>
      <c r="E19" s="381">
        <f>10304961</f>
        <v>10304961</v>
      </c>
      <c r="F19" s="381">
        <f t="shared" ref="F19:I19" si="6">E19*1.025</f>
        <v>10562585.024999999</v>
      </c>
      <c r="G19" s="381">
        <f t="shared" si="6"/>
        <v>10826649.650624998</v>
      </c>
      <c r="H19" s="381">
        <f t="shared" si="6"/>
        <v>11097315.891890623</v>
      </c>
      <c r="I19" s="432">
        <f t="shared" si="6"/>
        <v>11374748.789187888</v>
      </c>
      <c r="J19" s="422"/>
    </row>
    <row r="20" spans="2:10">
      <c r="B20" s="376" t="s">
        <v>589</v>
      </c>
      <c r="C20" s="397">
        <f>11616746</f>
        <v>11616746</v>
      </c>
      <c r="D20" s="398">
        <v>9257767</v>
      </c>
      <c r="E20" s="381">
        <f>10168476</f>
        <v>10168476</v>
      </c>
      <c r="F20" s="381">
        <f>E20*1.025</f>
        <v>10422687.899999999</v>
      </c>
      <c r="G20" s="381">
        <f t="shared" ref="G20:I20" si="7">F20*1.025</f>
        <v>10683255.097499998</v>
      </c>
      <c r="H20" s="381">
        <f t="shared" si="7"/>
        <v>10950336.474937497</v>
      </c>
      <c r="I20" s="432">
        <f t="shared" si="7"/>
        <v>11224094.886810932</v>
      </c>
      <c r="J20" s="422"/>
    </row>
    <row r="21" spans="2:10">
      <c r="B21" s="376" t="s">
        <v>781</v>
      </c>
      <c r="C21" s="397"/>
      <c r="D21" s="398"/>
      <c r="E21" s="381">
        <f>1383115</f>
        <v>1383115</v>
      </c>
      <c r="F21" s="381"/>
      <c r="G21" s="381"/>
      <c r="H21" s="381"/>
      <c r="I21" s="432"/>
      <c r="J21" s="422"/>
    </row>
    <row r="22" spans="2:10">
      <c r="B22" s="376" t="s">
        <v>780</v>
      </c>
      <c r="C22" s="397">
        <f>4783337</f>
        <v>4783337</v>
      </c>
      <c r="D22" s="410">
        <v>6759009</v>
      </c>
      <c r="E22" s="390">
        <v>0</v>
      </c>
      <c r="F22" s="390">
        <v>0</v>
      </c>
      <c r="G22" s="390">
        <v>0</v>
      </c>
      <c r="H22" s="390">
        <v>0</v>
      </c>
      <c r="I22" s="433">
        <v>0</v>
      </c>
      <c r="J22" s="422"/>
    </row>
    <row r="23" spans="2:10">
      <c r="B23" s="376" t="s">
        <v>590</v>
      </c>
      <c r="C23" s="397">
        <v>1829220</v>
      </c>
      <c r="D23" s="398">
        <v>1906957</v>
      </c>
      <c r="E23" s="381">
        <v>1988015</v>
      </c>
      <c r="F23" s="381">
        <f>E23</f>
        <v>1988015</v>
      </c>
      <c r="G23" s="381">
        <f t="shared" ref="G23:I26" si="8">F23</f>
        <v>1988015</v>
      </c>
      <c r="H23" s="381">
        <f t="shared" si="8"/>
        <v>1988015</v>
      </c>
      <c r="I23" s="739">
        <f t="shared" si="8"/>
        <v>1988015</v>
      </c>
      <c r="J23" s="422"/>
    </row>
    <row r="24" spans="2:10">
      <c r="B24" s="376" t="s">
        <v>591</v>
      </c>
      <c r="C24" s="397">
        <v>10467539</v>
      </c>
      <c r="D24" s="398">
        <v>12425312</v>
      </c>
      <c r="E24" s="381">
        <v>12881442</v>
      </c>
      <c r="F24" s="381">
        <f>E24</f>
        <v>12881442</v>
      </c>
      <c r="G24" s="381">
        <f t="shared" si="8"/>
        <v>12881442</v>
      </c>
      <c r="H24" s="381">
        <f t="shared" si="8"/>
        <v>12881442</v>
      </c>
      <c r="I24" s="432">
        <f t="shared" si="8"/>
        <v>12881442</v>
      </c>
      <c r="J24" s="422"/>
    </row>
    <row r="25" spans="2:10">
      <c r="B25" s="376" t="s">
        <v>592</v>
      </c>
      <c r="C25" s="397">
        <v>2688025</v>
      </c>
      <c r="D25" s="398">
        <v>3839968</v>
      </c>
      <c r="E25" s="381">
        <v>3703041</v>
      </c>
      <c r="F25" s="381">
        <f>E25</f>
        <v>3703041</v>
      </c>
      <c r="G25" s="381">
        <f t="shared" si="8"/>
        <v>3703041</v>
      </c>
      <c r="H25" s="381">
        <f t="shared" si="8"/>
        <v>3703041</v>
      </c>
      <c r="I25" s="432">
        <f t="shared" si="8"/>
        <v>3703041</v>
      </c>
      <c r="J25" s="422"/>
    </row>
    <row r="26" spans="2:10">
      <c r="B26" s="376" t="s">
        <v>593</v>
      </c>
      <c r="C26" s="397">
        <v>481387</v>
      </c>
      <c r="D26" s="398">
        <v>500000</v>
      </c>
      <c r="E26" s="381">
        <v>500000</v>
      </c>
      <c r="F26" s="381">
        <f>E26</f>
        <v>500000</v>
      </c>
      <c r="G26" s="381">
        <f t="shared" si="8"/>
        <v>500000</v>
      </c>
      <c r="H26" s="381">
        <f t="shared" si="8"/>
        <v>500000</v>
      </c>
      <c r="I26" s="432">
        <f t="shared" si="8"/>
        <v>500000</v>
      </c>
      <c r="J26" s="422"/>
    </row>
    <row r="27" spans="2:10">
      <c r="B27" s="735" t="s">
        <v>594</v>
      </c>
      <c r="C27" s="397">
        <f>178836</f>
        <v>178836</v>
      </c>
      <c r="D27" s="398">
        <v>178836</v>
      </c>
      <c r="E27" s="732">
        <v>178836</v>
      </c>
      <c r="F27" s="732">
        <f>E27</f>
        <v>178836</v>
      </c>
      <c r="G27" s="732">
        <f t="shared" ref="G27:I27" si="9">F27</f>
        <v>178836</v>
      </c>
      <c r="H27" s="732">
        <f t="shared" si="9"/>
        <v>178836</v>
      </c>
      <c r="I27" s="733">
        <f t="shared" si="9"/>
        <v>178836</v>
      </c>
      <c r="J27" s="422"/>
    </row>
    <row r="28" spans="2:10">
      <c r="B28" s="376" t="s">
        <v>595</v>
      </c>
      <c r="C28" s="397">
        <v>450000</v>
      </c>
      <c r="D28" s="398">
        <v>225000</v>
      </c>
      <c r="E28" s="381">
        <f>600000</f>
        <v>600000</v>
      </c>
      <c r="F28" s="381">
        <f>400000</f>
        <v>400000</v>
      </c>
      <c r="G28" s="381">
        <f>300000</f>
        <v>300000</v>
      </c>
      <c r="H28" s="381">
        <f>200000</f>
        <v>200000</v>
      </c>
      <c r="I28" s="432">
        <f>100000</f>
        <v>100000</v>
      </c>
      <c r="J28" s="422"/>
    </row>
    <row r="29" spans="2:10" ht="16.5" thickBot="1">
      <c r="B29" s="376" t="s">
        <v>596</v>
      </c>
      <c r="C29" s="397">
        <v>58500</v>
      </c>
      <c r="D29" s="398">
        <v>40750</v>
      </c>
      <c r="E29" s="381">
        <v>0</v>
      </c>
      <c r="F29" s="381">
        <v>0</v>
      </c>
      <c r="G29" s="381">
        <v>0</v>
      </c>
      <c r="H29" s="381">
        <v>0</v>
      </c>
      <c r="I29" s="432">
        <v>0</v>
      </c>
      <c r="J29" s="422"/>
    </row>
    <row r="30" spans="2:10" ht="17.25" thickTop="1" thickBot="1">
      <c r="B30" s="404" t="s">
        <v>655</v>
      </c>
      <c r="C30" s="409"/>
      <c r="D30" s="402"/>
      <c r="E30" s="403">
        <f>Dashboard!$L6</f>
        <v>2827048</v>
      </c>
      <c r="F30" s="403">
        <f>Dashboard!$L7</f>
        <v>0</v>
      </c>
      <c r="G30" s="403">
        <f>Dashboard!$L8</f>
        <v>0</v>
      </c>
      <c r="H30" s="403">
        <f>Dashboard!$L9</f>
        <v>0</v>
      </c>
      <c r="I30" s="427">
        <f>Dashboard!$L9</f>
        <v>0</v>
      </c>
      <c r="J30" s="422"/>
    </row>
    <row r="31" spans="2:10" ht="16.5" thickTop="1">
      <c r="B31" s="376"/>
      <c r="C31" s="399" t="s">
        <v>585</v>
      </c>
      <c r="D31" s="399" t="s">
        <v>585</v>
      </c>
      <c r="E31" s="399" t="s">
        <v>585</v>
      </c>
      <c r="F31" s="399" t="s">
        <v>585</v>
      </c>
      <c r="G31" s="399" t="s">
        <v>585</v>
      </c>
      <c r="H31" s="399" t="s">
        <v>585</v>
      </c>
      <c r="I31" s="429" t="s">
        <v>585</v>
      </c>
      <c r="J31" s="422"/>
    </row>
    <row r="32" spans="2:10">
      <c r="B32" s="375" t="s">
        <v>598</v>
      </c>
      <c r="C32" s="400">
        <f>C18+C30</f>
        <v>44296055</v>
      </c>
      <c r="D32" s="400">
        <f t="shared" ref="D32:H32" si="10">D18+D30</f>
        <v>45273090</v>
      </c>
      <c r="E32" s="400">
        <f>E18+E30</f>
        <v>44534934</v>
      </c>
      <c r="F32" s="400">
        <f t="shared" si="10"/>
        <v>40636606.924999997</v>
      </c>
      <c r="G32" s="400">
        <f t="shared" si="10"/>
        <v>41061238.748124994</v>
      </c>
      <c r="H32" s="400">
        <f t="shared" si="10"/>
        <v>41498986.366828121</v>
      </c>
      <c r="I32" s="430">
        <f t="shared" ref="I32" si="11">I18+I30</f>
        <v>41950177.675998822</v>
      </c>
      <c r="J32" s="422"/>
    </row>
    <row r="33" spans="2:21" ht="12" customHeight="1">
      <c r="B33" s="376"/>
      <c r="C33" s="397"/>
      <c r="D33" s="379"/>
      <c r="E33" s="379"/>
      <c r="F33" s="379"/>
      <c r="G33" s="379"/>
      <c r="H33" s="379"/>
      <c r="I33" s="431"/>
      <c r="J33" s="422"/>
    </row>
    <row r="34" spans="2:21" s="383" customFormat="1">
      <c r="B34" s="375" t="s">
        <v>626</v>
      </c>
      <c r="C34" s="400">
        <f>C16+C32</f>
        <v>133704905.08555555</v>
      </c>
      <c r="D34" s="400">
        <f t="shared" ref="D34:I34" si="12">D16+D32</f>
        <v>138260624.00555557</v>
      </c>
      <c r="E34" s="400">
        <f t="shared" si="12"/>
        <v>140285399.00305557</v>
      </c>
      <c r="F34" s="400">
        <f t="shared" si="12"/>
        <v>145517957.64149308</v>
      </c>
      <c r="G34" s="400">
        <f t="shared" si="12"/>
        <v>149000692.82764149</v>
      </c>
      <c r="H34" s="400">
        <f t="shared" si="12"/>
        <v>160237053.23494366</v>
      </c>
      <c r="I34" s="430">
        <f t="shared" si="12"/>
        <v>164433553.16067833</v>
      </c>
      <c r="J34" s="422"/>
      <c r="K34" s="371"/>
      <c r="L34" s="382"/>
      <c r="M34" s="382"/>
      <c r="N34" s="382"/>
      <c r="O34" s="382"/>
      <c r="P34" s="382"/>
      <c r="Q34" s="382"/>
      <c r="R34" s="382"/>
      <c r="S34" s="382"/>
      <c r="T34" s="382"/>
      <c r="U34" s="382"/>
    </row>
    <row r="35" spans="2:21" s="383" customFormat="1">
      <c r="B35" s="375" t="s">
        <v>618</v>
      </c>
      <c r="C35" s="400"/>
      <c r="D35" s="398">
        <f>D34-C34</f>
        <v>4555718.9200000167</v>
      </c>
      <c r="E35" s="398">
        <f t="shared" ref="E35" si="13">E34-D34</f>
        <v>2024774.9975000024</v>
      </c>
      <c r="F35" s="398">
        <f t="shared" ref="F35" si="14">F34-E34</f>
        <v>5232558.6384375095</v>
      </c>
      <c r="G35" s="398">
        <f t="shared" ref="G35" si="15">G34-F34</f>
        <v>3482735.1861484051</v>
      </c>
      <c r="H35" s="398">
        <f t="shared" ref="H35" si="16">H34-G34</f>
        <v>11236360.407302171</v>
      </c>
      <c r="I35" s="426">
        <f>I34-H34</f>
        <v>4196499.925734669</v>
      </c>
      <c r="J35" s="422"/>
      <c r="K35" s="371"/>
      <c r="L35" s="382"/>
      <c r="M35" s="382"/>
      <c r="N35" s="382"/>
      <c r="O35" s="382"/>
      <c r="P35" s="382"/>
      <c r="Q35" s="382"/>
      <c r="R35" s="382"/>
      <c r="S35" s="382"/>
      <c r="T35" s="382"/>
      <c r="U35" s="382"/>
    </row>
    <row r="36" spans="2:21">
      <c r="B36" s="411" t="s">
        <v>616</v>
      </c>
      <c r="C36" s="412"/>
      <c r="D36" s="413">
        <f>D35/C34</f>
        <v>3.4072937840873431E-2</v>
      </c>
      <c r="E36" s="413">
        <f t="shared" ref="E36:I36" si="17">E35/D34</f>
        <v>1.4644625048261341E-2</v>
      </c>
      <c r="F36" s="413">
        <f t="shared" si="17"/>
        <v>3.7299381657841232E-2</v>
      </c>
      <c r="G36" s="413">
        <f t="shared" si="17"/>
        <v>2.3933370441665242E-2</v>
      </c>
      <c r="H36" s="413">
        <f t="shared" si="17"/>
        <v>7.5411464162116207E-2</v>
      </c>
      <c r="I36" s="434">
        <f t="shared" si="17"/>
        <v>2.6189322887644806E-2</v>
      </c>
      <c r="J36" s="422"/>
    </row>
    <row r="37" spans="2:21">
      <c r="B37" s="438"/>
      <c r="C37" s="380"/>
      <c r="D37" s="384"/>
      <c r="E37" s="384"/>
      <c r="F37" s="384"/>
      <c r="G37" s="384"/>
      <c r="H37" s="384"/>
      <c r="I37" s="689"/>
      <c r="J37" s="422"/>
    </row>
    <row r="38" spans="2:21">
      <c r="B38" s="439" t="s">
        <v>600</v>
      </c>
      <c r="C38" s="396"/>
      <c r="D38" s="396"/>
      <c r="E38" s="396"/>
      <c r="F38" s="740">
        <f>E43*1.035</f>
        <v>139809979.70999998</v>
      </c>
      <c r="G38" s="396"/>
      <c r="H38" s="396"/>
      <c r="I38" s="480"/>
      <c r="J38" s="422"/>
    </row>
    <row r="39" spans="2:21">
      <c r="B39" s="376" t="s">
        <v>609</v>
      </c>
      <c r="C39" s="397">
        <v>1035944</v>
      </c>
      <c r="D39" s="398">
        <v>1193509</v>
      </c>
      <c r="E39" s="397">
        <f>1188439</f>
        <v>1188439</v>
      </c>
      <c r="F39" s="397">
        <f>E39*1.05</f>
        <v>1247860.95</v>
      </c>
      <c r="G39" s="397">
        <f t="shared" ref="G39:I39" si="18">F39*1.05</f>
        <v>1310253.9975000001</v>
      </c>
      <c r="H39" s="397">
        <f t="shared" si="18"/>
        <v>1375766.6973750002</v>
      </c>
      <c r="I39" s="428">
        <f t="shared" si="18"/>
        <v>1444555.0322437503</v>
      </c>
      <c r="J39" s="422"/>
    </row>
    <row r="40" spans="2:21">
      <c r="B40" s="376" t="s">
        <v>610</v>
      </c>
      <c r="C40" s="397">
        <v>381576</v>
      </c>
      <c r="D40" s="398">
        <v>703970</v>
      </c>
      <c r="E40" s="397">
        <v>850000</v>
      </c>
      <c r="F40" s="397">
        <v>850000</v>
      </c>
      <c r="G40" s="397">
        <v>850000</v>
      </c>
      <c r="H40" s="397">
        <v>850000</v>
      </c>
      <c r="I40" s="428">
        <v>850000</v>
      </c>
      <c r="J40" s="422"/>
    </row>
    <row r="41" spans="2:21">
      <c r="B41" s="376" t="s">
        <v>611</v>
      </c>
      <c r="C41" s="397">
        <v>100000</v>
      </c>
      <c r="D41" s="398">
        <v>100000</v>
      </c>
      <c r="E41" s="397">
        <v>100000</v>
      </c>
      <c r="F41" s="397">
        <v>100000</v>
      </c>
      <c r="G41" s="397">
        <v>100000</v>
      </c>
      <c r="H41" s="397">
        <v>100000</v>
      </c>
      <c r="I41" s="428">
        <v>100000</v>
      </c>
      <c r="J41" s="422"/>
    </row>
    <row r="42" spans="2:21">
      <c r="B42" s="376" t="s">
        <v>612</v>
      </c>
      <c r="C42" s="397">
        <v>2013032</v>
      </c>
      <c r="D42" s="398">
        <v>2877918</v>
      </c>
      <c r="E42" s="397">
        <v>2700000</v>
      </c>
      <c r="F42" s="397">
        <v>2800000</v>
      </c>
      <c r="G42" s="397">
        <v>2900000</v>
      </c>
      <c r="H42" s="397">
        <v>3000000</v>
      </c>
      <c r="I42" s="428">
        <v>3100000</v>
      </c>
      <c r="J42" s="422"/>
    </row>
    <row r="43" spans="2:21" ht="16.5" thickBot="1">
      <c r="B43" s="376" t="s">
        <v>613</v>
      </c>
      <c r="C43" s="397">
        <v>122287827</v>
      </c>
      <c r="D43" s="398">
        <v>131691326</v>
      </c>
      <c r="E43" s="397">
        <f>135082106</f>
        <v>135082106</v>
      </c>
      <c r="F43" s="397">
        <f>140028789</f>
        <v>140028789</v>
      </c>
      <c r="G43" s="397">
        <f>144942289</f>
        <v>144942289</v>
      </c>
      <c r="H43" s="397">
        <f>150110427</f>
        <v>150110427</v>
      </c>
      <c r="I43" s="428">
        <f>155514366</f>
        <v>155514366</v>
      </c>
      <c r="J43" s="422"/>
    </row>
    <row r="44" spans="2:21" ht="17.25" thickTop="1" thickBot="1">
      <c r="B44" s="404" t="s">
        <v>667</v>
      </c>
      <c r="C44" s="397"/>
      <c r="D44" s="398"/>
      <c r="E44" s="477">
        <f>Model!D$83</f>
        <v>0</v>
      </c>
      <c r="F44" s="477">
        <f>Model!E$83</f>
        <v>799367.17</v>
      </c>
      <c r="G44" s="477">
        <f>Model!F$83</f>
        <v>799367.17</v>
      </c>
      <c r="H44" s="477">
        <f>Model!G$83</f>
        <v>8452885.370000001</v>
      </c>
      <c r="I44" s="478">
        <f>Model!H$83</f>
        <v>8978212.2500000019</v>
      </c>
      <c r="J44" s="422"/>
    </row>
    <row r="45" spans="2:21" ht="16.5" thickTop="1">
      <c r="B45" s="376" t="s">
        <v>614</v>
      </c>
      <c r="C45" s="397">
        <v>0</v>
      </c>
      <c r="D45" s="398">
        <v>0</v>
      </c>
      <c r="E45" s="397">
        <v>364854</v>
      </c>
      <c r="F45" s="397">
        <v>0</v>
      </c>
      <c r="G45" s="397">
        <v>0</v>
      </c>
      <c r="H45" s="397">
        <v>0</v>
      </c>
      <c r="I45" s="428">
        <v>0</v>
      </c>
      <c r="J45" s="422"/>
    </row>
    <row r="46" spans="2:21">
      <c r="B46" s="376" t="s">
        <v>615</v>
      </c>
      <c r="C46" s="397">
        <v>1168600</v>
      </c>
      <c r="D46" s="398">
        <v>1800000</v>
      </c>
      <c r="E46" s="397">
        <v>0</v>
      </c>
      <c r="F46" s="397">
        <v>0</v>
      </c>
      <c r="G46" s="397">
        <v>0</v>
      </c>
      <c r="H46" s="397">
        <v>0</v>
      </c>
      <c r="I46" s="428">
        <v>0</v>
      </c>
      <c r="J46" s="422"/>
    </row>
    <row r="47" spans="2:21">
      <c r="B47" s="376"/>
      <c r="C47" s="399" t="s">
        <v>599</v>
      </c>
      <c r="D47" s="399" t="s">
        <v>599</v>
      </c>
      <c r="E47" s="399" t="s">
        <v>599</v>
      </c>
      <c r="F47" s="399" t="s">
        <v>599</v>
      </c>
      <c r="G47" s="399" t="s">
        <v>599</v>
      </c>
      <c r="H47" s="399" t="s">
        <v>599</v>
      </c>
      <c r="I47" s="429" t="s">
        <v>599</v>
      </c>
      <c r="J47" s="422"/>
    </row>
    <row r="48" spans="2:21">
      <c r="B48" s="375" t="s">
        <v>627</v>
      </c>
      <c r="C48" s="400">
        <f>SUM(C39:C46)</f>
        <v>126986979</v>
      </c>
      <c r="D48" s="400">
        <f t="shared" ref="D48:H48" si="19">SUM(D39:D46)</f>
        <v>138366723</v>
      </c>
      <c r="E48" s="400">
        <f t="shared" si="19"/>
        <v>140285399</v>
      </c>
      <c r="F48" s="400">
        <f t="shared" si="19"/>
        <v>145826017.11999997</v>
      </c>
      <c r="G48" s="400">
        <f t="shared" si="19"/>
        <v>150901910.16749999</v>
      </c>
      <c r="H48" s="400">
        <f t="shared" si="19"/>
        <v>163889079.067375</v>
      </c>
      <c r="I48" s="430">
        <f t="shared" ref="I48" si="20">SUM(I39:I46)</f>
        <v>169987133.28224376</v>
      </c>
      <c r="J48" s="422"/>
    </row>
    <row r="49" spans="2:30">
      <c r="B49" s="376" t="s">
        <v>619</v>
      </c>
      <c r="C49" s="400"/>
      <c r="D49" s="398">
        <f>D48-C48</f>
        <v>11379744</v>
      </c>
      <c r="E49" s="398">
        <f t="shared" ref="E49:H49" si="21">E48-D48</f>
        <v>1918676</v>
      </c>
      <c r="F49" s="398">
        <f t="shared" si="21"/>
        <v>5540618.119999975</v>
      </c>
      <c r="G49" s="398">
        <f t="shared" si="21"/>
        <v>5075893.0475000143</v>
      </c>
      <c r="H49" s="398">
        <f t="shared" si="21"/>
        <v>12987168.899875015</v>
      </c>
      <c r="I49" s="426">
        <f>I48-H48</f>
        <v>6098054.2148687541</v>
      </c>
      <c r="J49" s="422"/>
    </row>
    <row r="50" spans="2:30">
      <c r="B50" s="376" t="s">
        <v>617</v>
      </c>
      <c r="C50" s="397"/>
      <c r="D50" s="391">
        <f>D49/C48</f>
        <v>8.9613471315039314E-2</v>
      </c>
      <c r="E50" s="441">
        <f t="shared" ref="E50:I50" si="22">E49/D48</f>
        <v>1.3866599991675744E-2</v>
      </c>
      <c r="F50" s="441">
        <f t="shared" si="22"/>
        <v>3.9495329945206735E-2</v>
      </c>
      <c r="G50" s="441">
        <f t="shared" si="22"/>
        <v>3.4807870006646834E-2</v>
      </c>
      <c r="H50" s="441">
        <f t="shared" si="22"/>
        <v>8.606364813712003E-2</v>
      </c>
      <c r="I50" s="481">
        <f t="shared" si="22"/>
        <v>3.7208423218741966E-2</v>
      </c>
      <c r="J50" s="422"/>
    </row>
    <row r="51" spans="2:30">
      <c r="B51" s="376"/>
      <c r="C51" s="397"/>
      <c r="D51" s="391"/>
      <c r="E51" s="391"/>
      <c r="F51" s="391"/>
      <c r="G51" s="391"/>
      <c r="H51" s="391"/>
      <c r="I51" s="419"/>
      <c r="J51" s="422"/>
    </row>
    <row r="52" spans="2:30">
      <c r="B52" s="375" t="s">
        <v>622</v>
      </c>
      <c r="C52" s="400">
        <f>C53+C54</f>
        <v>27714512</v>
      </c>
      <c r="D52" s="400">
        <f t="shared" ref="D52" si="23">D53+D54</f>
        <v>31230951</v>
      </c>
      <c r="E52" s="400">
        <f>32064863</f>
        <v>32064863</v>
      </c>
      <c r="F52" s="400">
        <f>(E52+E54)*1.035</f>
        <v>33564757.094999999</v>
      </c>
      <c r="G52" s="400">
        <f>F52*1.035</f>
        <v>34739523.593324997</v>
      </c>
      <c r="H52" s="400">
        <f>G52*1.035</f>
        <v>35955406.919091366</v>
      </c>
      <c r="I52" s="430">
        <f>H52*1.035</f>
        <v>37213846.161259562</v>
      </c>
      <c r="J52" s="422"/>
    </row>
    <row r="53" spans="2:30">
      <c r="B53" s="375" t="s">
        <v>629</v>
      </c>
      <c r="C53" s="397">
        <v>27714512</v>
      </c>
      <c r="D53" s="398">
        <v>31230951</v>
      </c>
      <c r="E53" s="397">
        <f>30934044</f>
        <v>30934044</v>
      </c>
      <c r="F53" s="397">
        <f>(E53+E54)*1.035</f>
        <v>32394359.429999996</v>
      </c>
      <c r="G53" s="397">
        <f t="shared" ref="G53:I53" si="24">(F53+F54)*1.035</f>
        <v>33528162.010049995</v>
      </c>
      <c r="H53" s="397">
        <f t="shared" si="24"/>
        <v>34701647.680401742</v>
      </c>
      <c r="I53" s="428">
        <f t="shared" si="24"/>
        <v>35916205.349215798</v>
      </c>
      <c r="J53" s="422"/>
    </row>
    <row r="54" spans="2:30">
      <c r="B54" s="376" t="s">
        <v>630</v>
      </c>
      <c r="C54" s="397">
        <v>0</v>
      </c>
      <c r="D54" s="398">
        <v>0</v>
      </c>
      <c r="E54" s="397">
        <v>364854</v>
      </c>
      <c r="F54" s="397">
        <v>0</v>
      </c>
      <c r="G54" s="397">
        <v>0</v>
      </c>
      <c r="H54" s="397">
        <v>0</v>
      </c>
      <c r="I54" s="428">
        <v>0</v>
      </c>
      <c r="J54" s="422"/>
    </row>
    <row r="55" spans="2:30">
      <c r="B55" s="376" t="s">
        <v>624</v>
      </c>
      <c r="C55" s="400"/>
      <c r="D55" s="398">
        <f>D52-C52</f>
        <v>3516439</v>
      </c>
      <c r="E55" s="398">
        <f>E52-D52</f>
        <v>833912</v>
      </c>
      <c r="F55" s="398">
        <f t="shared" ref="F55" si="25">F52-E52</f>
        <v>1499894.0949999988</v>
      </c>
      <c r="G55" s="398">
        <f t="shared" ref="G55" si="26">G52-F52</f>
        <v>1174766.4983249977</v>
      </c>
      <c r="H55" s="398">
        <f t="shared" ref="H55" si="27">H52-G52</f>
        <v>1215883.3257663697</v>
      </c>
      <c r="I55" s="426">
        <f>I52-H52</f>
        <v>1258439.2421681955</v>
      </c>
      <c r="J55" s="422"/>
    </row>
    <row r="56" spans="2:30">
      <c r="B56" s="376" t="s">
        <v>625</v>
      </c>
      <c r="C56" s="397"/>
      <c r="D56" s="391">
        <f>D55/C52</f>
        <v>0.12688078361257091</v>
      </c>
      <c r="E56" s="492">
        <f>E55/D52</f>
        <v>2.6701460355786157E-2</v>
      </c>
      <c r="F56" s="492">
        <f t="shared" ref="F56" si="28">F55/E52</f>
        <v>4.6776875204487818E-2</v>
      </c>
      <c r="G56" s="492">
        <f t="shared" ref="G56" si="29">G55/F52</f>
        <v>3.4999999999999934E-2</v>
      </c>
      <c r="H56" s="492">
        <f t="shared" ref="H56" si="30">H55/G52</f>
        <v>3.4999999999999851E-2</v>
      </c>
      <c r="I56" s="493">
        <f>I55/H52</f>
        <v>3.4999999999999934E-2</v>
      </c>
      <c r="J56" s="422"/>
    </row>
    <row r="57" spans="2:30">
      <c r="B57" s="376"/>
      <c r="C57" s="397"/>
      <c r="D57" s="398"/>
      <c r="E57" s="379"/>
      <c r="F57" s="379"/>
      <c r="G57" s="379"/>
      <c r="H57" s="379"/>
      <c r="I57" s="431"/>
      <c r="J57" s="422"/>
    </row>
    <row r="58" spans="2:30">
      <c r="B58" s="375" t="s">
        <v>623</v>
      </c>
      <c r="C58" s="400">
        <v>57079057</v>
      </c>
      <c r="D58" s="401">
        <v>61792079</v>
      </c>
      <c r="E58" s="400">
        <f>61826503</f>
        <v>61826503</v>
      </c>
      <c r="F58" s="400">
        <f>E58*1.035</f>
        <v>63990430.604999997</v>
      </c>
      <c r="G58" s="400">
        <f t="shared" ref="G58:I58" si="31">F58*1.035</f>
        <v>66230095.676174991</v>
      </c>
      <c r="H58" s="400">
        <f t="shared" si="31"/>
        <v>68548149.024841115</v>
      </c>
      <c r="I58" s="430">
        <f t="shared" si="31"/>
        <v>70947334.240710542</v>
      </c>
      <c r="J58" s="422"/>
    </row>
    <row r="59" spans="2:30">
      <c r="B59" s="376" t="s">
        <v>620</v>
      </c>
      <c r="C59" s="400"/>
      <c r="D59" s="398">
        <f>D58-C58</f>
        <v>4713022</v>
      </c>
      <c r="E59" s="398">
        <f t="shared" ref="E59:I59" si="32">E58-D58</f>
        <v>34424</v>
      </c>
      <c r="F59" s="398">
        <f t="shared" si="32"/>
        <v>2163927.6049999967</v>
      </c>
      <c r="G59" s="398">
        <f t="shared" si="32"/>
        <v>2239665.0711749941</v>
      </c>
      <c r="H59" s="398">
        <f t="shared" si="32"/>
        <v>2318053.348666124</v>
      </c>
      <c r="I59" s="426">
        <f t="shared" si="32"/>
        <v>2399185.2158694267</v>
      </c>
      <c r="J59" s="422"/>
    </row>
    <row r="60" spans="2:30">
      <c r="B60" s="376" t="s">
        <v>621</v>
      </c>
      <c r="C60" s="397"/>
      <c r="D60" s="391">
        <f>D59/C58</f>
        <v>8.2570074694821957E-2</v>
      </c>
      <c r="E60" s="492">
        <f t="shared" ref="E60:I60" si="33">E59/D58</f>
        <v>5.5709405731436869E-4</v>
      </c>
      <c r="F60" s="492">
        <f t="shared" si="33"/>
        <v>3.4999999999999948E-2</v>
      </c>
      <c r="G60" s="492">
        <f t="shared" si="33"/>
        <v>3.4999999999999913E-2</v>
      </c>
      <c r="H60" s="492">
        <f t="shared" si="33"/>
        <v>3.4999999999999989E-2</v>
      </c>
      <c r="I60" s="493">
        <f t="shared" si="33"/>
        <v>3.4999999999999823E-2</v>
      </c>
      <c r="J60" s="422"/>
    </row>
    <row r="61" spans="2:30">
      <c r="B61" s="376"/>
      <c r="C61" s="397"/>
      <c r="D61" s="391"/>
      <c r="E61" s="391"/>
      <c r="F61" s="391"/>
      <c r="G61" s="391"/>
      <c r="H61" s="391"/>
      <c r="I61" s="419"/>
      <c r="J61" s="422"/>
    </row>
    <row r="62" spans="2:30">
      <c r="B62" s="420" t="s">
        <v>628</v>
      </c>
      <c r="C62" s="421">
        <f>C34-C48</f>
        <v>6717926.0855555534</v>
      </c>
      <c r="D62" s="421">
        <f t="shared" ref="D62:H62" si="34">D34-D48</f>
        <v>-106098.99444442987</v>
      </c>
      <c r="E62" s="421">
        <f>E34-E48</f>
        <v>3.055572509765625E-3</v>
      </c>
      <c r="F62" s="421">
        <f t="shared" si="34"/>
        <v>-308059.47850689292</v>
      </c>
      <c r="G62" s="421">
        <f t="shared" si="34"/>
        <v>-1901217.3398585021</v>
      </c>
      <c r="H62" s="421">
        <f t="shared" si="34"/>
        <v>-3652025.8324313462</v>
      </c>
      <c r="I62" s="482">
        <f t="shared" ref="I62" si="35">I34-I48</f>
        <v>-5553580.1215654314</v>
      </c>
      <c r="J62" s="422"/>
    </row>
    <row r="63" spans="2:30" ht="15.6" customHeight="1">
      <c r="B63" s="375"/>
      <c r="C63" s="385"/>
      <c r="D63" s="385"/>
      <c r="E63" s="385"/>
      <c r="F63" s="385"/>
      <c r="G63" s="385"/>
      <c r="H63" s="385"/>
      <c r="I63" s="436"/>
      <c r="J63" s="422"/>
    </row>
    <row r="64" spans="2:30" s="386" customFormat="1" ht="15.6" customHeight="1" thickBot="1">
      <c r="B64" s="467" t="s">
        <v>648</v>
      </c>
      <c r="C64" s="423">
        <v>2021</v>
      </c>
      <c r="D64" s="423">
        <f>+C64+1</f>
        <v>2022</v>
      </c>
      <c r="E64" s="423">
        <f t="shared" ref="E64:I64" si="36">+D64+1</f>
        <v>2023</v>
      </c>
      <c r="F64" s="423">
        <f t="shared" si="36"/>
        <v>2024</v>
      </c>
      <c r="G64" s="423">
        <f t="shared" si="36"/>
        <v>2025</v>
      </c>
      <c r="H64" s="423">
        <f t="shared" si="36"/>
        <v>2026</v>
      </c>
      <c r="I64" s="483">
        <f t="shared" si="36"/>
        <v>2027</v>
      </c>
      <c r="J64" s="422"/>
      <c r="K64" s="371"/>
      <c r="L64" s="371"/>
      <c r="M64" s="371"/>
      <c r="N64" s="371"/>
      <c r="O64" s="371"/>
      <c r="P64" s="371"/>
      <c r="Q64" s="371"/>
      <c r="R64" s="371"/>
      <c r="S64" s="371"/>
      <c r="T64" s="371"/>
      <c r="U64" s="371"/>
      <c r="V64" s="370"/>
      <c r="W64" s="370"/>
      <c r="X64" s="370"/>
      <c r="Y64" s="370"/>
      <c r="Z64" s="370"/>
      <c r="AA64" s="370"/>
      <c r="AB64" s="370"/>
      <c r="AC64" s="370"/>
      <c r="AD64" s="370"/>
    </row>
    <row r="65" spans="2:10" ht="17.25" thickTop="1" thickBot="1">
      <c r="B65" s="468" t="str">
        <f>Dashboard!B43</f>
        <v>User-entered Municipal Budget Annual Growth Rate by Fiscal Year</v>
      </c>
      <c r="C65" s="469"/>
      <c r="D65" s="469"/>
      <c r="E65" s="494">
        <f>Dashboard!D$43</f>
        <v>2.67015E-2</v>
      </c>
      <c r="F65" s="494">
        <f>Dashboard!E$43</f>
        <v>4.6776900000000003E-2</v>
      </c>
      <c r="G65" s="494">
        <f>Dashboard!F$43</f>
        <v>3.5000000000000003E-2</v>
      </c>
      <c r="H65" s="494">
        <f>Dashboard!G$43</f>
        <v>3.5000000000000003E-2</v>
      </c>
      <c r="I65" s="495">
        <f>Dashboard!H$43</f>
        <v>3.5000000000000003E-2</v>
      </c>
      <c r="J65" s="422"/>
    </row>
    <row r="66" spans="2:10" ht="17.25" thickTop="1" thickBot="1">
      <c r="B66" s="468" t="str">
        <f>Dashboard!B44</f>
        <v>User-entered Education Budget Annual Growth Rate by Fiscal Year</v>
      </c>
      <c r="C66" s="469"/>
      <c r="D66" s="469"/>
      <c r="E66" s="494">
        <f>Dashboard!D$44</f>
        <v>5.5710000000000004E-4</v>
      </c>
      <c r="F66" s="494">
        <f>Dashboard!E$44</f>
        <v>3.5000000000000003E-2</v>
      </c>
      <c r="G66" s="494">
        <f>Dashboard!F$44</f>
        <v>3.5000000000000003E-2</v>
      </c>
      <c r="H66" s="494">
        <f>Dashboard!G$44</f>
        <v>3.5000000000000003E-2</v>
      </c>
      <c r="I66" s="495">
        <f>Dashboard!H$44</f>
        <v>3.5000000000000003E-2</v>
      </c>
      <c r="J66" s="422"/>
    </row>
    <row r="67" spans="2:10" ht="16.5" thickTop="1">
      <c r="B67" s="416"/>
      <c r="C67" s="417"/>
      <c r="D67" s="417"/>
      <c r="E67" s="418"/>
      <c r="I67" s="425"/>
      <c r="J67" s="422"/>
    </row>
    <row r="68" spans="2:10">
      <c r="B68" s="440" t="s">
        <v>636</v>
      </c>
      <c r="C68" s="377"/>
      <c r="D68" s="377"/>
      <c r="E68" s="379"/>
      <c r="F68" s="379"/>
      <c r="G68" s="379"/>
      <c r="H68" s="379"/>
      <c r="I68" s="431"/>
      <c r="J68" s="422"/>
    </row>
    <row r="69" spans="2:10">
      <c r="B69" s="440"/>
      <c r="C69" s="377"/>
      <c r="D69" s="377"/>
      <c r="E69" s="379"/>
      <c r="F69" s="379"/>
      <c r="G69" s="379"/>
      <c r="H69" s="379"/>
      <c r="I69" s="431"/>
      <c r="J69" s="422"/>
    </row>
    <row r="70" spans="2:10">
      <c r="B70" s="376" t="s">
        <v>631</v>
      </c>
      <c r="C70" s="377"/>
      <c r="D70" s="377"/>
      <c r="E70" s="414">
        <f>+D52*(1+E65)</f>
        <v>32064864.238126498</v>
      </c>
      <c r="F70" s="414">
        <f t="shared" ref="F70:I70" si="37">+E52*(1+F65)</f>
        <v>33564757.890064701</v>
      </c>
      <c r="G70" s="414">
        <f t="shared" si="37"/>
        <v>34739523.593324997</v>
      </c>
      <c r="H70" s="414">
        <f t="shared" si="37"/>
        <v>35955406.919091366</v>
      </c>
      <c r="I70" s="435">
        <f t="shared" si="37"/>
        <v>37213846.161259562</v>
      </c>
      <c r="J70" s="422"/>
    </row>
    <row r="71" spans="2:10">
      <c r="B71" s="376" t="s">
        <v>637</v>
      </c>
      <c r="C71" s="377"/>
      <c r="D71" s="377"/>
      <c r="E71" s="388">
        <f>E70-E52</f>
        <v>1.2381264977157116</v>
      </c>
      <c r="F71" s="388">
        <f>F70-F52</f>
        <v>0.79506470263004303</v>
      </c>
      <c r="G71" s="388">
        <f>G70-G52</f>
        <v>0</v>
      </c>
      <c r="H71" s="388">
        <f>H70-H52</f>
        <v>0</v>
      </c>
      <c r="I71" s="437">
        <f>I70-I52</f>
        <v>0</v>
      </c>
      <c r="J71" s="422"/>
    </row>
    <row r="72" spans="2:10">
      <c r="B72" s="376" t="s">
        <v>633</v>
      </c>
      <c r="C72" s="377"/>
      <c r="D72" s="379"/>
      <c r="E72" s="442">
        <f>E65-E56</f>
        <v>3.9644213842282561E-8</v>
      </c>
      <c r="F72" s="442">
        <f t="shared" ref="F72:H72" si="38">F65-F56</f>
        <v>2.4795512185149526E-8</v>
      </c>
      <c r="G72" s="442">
        <f t="shared" si="38"/>
        <v>6.9388939039072284E-17</v>
      </c>
      <c r="H72" s="442">
        <f t="shared" si="38"/>
        <v>1.5265566588595902E-16</v>
      </c>
      <c r="I72" s="484">
        <f t="shared" ref="I72" si="39">I65-I56</f>
        <v>6.9388939039072284E-17</v>
      </c>
      <c r="J72" s="422"/>
    </row>
    <row r="73" spans="2:10">
      <c r="B73" s="376"/>
      <c r="C73" s="377"/>
      <c r="D73" s="379"/>
      <c r="E73" s="379"/>
      <c r="F73" s="379"/>
      <c r="G73" s="379"/>
      <c r="H73" s="379"/>
      <c r="I73" s="431"/>
      <c r="J73" s="422"/>
    </row>
    <row r="74" spans="2:10">
      <c r="B74" s="376" t="s">
        <v>632</v>
      </c>
      <c r="E74" s="377">
        <f>D58*(1+E66)</f>
        <v>61826503.367210902</v>
      </c>
      <c r="F74" s="377">
        <f t="shared" ref="F74:I74" si="40">E58*(1+F66)</f>
        <v>63990430.604999997</v>
      </c>
      <c r="G74" s="377">
        <f t="shared" si="40"/>
        <v>66230095.676174991</v>
      </c>
      <c r="H74" s="377">
        <f t="shared" si="40"/>
        <v>68548149.024841115</v>
      </c>
      <c r="I74" s="428">
        <f t="shared" si="40"/>
        <v>70947334.240710542</v>
      </c>
      <c r="J74" s="422"/>
    </row>
    <row r="75" spans="2:10">
      <c r="B75" s="376" t="s">
        <v>635</v>
      </c>
      <c r="E75" s="415">
        <f>+E74-E58</f>
        <v>0.36721090227365494</v>
      </c>
      <c r="F75" s="388">
        <f>+F74-F58</f>
        <v>0</v>
      </c>
      <c r="G75" s="388">
        <f>+G74-G58</f>
        <v>0</v>
      </c>
      <c r="H75" s="388">
        <f>+H74-H58</f>
        <v>0</v>
      </c>
      <c r="I75" s="437">
        <f>+I74-I58</f>
        <v>0</v>
      </c>
      <c r="J75" s="422"/>
    </row>
    <row r="76" spans="2:10">
      <c r="B76" s="376" t="s">
        <v>634</v>
      </c>
      <c r="C76" s="377"/>
      <c r="D76" s="379"/>
      <c r="E76" s="442">
        <f>E66-E60</f>
        <v>5.9426856313486709E-9</v>
      </c>
      <c r="F76" s="442">
        <f t="shared" ref="F76:H76" si="41">F66-F60</f>
        <v>5.5511151231257827E-17</v>
      </c>
      <c r="G76" s="442">
        <f t="shared" si="41"/>
        <v>9.0205620750793969E-17</v>
      </c>
      <c r="H76" s="442">
        <f t="shared" si="41"/>
        <v>0</v>
      </c>
      <c r="I76" s="484">
        <f t="shared" ref="I76" si="42">I66-I60</f>
        <v>1.8041124150158794E-16</v>
      </c>
      <c r="J76" s="422"/>
    </row>
    <row r="77" spans="2:10">
      <c r="B77" s="376"/>
      <c r="C77" s="377"/>
      <c r="D77" s="379"/>
      <c r="E77" s="379"/>
      <c r="F77" s="379"/>
      <c r="G77" s="379"/>
      <c r="H77" s="379"/>
      <c r="I77" s="431"/>
      <c r="J77" s="422"/>
    </row>
    <row r="78" spans="2:10">
      <c r="B78" s="376" t="s">
        <v>641</v>
      </c>
      <c r="C78" s="377">
        <f t="shared" ref="C78:H78" si="43">C48</f>
        <v>126986979</v>
      </c>
      <c r="D78" s="377">
        <f t="shared" si="43"/>
        <v>138366723</v>
      </c>
      <c r="E78" s="377">
        <f t="shared" si="43"/>
        <v>140285399</v>
      </c>
      <c r="F78" s="377">
        <f t="shared" si="43"/>
        <v>145826017.11999997</v>
      </c>
      <c r="G78" s="377">
        <f t="shared" si="43"/>
        <v>150901910.16749999</v>
      </c>
      <c r="H78" s="377">
        <f t="shared" si="43"/>
        <v>163889079.067375</v>
      </c>
      <c r="I78" s="428">
        <f t="shared" ref="I78" si="44">I48</f>
        <v>169987133.28224376</v>
      </c>
      <c r="J78" s="422"/>
    </row>
    <row r="79" spans="2:10" ht="15.6" customHeight="1">
      <c r="B79" s="376" t="s">
        <v>642</v>
      </c>
      <c r="C79" s="377">
        <f t="shared" ref="C79:H79" si="45">C78+C71+C75</f>
        <v>126986979</v>
      </c>
      <c r="D79" s="377">
        <f t="shared" si="45"/>
        <v>138366723</v>
      </c>
      <c r="E79" s="377">
        <f t="shared" si="45"/>
        <v>140285400.60533738</v>
      </c>
      <c r="F79" s="377">
        <f t="shared" si="45"/>
        <v>145826017.91506469</v>
      </c>
      <c r="G79" s="377">
        <f t="shared" si="45"/>
        <v>150901910.16749999</v>
      </c>
      <c r="H79" s="377">
        <f t="shared" si="45"/>
        <v>163889079.067375</v>
      </c>
      <c r="I79" s="428">
        <f t="shared" ref="I79" si="46">I78+I71+I75</f>
        <v>169987133.28224376</v>
      </c>
      <c r="J79" s="422"/>
    </row>
    <row r="80" spans="2:10" ht="15.6" customHeight="1">
      <c r="B80" s="387" t="s">
        <v>643</v>
      </c>
      <c r="E80" s="388">
        <f>E71+E75</f>
        <v>1.6053373999893665</v>
      </c>
      <c r="F80" s="388">
        <f>F71+F75</f>
        <v>0.79506470263004303</v>
      </c>
      <c r="G80" s="388">
        <f>G71+G75</f>
        <v>0</v>
      </c>
      <c r="H80" s="388">
        <f>H71+H75</f>
        <v>0</v>
      </c>
      <c r="I80" s="437">
        <f>I71+I75</f>
        <v>0</v>
      </c>
      <c r="J80" s="422"/>
    </row>
    <row r="81" spans="1:30">
      <c r="B81" s="376" t="s">
        <v>644</v>
      </c>
      <c r="C81" s="397"/>
      <c r="D81" s="395"/>
      <c r="E81" s="443">
        <f>(E79-D79)/D79</f>
        <v>1.3866611593723885E-2</v>
      </c>
      <c r="F81" s="443">
        <f t="shared" ref="F81:I81" si="47">(F79-E79)/E79</f>
        <v>3.9495323717359865E-2</v>
      </c>
      <c r="G81" s="443">
        <f t="shared" si="47"/>
        <v>3.4807864364723405E-2</v>
      </c>
      <c r="H81" s="443">
        <f t="shared" si="47"/>
        <v>8.606364813712003E-2</v>
      </c>
      <c r="I81" s="485">
        <f t="shared" si="47"/>
        <v>3.7208423218741966E-2</v>
      </c>
      <c r="J81" s="422"/>
    </row>
    <row r="82" spans="1:30">
      <c r="B82" s="376"/>
      <c r="C82" s="377"/>
      <c r="D82" s="370"/>
      <c r="E82" s="378" t="s">
        <v>585</v>
      </c>
      <c r="F82" s="378" t="s">
        <v>585</v>
      </c>
      <c r="G82" s="378" t="s">
        <v>585</v>
      </c>
      <c r="H82" s="378" t="s">
        <v>585</v>
      </c>
      <c r="I82" s="429" t="s">
        <v>585</v>
      </c>
      <c r="J82" s="422"/>
    </row>
    <row r="83" spans="1:30">
      <c r="B83" s="420" t="s">
        <v>645</v>
      </c>
      <c r="C83" s="451"/>
      <c r="D83" s="452"/>
      <c r="E83" s="421">
        <f>+E62-E71-E75</f>
        <v>-1.6022818274796009</v>
      </c>
      <c r="F83" s="421">
        <f>+F62-F71-F75</f>
        <v>-308060.27357159555</v>
      </c>
      <c r="G83" s="421">
        <f>+G62-G71-G75</f>
        <v>-1901217.3398585021</v>
      </c>
      <c r="H83" s="421">
        <f>+H62-H71-H75</f>
        <v>-3652025.8324313462</v>
      </c>
      <c r="I83" s="482">
        <f>+I62-I71-I75</f>
        <v>-5553580.1215654314</v>
      </c>
      <c r="J83" s="422"/>
    </row>
    <row r="84" spans="1:30">
      <c r="B84" s="375"/>
      <c r="C84" s="444"/>
      <c r="D84" s="445"/>
      <c r="E84" s="446"/>
      <c r="F84" s="446"/>
      <c r="G84" s="446"/>
      <c r="H84" s="446"/>
      <c r="I84" s="436"/>
      <c r="J84" s="422"/>
    </row>
    <row r="85" spans="1:30" s="389" customFormat="1">
      <c r="A85" s="453"/>
      <c r="B85" s="496" t="s">
        <v>638</v>
      </c>
      <c r="C85" s="497"/>
      <c r="D85" s="497"/>
      <c r="E85" s="498">
        <f>D62</f>
        <v>-106098.99444442987</v>
      </c>
      <c r="F85" s="498">
        <f>+E87</f>
        <v>-106100.59672625735</v>
      </c>
      <c r="G85" s="498">
        <f>+F87</f>
        <v>-414160.8702978529</v>
      </c>
      <c r="H85" s="498">
        <f>+G87</f>
        <v>-2315378.2101563551</v>
      </c>
      <c r="I85" s="499">
        <f>+H87</f>
        <v>-5967404.0425877012</v>
      </c>
      <c r="J85" s="422"/>
      <c r="K85" s="371"/>
      <c r="L85" s="371"/>
      <c r="M85" s="371"/>
      <c r="N85" s="371"/>
      <c r="O85" s="371"/>
      <c r="P85" s="371"/>
      <c r="Q85" s="371"/>
      <c r="R85" s="371"/>
      <c r="S85" s="371"/>
      <c r="T85" s="371"/>
      <c r="U85" s="371"/>
      <c r="V85" s="371"/>
      <c r="W85" s="371"/>
      <c r="X85" s="371"/>
      <c r="Y85" s="371"/>
      <c r="Z85" s="371"/>
      <c r="AA85" s="371"/>
      <c r="AB85" s="371"/>
      <c r="AC85" s="371"/>
      <c r="AD85" s="371"/>
    </row>
    <row r="86" spans="1:30" s="389" customFormat="1">
      <c r="A86" s="453"/>
      <c r="B86" s="500" t="s">
        <v>639</v>
      </c>
      <c r="C86" s="501"/>
      <c r="D86" s="501"/>
      <c r="E86" s="502">
        <f>E83</f>
        <v>-1.6022818274796009</v>
      </c>
      <c r="F86" s="502">
        <f t="shared" ref="F86:H86" si="48">F83</f>
        <v>-308060.27357159555</v>
      </c>
      <c r="G86" s="502">
        <f t="shared" si="48"/>
        <v>-1901217.3398585021</v>
      </c>
      <c r="H86" s="502">
        <f t="shared" si="48"/>
        <v>-3652025.8324313462</v>
      </c>
      <c r="I86" s="503">
        <f t="shared" ref="I86" si="49">I83</f>
        <v>-5553580.1215654314</v>
      </c>
      <c r="J86" s="422"/>
      <c r="K86" s="371"/>
      <c r="L86" s="371"/>
      <c r="M86" s="371"/>
      <c r="N86" s="371"/>
      <c r="O86" s="371"/>
      <c r="P86" s="371"/>
      <c r="Q86" s="371"/>
      <c r="R86" s="371"/>
      <c r="S86" s="371"/>
      <c r="T86" s="371"/>
      <c r="U86" s="371"/>
      <c r="V86" s="371"/>
      <c r="W86" s="371"/>
      <c r="X86" s="371"/>
      <c r="Y86" s="371"/>
      <c r="Z86" s="371"/>
      <c r="AA86" s="371"/>
      <c r="AB86" s="371"/>
      <c r="AC86" s="371"/>
      <c r="AD86" s="371"/>
    </row>
    <row r="87" spans="1:30" s="389" customFormat="1">
      <c r="A87" s="453"/>
      <c r="B87" s="504" t="s">
        <v>640</v>
      </c>
      <c r="C87" s="505"/>
      <c r="D87" s="505"/>
      <c r="E87" s="506">
        <f>E85+E86</f>
        <v>-106100.59672625735</v>
      </c>
      <c r="F87" s="506">
        <f t="shared" ref="F87:H87" si="50">F85+F86</f>
        <v>-414160.8702978529</v>
      </c>
      <c r="G87" s="506">
        <f t="shared" si="50"/>
        <v>-2315378.2101563551</v>
      </c>
      <c r="H87" s="506">
        <f t="shared" si="50"/>
        <v>-5967404.0425877012</v>
      </c>
      <c r="I87" s="507">
        <f t="shared" ref="I87" si="51">I85+I86</f>
        <v>-11520984.164153133</v>
      </c>
      <c r="J87" s="422"/>
      <c r="K87" s="371"/>
      <c r="L87" s="371"/>
      <c r="M87" s="371"/>
      <c r="N87" s="371"/>
      <c r="O87" s="371"/>
      <c r="P87" s="371"/>
      <c r="Q87" s="371"/>
      <c r="R87" s="371"/>
      <c r="S87" s="371"/>
      <c r="T87" s="371"/>
      <c r="U87" s="371"/>
      <c r="V87" s="371"/>
      <c r="W87" s="371"/>
      <c r="X87" s="371"/>
      <c r="Y87" s="371"/>
      <c r="Z87" s="371"/>
      <c r="AA87" s="371"/>
      <c r="AB87" s="371"/>
      <c r="AC87" s="371"/>
      <c r="AD87" s="371"/>
    </row>
    <row r="88" spans="1:30" s="371" customFormat="1" ht="16.5" thickBot="1">
      <c r="A88" s="422"/>
      <c r="B88" s="447"/>
      <c r="C88" s="448"/>
      <c r="D88" s="448"/>
      <c r="E88" s="448"/>
      <c r="F88" s="448"/>
      <c r="G88" s="448"/>
      <c r="H88" s="448"/>
      <c r="I88" s="449"/>
      <c r="J88" s="422"/>
    </row>
    <row r="89" spans="1:30" ht="16.5" thickTop="1">
      <c r="B89" s="407"/>
      <c r="C89" s="397"/>
      <c r="D89" s="379"/>
      <c r="E89" s="379"/>
      <c r="F89" s="379"/>
      <c r="G89" s="379"/>
      <c r="H89" s="379"/>
      <c r="I89" s="379"/>
      <c r="J89" s="422"/>
    </row>
    <row r="90" spans="1:30">
      <c r="B90" s="373"/>
      <c r="D90" s="377" t="s">
        <v>37</v>
      </c>
    </row>
    <row r="91" spans="1:30">
      <c r="B91" s="373"/>
      <c r="E91" s="370"/>
    </row>
    <row r="92" spans="1:30">
      <c r="B92" s="373"/>
      <c r="E92" s="370"/>
    </row>
    <row r="93" spans="1:30" s="392" customFormat="1">
      <c r="B93" s="373"/>
      <c r="C93" s="373"/>
      <c r="D93" s="373"/>
      <c r="E93" s="370"/>
      <c r="F93" s="373"/>
      <c r="G93" s="373"/>
      <c r="H93" s="373"/>
      <c r="I93" s="371"/>
      <c r="J93" s="371"/>
      <c r="K93" s="371"/>
      <c r="L93" s="371"/>
      <c r="M93" s="371"/>
      <c r="N93" s="371"/>
      <c r="O93" s="371"/>
      <c r="P93" s="371"/>
      <c r="Q93" s="371"/>
      <c r="R93" s="371"/>
      <c r="S93" s="371"/>
      <c r="T93" s="371"/>
      <c r="U93" s="371"/>
      <c r="V93" s="370"/>
      <c r="W93" s="370"/>
      <c r="X93" s="370"/>
      <c r="Y93" s="370"/>
      <c r="Z93" s="370"/>
      <c r="AA93" s="370"/>
      <c r="AB93" s="370"/>
      <c r="AC93" s="370"/>
      <c r="AD93" s="370"/>
    </row>
    <row r="94" spans="1:30" s="392" customFormat="1">
      <c r="B94" s="393"/>
      <c r="C94" s="373"/>
      <c r="D94" s="373"/>
      <c r="E94" s="370"/>
      <c r="F94" s="373"/>
      <c r="G94" s="373"/>
      <c r="H94" s="373"/>
      <c r="I94" s="371"/>
      <c r="J94" s="371"/>
      <c r="K94" s="371"/>
      <c r="L94" s="371"/>
      <c r="M94" s="371"/>
      <c r="N94" s="371"/>
      <c r="O94" s="371"/>
      <c r="P94" s="371"/>
      <c r="Q94" s="371"/>
      <c r="R94" s="371"/>
      <c r="S94" s="371"/>
      <c r="T94" s="371"/>
      <c r="U94" s="371"/>
      <c r="V94" s="370"/>
      <c r="W94" s="370"/>
      <c r="X94" s="370"/>
      <c r="Y94" s="370"/>
      <c r="Z94" s="370"/>
      <c r="AA94" s="370"/>
      <c r="AB94" s="370"/>
      <c r="AC94" s="370"/>
      <c r="AD94" s="370"/>
    </row>
    <row r="95" spans="1:30" s="392" customFormat="1">
      <c r="B95" s="393"/>
      <c r="C95" s="373"/>
      <c r="D95" s="373"/>
      <c r="E95" s="370"/>
      <c r="F95" s="373"/>
      <c r="G95" s="373"/>
      <c r="H95" s="373"/>
      <c r="I95" s="371"/>
      <c r="J95" s="371"/>
      <c r="K95" s="371"/>
      <c r="L95" s="371"/>
      <c r="M95" s="371"/>
      <c r="N95" s="371"/>
      <c r="O95" s="371"/>
      <c r="P95" s="371"/>
      <c r="Q95" s="371"/>
      <c r="R95" s="371"/>
      <c r="S95" s="371"/>
      <c r="T95" s="371"/>
      <c r="U95" s="371"/>
      <c r="V95" s="370"/>
      <c r="W95" s="370"/>
      <c r="X95" s="370"/>
      <c r="Y95" s="370"/>
      <c r="Z95" s="370"/>
      <c r="AA95" s="370"/>
      <c r="AB95" s="370"/>
      <c r="AC95" s="370"/>
      <c r="AD95" s="370"/>
    </row>
    <row r="96" spans="1:30" s="392" customFormat="1">
      <c r="B96" s="393"/>
      <c r="C96" s="373"/>
      <c r="D96" s="373"/>
      <c r="E96" s="373"/>
      <c r="F96" s="373"/>
      <c r="G96" s="373"/>
      <c r="H96" s="373"/>
      <c r="I96" s="371"/>
      <c r="J96" s="371"/>
      <c r="K96" s="371"/>
      <c r="L96" s="371"/>
      <c r="M96" s="371"/>
      <c r="N96" s="371"/>
      <c r="O96" s="371"/>
      <c r="P96" s="371"/>
      <c r="Q96" s="371"/>
      <c r="R96" s="371"/>
      <c r="S96" s="371"/>
      <c r="T96" s="371"/>
      <c r="U96" s="371"/>
      <c r="V96" s="370"/>
      <c r="W96" s="370"/>
      <c r="X96" s="370"/>
      <c r="Y96" s="370"/>
      <c r="Z96" s="370"/>
      <c r="AA96" s="370"/>
      <c r="AB96" s="370"/>
      <c r="AC96" s="370"/>
      <c r="AD96" s="370"/>
    </row>
    <row r="97" spans="2:30" s="392" customFormat="1">
      <c r="B97" s="393"/>
      <c r="C97" s="373"/>
      <c r="D97" s="373"/>
      <c r="E97" s="373"/>
      <c r="F97" s="373"/>
      <c r="G97" s="373"/>
      <c r="H97" s="373"/>
      <c r="I97" s="371"/>
      <c r="J97" s="371"/>
      <c r="K97" s="371"/>
      <c r="L97" s="371"/>
      <c r="M97" s="371"/>
      <c r="N97" s="371"/>
      <c r="O97" s="371"/>
      <c r="P97" s="371"/>
      <c r="Q97" s="371"/>
      <c r="R97" s="371"/>
      <c r="S97" s="371"/>
      <c r="T97" s="371"/>
      <c r="U97" s="371"/>
      <c r="V97" s="370"/>
      <c r="W97" s="370"/>
      <c r="X97" s="370"/>
      <c r="Y97" s="370"/>
      <c r="Z97" s="370"/>
      <c r="AA97" s="370"/>
      <c r="AB97" s="370"/>
      <c r="AC97" s="370"/>
      <c r="AD97" s="370"/>
    </row>
    <row r="98" spans="2:30" s="392" customFormat="1">
      <c r="B98" s="393"/>
      <c r="C98" s="373"/>
      <c r="D98" s="373"/>
      <c r="E98" s="373"/>
      <c r="F98" s="373"/>
      <c r="G98" s="373"/>
      <c r="H98" s="373"/>
      <c r="I98" s="371"/>
      <c r="J98" s="371"/>
      <c r="K98" s="371"/>
      <c r="L98" s="371"/>
      <c r="M98" s="371"/>
      <c r="N98" s="371"/>
      <c r="O98" s="371"/>
      <c r="P98" s="371"/>
      <c r="Q98" s="371"/>
      <c r="R98" s="371"/>
      <c r="S98" s="371"/>
      <c r="T98" s="371"/>
      <c r="U98" s="371"/>
      <c r="V98" s="370"/>
      <c r="W98" s="370"/>
      <c r="X98" s="370"/>
      <c r="Y98" s="370"/>
      <c r="Z98" s="370"/>
      <c r="AA98" s="370"/>
      <c r="AB98" s="370"/>
      <c r="AC98" s="370"/>
      <c r="AD98" s="370"/>
    </row>
    <row r="99" spans="2:30" s="392" customFormat="1">
      <c r="B99" s="393"/>
      <c r="C99" s="373"/>
      <c r="D99" s="373"/>
      <c r="E99" s="373"/>
      <c r="F99" s="373"/>
      <c r="G99" s="373"/>
      <c r="H99" s="373"/>
      <c r="I99" s="371"/>
      <c r="J99" s="371"/>
      <c r="K99" s="371"/>
      <c r="L99" s="371"/>
      <c r="M99" s="371"/>
      <c r="N99" s="371"/>
      <c r="O99" s="371"/>
      <c r="P99" s="371"/>
      <c r="Q99" s="371"/>
      <c r="R99" s="371"/>
      <c r="S99" s="371"/>
      <c r="T99" s="371"/>
      <c r="U99" s="371"/>
      <c r="V99" s="370"/>
      <c r="W99" s="370"/>
      <c r="X99" s="370"/>
      <c r="Y99" s="370"/>
      <c r="Z99" s="370"/>
      <c r="AA99" s="370"/>
      <c r="AB99" s="370"/>
      <c r="AC99" s="370"/>
      <c r="AD99" s="370"/>
    </row>
  </sheetData>
  <sheetProtection algorithmName="SHA-512" hashValue="a6wxkXJVGxlf3EmwiEddCMJlTOwWpfsbUYaUGD0QFdDhTFOxUoKe/1zItPhtr24rTubScTUPgmu2Iggxxrs8hQ==" saltValue="4WpukHpx6SUS3FhZZb+3Ug==" spinCount="100000" sheet="1" selectLockedCells="1"/>
  <printOptions headings="1" gridLines="1"/>
  <pageMargins left="0.5" right="0.5" top="0.5" bottom="0.5" header="0.3" footer="0.3"/>
  <pageSetup scale="49" orientation="portrait" cellComments="asDisplayed" r:id="rId1"/>
  <headerFooter>
    <oddHeader>&amp;L&amp;F&amp;RPage &amp;P of &amp;N</oddHeader>
    <oddFooter>&amp;L&amp;A&amp;R&amp;D &amp;T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1"/>
  <sheetViews>
    <sheetView view="pageBreakPreview" zoomScaleSheetLayoutView="100" workbookViewId="0"/>
  </sheetViews>
  <sheetFormatPr defaultColWidth="8.85546875" defaultRowHeight="15"/>
  <cols>
    <col min="1" max="1" width="17.140625" style="573" customWidth="1"/>
    <col min="2" max="3" width="16.5703125" style="573" customWidth="1"/>
    <col min="4" max="4" width="14.5703125" style="573" customWidth="1"/>
    <col min="5" max="5" width="16.5703125" style="573" customWidth="1"/>
    <col min="6" max="6" width="12.7109375" style="573" customWidth="1"/>
    <col min="7" max="7" width="16.5703125" style="573" customWidth="1"/>
    <col min="8" max="16384" width="8.85546875" style="573"/>
  </cols>
  <sheetData>
    <row r="1" spans="1:6" ht="15.75">
      <c r="A1" s="570" t="s">
        <v>714</v>
      </c>
      <c r="B1" s="570"/>
      <c r="C1" s="570"/>
      <c r="D1" s="570"/>
      <c r="E1" s="571"/>
      <c r="F1" s="572"/>
    </row>
    <row r="2" spans="1:6" ht="15.75">
      <c r="A2" s="574" t="s">
        <v>39</v>
      </c>
      <c r="B2" s="575">
        <f>Dashboard!D28</f>
        <v>0</v>
      </c>
      <c r="C2" s="576"/>
      <c r="D2" s="576"/>
      <c r="E2" s="576"/>
      <c r="F2" s="572"/>
    </row>
    <row r="3" spans="1:6" ht="15.75">
      <c r="A3" s="574" t="s">
        <v>40</v>
      </c>
      <c r="B3" s="577">
        <f>Dashboard!F6</f>
        <v>0.03</v>
      </c>
      <c r="C3" s="571"/>
      <c r="D3" s="571"/>
      <c r="E3" s="571"/>
      <c r="F3" s="572"/>
    </row>
    <row r="4" spans="1:6" ht="15.75">
      <c r="A4" s="574" t="s">
        <v>41</v>
      </c>
      <c r="B4" s="575">
        <f>Dashboard!D31</f>
        <v>0</v>
      </c>
      <c r="C4" s="578"/>
      <c r="D4" s="571"/>
      <c r="E4" s="571"/>
      <c r="F4" s="572"/>
    </row>
    <row r="5" spans="1:6" ht="15.75">
      <c r="A5" s="579" t="s">
        <v>42</v>
      </c>
      <c r="B5" s="579" t="s">
        <v>43</v>
      </c>
      <c r="C5" s="579" t="s">
        <v>44</v>
      </c>
      <c r="D5" s="580" t="s">
        <v>45</v>
      </c>
      <c r="E5" s="580" t="s">
        <v>46</v>
      </c>
      <c r="F5" s="581" t="s">
        <v>47</v>
      </c>
    </row>
    <row r="6" spans="1:6" ht="15.75">
      <c r="A6" s="581">
        <v>1</v>
      </c>
      <c r="B6" s="582">
        <f>B2</f>
        <v>0</v>
      </c>
      <c r="C6" s="582"/>
      <c r="D6" s="582">
        <f>+B6*$B$3*0.5</f>
        <v>0</v>
      </c>
      <c r="E6" s="583"/>
      <c r="F6" s="584">
        <f>Dashboard!E6</f>
        <v>2023</v>
      </c>
    </row>
    <row r="7" spans="1:6" ht="15.75">
      <c r="A7" s="581"/>
      <c r="B7" s="571">
        <f t="shared" ref="B7:B67" si="0">B6-C6</f>
        <v>0</v>
      </c>
      <c r="C7" s="571" t="e">
        <f>+B6/$B$4</f>
        <v>#DIV/0!</v>
      </c>
      <c r="D7" s="571">
        <f>+D6</f>
        <v>0</v>
      </c>
      <c r="E7" s="571" t="e">
        <f>SUM(C6:D7)</f>
        <v>#DIV/0!</v>
      </c>
      <c r="F7" s="585">
        <f>+F6</f>
        <v>2023</v>
      </c>
    </row>
    <row r="8" spans="1:6" ht="15.75">
      <c r="A8" s="581">
        <v>2</v>
      </c>
      <c r="B8" s="582" t="e">
        <f>B7-C7</f>
        <v>#DIV/0!</v>
      </c>
      <c r="C8" s="582"/>
      <c r="D8" s="582" t="e">
        <f>+B8*$B$3*0.5</f>
        <v>#DIV/0!</v>
      </c>
      <c r="E8" s="583"/>
      <c r="F8" s="586">
        <f>+F6+1</f>
        <v>2024</v>
      </c>
    </row>
    <row r="9" spans="1:6" ht="15.75">
      <c r="A9" s="581"/>
      <c r="B9" s="571" t="e">
        <f>B8-C8</f>
        <v>#DIV/0!</v>
      </c>
      <c r="C9" s="571" t="e">
        <f>+C7</f>
        <v>#DIV/0!</v>
      </c>
      <c r="D9" s="571" t="e">
        <f>+D8</f>
        <v>#DIV/0!</v>
      </c>
      <c r="E9" s="571">
        <f>IF($B$4&gt;1,SUM(C8:D9),0)</f>
        <v>0</v>
      </c>
      <c r="F9" s="585">
        <f>+F8</f>
        <v>2024</v>
      </c>
    </row>
    <row r="10" spans="1:6" ht="15.75">
      <c r="A10" s="581">
        <v>3</v>
      </c>
      <c r="B10" s="582" t="e">
        <f t="shared" si="0"/>
        <v>#DIV/0!</v>
      </c>
      <c r="C10" s="582"/>
      <c r="D10" s="582" t="e">
        <f>+B10*$B$3*0.5</f>
        <v>#DIV/0!</v>
      </c>
      <c r="E10" s="583"/>
      <c r="F10" s="586">
        <f>+F8+1</f>
        <v>2025</v>
      </c>
    </row>
    <row r="11" spans="1:6" ht="15.75">
      <c r="A11" s="581"/>
      <c r="B11" s="571" t="e">
        <f t="shared" si="0"/>
        <v>#DIV/0!</v>
      </c>
      <c r="C11" s="571" t="e">
        <f>+C9</f>
        <v>#DIV/0!</v>
      </c>
      <c r="D11" s="571" t="e">
        <f>+D10</f>
        <v>#DIV/0!</v>
      </c>
      <c r="E11" s="571">
        <f>IF($B$4&gt;2,SUM(C10:D11),0)</f>
        <v>0</v>
      </c>
      <c r="F11" s="585">
        <f>+F10</f>
        <v>2025</v>
      </c>
    </row>
    <row r="12" spans="1:6" ht="15.75">
      <c r="A12" s="581">
        <v>4</v>
      </c>
      <c r="B12" s="582" t="e">
        <f t="shared" si="0"/>
        <v>#DIV/0!</v>
      </c>
      <c r="C12" s="582"/>
      <c r="D12" s="582" t="e">
        <f>+B12*$B$3*0.5</f>
        <v>#DIV/0!</v>
      </c>
      <c r="E12" s="583"/>
      <c r="F12" s="586">
        <f>+F10+1</f>
        <v>2026</v>
      </c>
    </row>
    <row r="13" spans="1:6" ht="15.75">
      <c r="A13" s="581"/>
      <c r="B13" s="571" t="e">
        <f t="shared" si="0"/>
        <v>#DIV/0!</v>
      </c>
      <c r="C13" s="571" t="e">
        <f t="shared" ref="C13:C43" si="1">C11</f>
        <v>#DIV/0!</v>
      </c>
      <c r="D13" s="571" t="e">
        <f>+D12</f>
        <v>#DIV/0!</v>
      </c>
      <c r="E13" s="571">
        <f>IF($B$4&gt;3,SUM(C12:D13),0)</f>
        <v>0</v>
      </c>
      <c r="F13" s="585">
        <f>+F12</f>
        <v>2026</v>
      </c>
    </row>
    <row r="14" spans="1:6" ht="15.75">
      <c r="A14" s="581">
        <v>5</v>
      </c>
      <c r="B14" s="582" t="e">
        <f t="shared" si="0"/>
        <v>#DIV/0!</v>
      </c>
      <c r="C14" s="582"/>
      <c r="D14" s="582" t="e">
        <f>+B14*$B$3*0.5</f>
        <v>#DIV/0!</v>
      </c>
      <c r="E14" s="583"/>
      <c r="F14" s="586">
        <f>+F12+1</f>
        <v>2027</v>
      </c>
    </row>
    <row r="15" spans="1:6" ht="15.75">
      <c r="A15" s="581"/>
      <c r="B15" s="571" t="e">
        <f t="shared" si="0"/>
        <v>#DIV/0!</v>
      </c>
      <c r="C15" s="571" t="e">
        <f t="shared" si="1"/>
        <v>#DIV/0!</v>
      </c>
      <c r="D15" s="571" t="e">
        <f>+D14</f>
        <v>#DIV/0!</v>
      </c>
      <c r="E15" s="571">
        <f>IF($B$4&gt;4,SUM(C14:D15),0)</f>
        <v>0</v>
      </c>
      <c r="F15" s="585">
        <f>+F14</f>
        <v>2027</v>
      </c>
    </row>
    <row r="16" spans="1:6" ht="15.75">
      <c r="A16" s="581">
        <v>6</v>
      </c>
      <c r="B16" s="582" t="e">
        <f t="shared" si="0"/>
        <v>#DIV/0!</v>
      </c>
      <c r="C16" s="582"/>
      <c r="D16" s="582" t="e">
        <f>+B16*$B$3*0.5</f>
        <v>#DIV/0!</v>
      </c>
      <c r="E16" s="583"/>
      <c r="F16" s="586">
        <f>+F14+1</f>
        <v>2028</v>
      </c>
    </row>
    <row r="17" spans="1:7" ht="15.75">
      <c r="A17" s="581"/>
      <c r="B17" s="571" t="e">
        <f t="shared" si="0"/>
        <v>#DIV/0!</v>
      </c>
      <c r="C17" s="571" t="e">
        <f t="shared" si="1"/>
        <v>#DIV/0!</v>
      </c>
      <c r="D17" s="571" t="e">
        <f>+D16</f>
        <v>#DIV/0!</v>
      </c>
      <c r="E17" s="571">
        <f>IF($B$4&gt;5,SUM(C16:D17),0)</f>
        <v>0</v>
      </c>
      <c r="F17" s="585">
        <f>+F16</f>
        <v>2028</v>
      </c>
    </row>
    <row r="18" spans="1:7" ht="15.75">
      <c r="A18" s="581">
        <v>7</v>
      </c>
      <c r="B18" s="582" t="e">
        <f t="shared" si="0"/>
        <v>#DIV/0!</v>
      </c>
      <c r="C18" s="582"/>
      <c r="D18" s="582" t="e">
        <f>+B18*$B$3*0.5</f>
        <v>#DIV/0!</v>
      </c>
      <c r="E18" s="583"/>
      <c r="F18" s="586">
        <f>+F16+1</f>
        <v>2029</v>
      </c>
    </row>
    <row r="19" spans="1:7" ht="15.75">
      <c r="A19" s="581"/>
      <c r="B19" s="571" t="e">
        <f t="shared" si="0"/>
        <v>#DIV/0!</v>
      </c>
      <c r="C19" s="571" t="e">
        <f t="shared" si="1"/>
        <v>#DIV/0!</v>
      </c>
      <c r="D19" s="571" t="e">
        <f>+D18</f>
        <v>#DIV/0!</v>
      </c>
      <c r="E19" s="571">
        <f>IF($B$4&gt;6,SUM(C18:D19),0)</f>
        <v>0</v>
      </c>
      <c r="F19" s="585">
        <f>+F18</f>
        <v>2029</v>
      </c>
    </row>
    <row r="20" spans="1:7" ht="15.75">
      <c r="A20" s="581">
        <v>8</v>
      </c>
      <c r="B20" s="582" t="e">
        <f t="shared" si="0"/>
        <v>#DIV/0!</v>
      </c>
      <c r="C20" s="582"/>
      <c r="D20" s="582" t="e">
        <f>+B20*$B$3*0.5</f>
        <v>#DIV/0!</v>
      </c>
      <c r="E20" s="583"/>
      <c r="F20" s="586">
        <f>+F18+1</f>
        <v>2030</v>
      </c>
    </row>
    <row r="21" spans="1:7" ht="15.75">
      <c r="A21" s="581"/>
      <c r="B21" s="571" t="e">
        <f t="shared" si="0"/>
        <v>#DIV/0!</v>
      </c>
      <c r="C21" s="571" t="e">
        <f t="shared" si="1"/>
        <v>#DIV/0!</v>
      </c>
      <c r="D21" s="571" t="e">
        <f>+D20</f>
        <v>#DIV/0!</v>
      </c>
      <c r="E21" s="571">
        <f>IF($B$4&gt;7,SUM(C20:D21),0)</f>
        <v>0</v>
      </c>
      <c r="F21" s="585">
        <f>+F20</f>
        <v>2030</v>
      </c>
    </row>
    <row r="22" spans="1:7" ht="15.75">
      <c r="A22" s="581">
        <v>9</v>
      </c>
      <c r="B22" s="582" t="e">
        <f t="shared" si="0"/>
        <v>#DIV/0!</v>
      </c>
      <c r="C22" s="582"/>
      <c r="D22" s="582" t="e">
        <f>+B22*$B$3*0.5</f>
        <v>#DIV/0!</v>
      </c>
      <c r="E22" s="583"/>
      <c r="F22" s="586">
        <f>+F20+1</f>
        <v>2031</v>
      </c>
    </row>
    <row r="23" spans="1:7" ht="15.75">
      <c r="A23" s="581"/>
      <c r="B23" s="571" t="e">
        <f t="shared" si="0"/>
        <v>#DIV/0!</v>
      </c>
      <c r="C23" s="571" t="e">
        <f t="shared" si="1"/>
        <v>#DIV/0!</v>
      </c>
      <c r="D23" s="571" t="e">
        <f>+D22</f>
        <v>#DIV/0!</v>
      </c>
      <c r="E23" s="571">
        <f>IF($B$4&gt;8,SUM(C22:D23),0)</f>
        <v>0</v>
      </c>
      <c r="F23" s="585">
        <f>+F22</f>
        <v>2031</v>
      </c>
    </row>
    <row r="24" spans="1:7" ht="15.75">
      <c r="A24" s="581">
        <v>10</v>
      </c>
      <c r="B24" s="582" t="e">
        <f t="shared" si="0"/>
        <v>#DIV/0!</v>
      </c>
      <c r="C24" s="582"/>
      <c r="D24" s="582" t="e">
        <f>+B24*$B$3*0.5</f>
        <v>#DIV/0!</v>
      </c>
      <c r="E24" s="583"/>
      <c r="F24" s="586">
        <f>+F22+1</f>
        <v>2032</v>
      </c>
      <c r="G24" s="603" t="s">
        <v>719</v>
      </c>
    </row>
    <row r="25" spans="1:7" ht="15.75">
      <c r="A25" s="581"/>
      <c r="B25" s="571" t="e">
        <f t="shared" si="0"/>
        <v>#DIV/0!</v>
      </c>
      <c r="C25" s="571" t="e">
        <f t="shared" si="1"/>
        <v>#DIV/0!</v>
      </c>
      <c r="D25" s="571" t="e">
        <f>+D24</f>
        <v>#DIV/0!</v>
      </c>
      <c r="E25" s="571">
        <f>IF($B$4&gt;9,SUM(C24:D25),0)</f>
        <v>0</v>
      </c>
      <c r="F25" s="585">
        <f>+F24</f>
        <v>2032</v>
      </c>
      <c r="G25" s="602" t="e">
        <f>SUM(E7:E25)</f>
        <v>#DIV/0!</v>
      </c>
    </row>
    <row r="26" spans="1:7" ht="15.75">
      <c r="A26" s="581">
        <v>11</v>
      </c>
      <c r="B26" s="582" t="e">
        <f t="shared" si="0"/>
        <v>#DIV/0!</v>
      </c>
      <c r="C26" s="582"/>
      <c r="D26" s="582" t="e">
        <f>+B26*$B$3*0.5</f>
        <v>#DIV/0!</v>
      </c>
      <c r="E26" s="583"/>
      <c r="F26" s="586">
        <f>+F24+1</f>
        <v>2033</v>
      </c>
    </row>
    <row r="27" spans="1:7" ht="15.75">
      <c r="A27" s="581"/>
      <c r="B27" s="571" t="e">
        <f t="shared" si="0"/>
        <v>#DIV/0!</v>
      </c>
      <c r="C27" s="571" t="e">
        <f t="shared" si="1"/>
        <v>#DIV/0!</v>
      </c>
      <c r="D27" s="571" t="e">
        <f>+D26</f>
        <v>#DIV/0!</v>
      </c>
      <c r="E27" s="571">
        <f>IF($B$4&gt;10,SUM(C26:D27),0)</f>
        <v>0</v>
      </c>
      <c r="F27" s="585">
        <f>+F26</f>
        <v>2033</v>
      </c>
    </row>
    <row r="28" spans="1:7" ht="15.75">
      <c r="A28" s="581">
        <v>12</v>
      </c>
      <c r="B28" s="582" t="e">
        <f t="shared" si="0"/>
        <v>#DIV/0!</v>
      </c>
      <c r="C28" s="582"/>
      <c r="D28" s="582" t="e">
        <f>+B28*$B$3*0.5</f>
        <v>#DIV/0!</v>
      </c>
      <c r="E28" s="583"/>
      <c r="F28" s="586">
        <f>+F26+1</f>
        <v>2034</v>
      </c>
    </row>
    <row r="29" spans="1:7" ht="15.75">
      <c r="A29" s="581"/>
      <c r="B29" s="571" t="e">
        <f t="shared" si="0"/>
        <v>#DIV/0!</v>
      </c>
      <c r="C29" s="571" t="e">
        <f>+C27</f>
        <v>#DIV/0!</v>
      </c>
      <c r="D29" s="571" t="e">
        <f>+D28</f>
        <v>#DIV/0!</v>
      </c>
      <c r="E29" s="571">
        <f>IF($B$4&gt;11,SUM(C28:D29),0)</f>
        <v>0</v>
      </c>
      <c r="F29" s="585">
        <f>+F28</f>
        <v>2034</v>
      </c>
    </row>
    <row r="30" spans="1:7" ht="15.75">
      <c r="A30" s="581">
        <v>13</v>
      </c>
      <c r="B30" s="582" t="e">
        <f t="shared" si="0"/>
        <v>#DIV/0!</v>
      </c>
      <c r="C30" s="582"/>
      <c r="D30" s="582" t="e">
        <f>+B30*$B$3*0.5</f>
        <v>#DIV/0!</v>
      </c>
      <c r="E30" s="583"/>
      <c r="F30" s="586">
        <f>+F28+1</f>
        <v>2035</v>
      </c>
    </row>
    <row r="31" spans="1:7" ht="15.75">
      <c r="A31" s="581"/>
      <c r="B31" s="571" t="e">
        <f t="shared" si="0"/>
        <v>#DIV/0!</v>
      </c>
      <c r="C31" s="571" t="e">
        <f t="shared" si="1"/>
        <v>#DIV/0!</v>
      </c>
      <c r="D31" s="571" t="e">
        <f>+D30</f>
        <v>#DIV/0!</v>
      </c>
      <c r="E31" s="571">
        <f>IF($B$4&gt;12,SUM(C30:D31),0)</f>
        <v>0</v>
      </c>
      <c r="F31" s="585">
        <f>+F30</f>
        <v>2035</v>
      </c>
    </row>
    <row r="32" spans="1:7" ht="15.75">
      <c r="A32" s="581">
        <v>14</v>
      </c>
      <c r="B32" s="582" t="e">
        <f t="shared" si="0"/>
        <v>#DIV/0!</v>
      </c>
      <c r="C32" s="582"/>
      <c r="D32" s="582" t="e">
        <f>+B32*$B$3*0.5</f>
        <v>#DIV/0!</v>
      </c>
      <c r="E32" s="583"/>
      <c r="F32" s="586">
        <f>+F30+1</f>
        <v>2036</v>
      </c>
    </row>
    <row r="33" spans="1:7" ht="15.75">
      <c r="A33" s="581"/>
      <c r="B33" s="571" t="e">
        <f t="shared" si="0"/>
        <v>#DIV/0!</v>
      </c>
      <c r="C33" s="571" t="e">
        <f>+C31</f>
        <v>#DIV/0!</v>
      </c>
      <c r="D33" s="571" t="e">
        <f>+D32</f>
        <v>#DIV/0!</v>
      </c>
      <c r="E33" s="571">
        <f>IF($B$4&gt;13,SUM(C32:D33),0)</f>
        <v>0</v>
      </c>
      <c r="F33" s="585">
        <f>+F32</f>
        <v>2036</v>
      </c>
    </row>
    <row r="34" spans="1:7" ht="15.75">
      <c r="A34" s="581">
        <v>15</v>
      </c>
      <c r="B34" s="582" t="e">
        <f t="shared" si="0"/>
        <v>#DIV/0!</v>
      </c>
      <c r="C34" s="582"/>
      <c r="D34" s="582" t="e">
        <f>+B34*$B$3*0.5</f>
        <v>#DIV/0!</v>
      </c>
      <c r="E34" s="583"/>
      <c r="F34" s="586">
        <f>+F32+1</f>
        <v>2037</v>
      </c>
    </row>
    <row r="35" spans="1:7" ht="15.75">
      <c r="A35" s="581"/>
      <c r="B35" s="571" t="e">
        <f t="shared" si="0"/>
        <v>#DIV/0!</v>
      </c>
      <c r="C35" s="571" t="e">
        <f t="shared" si="1"/>
        <v>#DIV/0!</v>
      </c>
      <c r="D35" s="571" t="e">
        <f>+D34</f>
        <v>#DIV/0!</v>
      </c>
      <c r="E35" s="571">
        <f>IF($B$4&gt;14,SUM(C34:D35),0)</f>
        <v>0</v>
      </c>
      <c r="F35" s="585">
        <f>+F34</f>
        <v>2037</v>
      </c>
    </row>
    <row r="36" spans="1:7" ht="15.75">
      <c r="A36" s="581">
        <v>16</v>
      </c>
      <c r="B36" s="582" t="e">
        <f t="shared" si="0"/>
        <v>#DIV/0!</v>
      </c>
      <c r="C36" s="582"/>
      <c r="D36" s="582" t="e">
        <f>+B36*$B$3*0.5</f>
        <v>#DIV/0!</v>
      </c>
      <c r="E36" s="583"/>
      <c r="F36" s="586">
        <f>+F34+1</f>
        <v>2038</v>
      </c>
    </row>
    <row r="37" spans="1:7" ht="15.75">
      <c r="A37" s="581"/>
      <c r="B37" s="571" t="e">
        <f t="shared" si="0"/>
        <v>#DIV/0!</v>
      </c>
      <c r="C37" s="571" t="e">
        <f>+C35</f>
        <v>#DIV/0!</v>
      </c>
      <c r="D37" s="571" t="e">
        <f>+D36</f>
        <v>#DIV/0!</v>
      </c>
      <c r="E37" s="571">
        <f>IF($B$4&gt;15,SUM(C36:D37),0)</f>
        <v>0</v>
      </c>
      <c r="F37" s="585">
        <f>+F36</f>
        <v>2038</v>
      </c>
    </row>
    <row r="38" spans="1:7" ht="15.75">
      <c r="A38" s="581">
        <v>17</v>
      </c>
      <c r="B38" s="582" t="e">
        <f t="shared" si="0"/>
        <v>#DIV/0!</v>
      </c>
      <c r="C38" s="582"/>
      <c r="D38" s="582" t="e">
        <f>+B38*$B$3*0.5</f>
        <v>#DIV/0!</v>
      </c>
      <c r="E38" s="583"/>
      <c r="F38" s="586">
        <f>+F36+1</f>
        <v>2039</v>
      </c>
    </row>
    <row r="39" spans="1:7" ht="15.75">
      <c r="A39" s="581"/>
      <c r="B39" s="571" t="e">
        <f t="shared" si="0"/>
        <v>#DIV/0!</v>
      </c>
      <c r="C39" s="571" t="e">
        <f t="shared" si="1"/>
        <v>#DIV/0!</v>
      </c>
      <c r="D39" s="571" t="e">
        <f>+D38</f>
        <v>#DIV/0!</v>
      </c>
      <c r="E39" s="571">
        <f>IF($B$4&gt;16,SUM(C38:D39),0)</f>
        <v>0</v>
      </c>
      <c r="F39" s="585">
        <f>+F38</f>
        <v>2039</v>
      </c>
    </row>
    <row r="40" spans="1:7" ht="15.75">
      <c r="A40" s="581">
        <v>18</v>
      </c>
      <c r="B40" s="582" t="e">
        <f t="shared" si="0"/>
        <v>#DIV/0!</v>
      </c>
      <c r="C40" s="582"/>
      <c r="D40" s="582" t="e">
        <f>+B40*$B$3*0.5</f>
        <v>#DIV/0!</v>
      </c>
      <c r="E40" s="583"/>
      <c r="F40" s="586">
        <f>+F38+1</f>
        <v>2040</v>
      </c>
    </row>
    <row r="41" spans="1:7" ht="15.75">
      <c r="A41" s="581"/>
      <c r="B41" s="571" t="e">
        <f t="shared" si="0"/>
        <v>#DIV/0!</v>
      </c>
      <c r="C41" s="571" t="e">
        <f t="shared" si="1"/>
        <v>#DIV/0!</v>
      </c>
      <c r="D41" s="571" t="e">
        <f>+D40</f>
        <v>#DIV/0!</v>
      </c>
      <c r="E41" s="571">
        <f>IF($B$4&gt;17,SUM(C40:D41),0)</f>
        <v>0</v>
      </c>
      <c r="F41" s="585">
        <f>+F40</f>
        <v>2040</v>
      </c>
    </row>
    <row r="42" spans="1:7" ht="15.75">
      <c r="A42" s="581">
        <v>19</v>
      </c>
      <c r="B42" s="582" t="e">
        <f t="shared" si="0"/>
        <v>#DIV/0!</v>
      </c>
      <c r="C42" s="582"/>
      <c r="D42" s="582" t="e">
        <f>+B42*$B$3*0.5</f>
        <v>#DIV/0!</v>
      </c>
      <c r="E42" s="583"/>
      <c r="F42" s="586">
        <f>+F40+1</f>
        <v>2041</v>
      </c>
    </row>
    <row r="43" spans="1:7" ht="15.75">
      <c r="A43" s="581"/>
      <c r="B43" s="571" t="e">
        <f t="shared" si="0"/>
        <v>#DIV/0!</v>
      </c>
      <c r="C43" s="571" t="e">
        <f t="shared" si="1"/>
        <v>#DIV/0!</v>
      </c>
      <c r="D43" s="571" t="e">
        <f>+D42</f>
        <v>#DIV/0!</v>
      </c>
      <c r="E43" s="571">
        <f>IF($B$4&gt;18,SUM(C42:D43),0)</f>
        <v>0</v>
      </c>
      <c r="F43" s="585">
        <f>+F42</f>
        <v>2041</v>
      </c>
    </row>
    <row r="44" spans="1:7" ht="15.75">
      <c r="A44" s="581">
        <v>20</v>
      </c>
      <c r="B44" s="582" t="e">
        <f t="shared" si="0"/>
        <v>#DIV/0!</v>
      </c>
      <c r="C44" s="582"/>
      <c r="D44" s="582" t="e">
        <f>+B44*$B$3*0.5</f>
        <v>#DIV/0!</v>
      </c>
      <c r="E44" s="583"/>
      <c r="F44" s="586">
        <f>+F42+1</f>
        <v>2042</v>
      </c>
    </row>
    <row r="45" spans="1:7" ht="15.75">
      <c r="A45" s="581"/>
      <c r="B45" s="571" t="e">
        <f>ROUND(B44-C44,0)</f>
        <v>#DIV/0!</v>
      </c>
      <c r="C45" s="571" t="e">
        <f>ROUND(C43,0)</f>
        <v>#DIV/0!</v>
      </c>
      <c r="D45" s="571" t="e">
        <f>+D44</f>
        <v>#DIV/0!</v>
      </c>
      <c r="E45" s="571">
        <f>IF($B$4&gt;19,SUM(C44:D45),0)</f>
        <v>0</v>
      </c>
      <c r="F45" s="585">
        <f>+F44</f>
        <v>2042</v>
      </c>
      <c r="G45" s="587"/>
    </row>
    <row r="46" spans="1:7" ht="15.75">
      <c r="A46" s="581">
        <v>21</v>
      </c>
      <c r="B46" s="582" t="e">
        <f t="shared" si="0"/>
        <v>#DIV/0!</v>
      </c>
      <c r="C46" s="582"/>
      <c r="D46" s="582" t="e">
        <f>+B46*$B$3*0.5</f>
        <v>#DIV/0!</v>
      </c>
      <c r="E46" s="583"/>
      <c r="F46" s="586">
        <f>+F44+1</f>
        <v>2043</v>
      </c>
    </row>
    <row r="47" spans="1:7" ht="15.75">
      <c r="A47" s="571"/>
      <c r="B47" s="571" t="e">
        <f t="shared" si="0"/>
        <v>#DIV/0!</v>
      </c>
      <c r="C47" s="571" t="e">
        <f>IF($B$4=20,0,+C45)</f>
        <v>#DIV/0!</v>
      </c>
      <c r="D47" s="571" t="e">
        <f>+D46</f>
        <v>#DIV/0!</v>
      </c>
      <c r="E47" s="571">
        <f>IF($B$4&gt;20,SUM(C46:D47),0)</f>
        <v>0</v>
      </c>
      <c r="F47" s="585">
        <f>+F46</f>
        <v>2043</v>
      </c>
    </row>
    <row r="48" spans="1:7" ht="15.75">
      <c r="A48" s="581">
        <v>22</v>
      </c>
      <c r="B48" s="582" t="e">
        <f t="shared" si="0"/>
        <v>#DIV/0!</v>
      </c>
      <c r="C48" s="582"/>
      <c r="D48" s="582" t="e">
        <f>+B48*$B$3*0.5</f>
        <v>#DIV/0!</v>
      </c>
      <c r="E48" s="583"/>
      <c r="F48" s="586">
        <f>+F46+1</f>
        <v>2044</v>
      </c>
    </row>
    <row r="49" spans="1:6" ht="15.75">
      <c r="A49" s="571"/>
      <c r="B49" s="571" t="e">
        <f t="shared" si="0"/>
        <v>#DIV/0!</v>
      </c>
      <c r="C49" s="571" t="e">
        <f>+C47</f>
        <v>#DIV/0!</v>
      </c>
      <c r="D49" s="571" t="e">
        <f>+D48</f>
        <v>#DIV/0!</v>
      </c>
      <c r="E49" s="571">
        <f>IF($B$4&gt;21,SUM(C48:D49),0)</f>
        <v>0</v>
      </c>
      <c r="F49" s="585">
        <f>+F48</f>
        <v>2044</v>
      </c>
    </row>
    <row r="50" spans="1:6" ht="15.75">
      <c r="A50" s="581">
        <v>23</v>
      </c>
      <c r="B50" s="582" t="e">
        <f t="shared" si="0"/>
        <v>#DIV/0!</v>
      </c>
      <c r="C50" s="582"/>
      <c r="D50" s="582" t="e">
        <f>+B50*$B$3*0.5</f>
        <v>#DIV/0!</v>
      </c>
      <c r="E50" s="583"/>
      <c r="F50" s="586">
        <f>+F48+1</f>
        <v>2045</v>
      </c>
    </row>
    <row r="51" spans="1:6" ht="15.75">
      <c r="A51" s="571"/>
      <c r="B51" s="571" t="e">
        <f t="shared" si="0"/>
        <v>#DIV/0!</v>
      </c>
      <c r="C51" s="571" t="e">
        <f>+C49</f>
        <v>#DIV/0!</v>
      </c>
      <c r="D51" s="571" t="e">
        <f>+D50</f>
        <v>#DIV/0!</v>
      </c>
      <c r="E51" s="571">
        <f>IF($B$4&gt;22,SUM(C50:D51),0)</f>
        <v>0</v>
      </c>
      <c r="F51" s="585">
        <f>+F50</f>
        <v>2045</v>
      </c>
    </row>
    <row r="52" spans="1:6" ht="15.75">
      <c r="A52" s="581">
        <v>24</v>
      </c>
      <c r="B52" s="582" t="e">
        <f t="shared" si="0"/>
        <v>#DIV/0!</v>
      </c>
      <c r="C52" s="582"/>
      <c r="D52" s="582" t="e">
        <f>+B52*$B$3*0.5</f>
        <v>#DIV/0!</v>
      </c>
      <c r="E52" s="583"/>
      <c r="F52" s="586">
        <f>+F50+1</f>
        <v>2046</v>
      </c>
    </row>
    <row r="53" spans="1:6" ht="15.75">
      <c r="A53" s="571"/>
      <c r="B53" s="571" t="e">
        <f t="shared" si="0"/>
        <v>#DIV/0!</v>
      </c>
      <c r="C53" s="571" t="e">
        <f>+C51</f>
        <v>#DIV/0!</v>
      </c>
      <c r="D53" s="571" t="e">
        <f>+D52</f>
        <v>#DIV/0!</v>
      </c>
      <c r="E53" s="571">
        <f>IF($B$4&gt;23,SUM(C52:D53),0)</f>
        <v>0</v>
      </c>
      <c r="F53" s="585">
        <f>+F52</f>
        <v>2046</v>
      </c>
    </row>
    <row r="54" spans="1:6" ht="15.75">
      <c r="A54" s="581">
        <v>25</v>
      </c>
      <c r="B54" s="582" t="e">
        <f t="shared" si="0"/>
        <v>#DIV/0!</v>
      </c>
      <c r="C54" s="582"/>
      <c r="D54" s="582" t="e">
        <f>+B54*$B$3*0.5</f>
        <v>#DIV/0!</v>
      </c>
      <c r="E54" s="583"/>
      <c r="F54" s="586">
        <f>+F52+1</f>
        <v>2047</v>
      </c>
    </row>
    <row r="55" spans="1:6" ht="15.75">
      <c r="A55" s="571"/>
      <c r="B55" s="571" t="e">
        <f t="shared" si="0"/>
        <v>#DIV/0!</v>
      </c>
      <c r="C55" s="571" t="e">
        <f>+C53</f>
        <v>#DIV/0!</v>
      </c>
      <c r="D55" s="571" t="e">
        <f>+D54</f>
        <v>#DIV/0!</v>
      </c>
      <c r="E55" s="571">
        <f>IF($B$4&gt;24,SUM(C54:D55),0)</f>
        <v>0</v>
      </c>
      <c r="F55" s="585">
        <f>+F54</f>
        <v>2047</v>
      </c>
    </row>
    <row r="56" spans="1:6" ht="15.75">
      <c r="A56" s="581">
        <v>26</v>
      </c>
      <c r="B56" s="582" t="e">
        <f t="shared" si="0"/>
        <v>#DIV/0!</v>
      </c>
      <c r="C56" s="582"/>
      <c r="D56" s="582" t="e">
        <f>+B56*$B$3*0.5</f>
        <v>#DIV/0!</v>
      </c>
      <c r="E56" s="583"/>
      <c r="F56" s="586">
        <f>+F54+1</f>
        <v>2048</v>
      </c>
    </row>
    <row r="57" spans="1:6" ht="15.75">
      <c r="A57" s="571"/>
      <c r="B57" s="571" t="e">
        <f t="shared" si="0"/>
        <v>#DIV/0!</v>
      </c>
      <c r="C57" s="571" t="e">
        <f>+C55</f>
        <v>#DIV/0!</v>
      </c>
      <c r="D57" s="571" t="e">
        <f>+D56</f>
        <v>#DIV/0!</v>
      </c>
      <c r="E57" s="571">
        <f>IF($B$4&gt;25,SUM(C56:D57),0)</f>
        <v>0</v>
      </c>
      <c r="F57" s="585">
        <f>+F56</f>
        <v>2048</v>
      </c>
    </row>
    <row r="58" spans="1:6" ht="15.75">
      <c r="A58" s="581">
        <v>27</v>
      </c>
      <c r="B58" s="582" t="e">
        <f>B57-C57</f>
        <v>#DIV/0!</v>
      </c>
      <c r="C58" s="582"/>
      <c r="D58" s="582" t="e">
        <f>+B58*$B$3*0.5</f>
        <v>#DIV/0!</v>
      </c>
      <c r="E58" s="583"/>
      <c r="F58" s="586">
        <f>+F56+1</f>
        <v>2049</v>
      </c>
    </row>
    <row r="59" spans="1:6" ht="15.75">
      <c r="A59" s="571"/>
      <c r="B59" s="571" t="e">
        <f t="shared" si="0"/>
        <v>#DIV/0!</v>
      </c>
      <c r="C59" s="571" t="e">
        <f>+C57</f>
        <v>#DIV/0!</v>
      </c>
      <c r="D59" s="571" t="e">
        <f>+D58</f>
        <v>#DIV/0!</v>
      </c>
      <c r="E59" s="571">
        <f>IF($B$4&gt;26,SUM(C58:D59),0)</f>
        <v>0</v>
      </c>
      <c r="F59" s="585">
        <f>+F58</f>
        <v>2049</v>
      </c>
    </row>
    <row r="60" spans="1:6" ht="15.75">
      <c r="A60" s="581">
        <v>28</v>
      </c>
      <c r="B60" s="582" t="e">
        <f t="shared" si="0"/>
        <v>#DIV/0!</v>
      </c>
      <c r="C60" s="582"/>
      <c r="D60" s="582" t="e">
        <f>+B60*$B$3*0.5</f>
        <v>#DIV/0!</v>
      </c>
      <c r="E60" s="583"/>
      <c r="F60" s="586">
        <f>+F58+1</f>
        <v>2050</v>
      </c>
    </row>
    <row r="61" spans="1:6" ht="15.75">
      <c r="A61" s="571"/>
      <c r="B61" s="571" t="e">
        <f t="shared" si="0"/>
        <v>#DIV/0!</v>
      </c>
      <c r="C61" s="571" t="e">
        <f>+C59</f>
        <v>#DIV/0!</v>
      </c>
      <c r="D61" s="571" t="e">
        <f>+D60</f>
        <v>#DIV/0!</v>
      </c>
      <c r="E61" s="571">
        <f>IF($B$4&gt;27,SUM(C60:D61),0)</f>
        <v>0</v>
      </c>
      <c r="F61" s="585">
        <f>+F60</f>
        <v>2050</v>
      </c>
    </row>
    <row r="62" spans="1:6" ht="15.75">
      <c r="A62" s="581">
        <v>29</v>
      </c>
      <c r="B62" s="582" t="e">
        <f t="shared" si="0"/>
        <v>#DIV/0!</v>
      </c>
      <c r="C62" s="582"/>
      <c r="D62" s="582" t="e">
        <f>+B62*$B$3*0.5</f>
        <v>#DIV/0!</v>
      </c>
      <c r="E62" s="583"/>
      <c r="F62" s="586">
        <f>+F60+1</f>
        <v>2051</v>
      </c>
    </row>
    <row r="63" spans="1:6" ht="15.75">
      <c r="A63" s="571"/>
      <c r="B63" s="571" t="e">
        <f t="shared" si="0"/>
        <v>#DIV/0!</v>
      </c>
      <c r="C63" s="571" t="e">
        <f>+C61</f>
        <v>#DIV/0!</v>
      </c>
      <c r="D63" s="571" t="e">
        <f>+D62</f>
        <v>#DIV/0!</v>
      </c>
      <c r="E63" s="571">
        <f>IF($B$4&gt;28,SUM(C62:D63),0)</f>
        <v>0</v>
      </c>
      <c r="F63" s="585">
        <f>+F62</f>
        <v>2051</v>
      </c>
    </row>
    <row r="64" spans="1:6" ht="15.75">
      <c r="A64" s="581">
        <v>30</v>
      </c>
      <c r="B64" s="582" t="e">
        <f>IF($B$4=29,0,B63-C63)</f>
        <v>#DIV/0!</v>
      </c>
      <c r="C64" s="582"/>
      <c r="D64" s="582" t="e">
        <f>+B64*$B$3*0.5</f>
        <v>#DIV/0!</v>
      </c>
      <c r="E64" s="583"/>
      <c r="F64" s="586">
        <f>+F62+1</f>
        <v>2052</v>
      </c>
    </row>
    <row r="65" spans="1:7" ht="15.75">
      <c r="A65" s="571"/>
      <c r="B65" s="571" t="e">
        <f>B64-C64</f>
        <v>#DIV/0!</v>
      </c>
      <c r="C65" s="571" t="e">
        <f>IF($B$4=29,0,C63)</f>
        <v>#DIV/0!</v>
      </c>
      <c r="D65" s="571" t="e">
        <f>+D64</f>
        <v>#DIV/0!</v>
      </c>
      <c r="E65" s="571">
        <f>IF($B$4&gt;29,SUM(C64:D65),0)</f>
        <v>0</v>
      </c>
      <c r="F65" s="585">
        <f>+F64</f>
        <v>2052</v>
      </c>
    </row>
    <row r="66" spans="1:7" ht="15.75">
      <c r="A66" s="581">
        <v>31</v>
      </c>
      <c r="B66" s="582" t="e">
        <f>B65-C65</f>
        <v>#DIV/0!</v>
      </c>
      <c r="C66" s="582"/>
      <c r="D66" s="582" t="e">
        <f>+B66*$B$3*0.5</f>
        <v>#DIV/0!</v>
      </c>
      <c r="E66" s="583"/>
      <c r="F66" s="586">
        <f>+F64+1</f>
        <v>2053</v>
      </c>
    </row>
    <row r="67" spans="1:7" ht="15.75">
      <c r="A67" s="571"/>
      <c r="B67" s="588" t="e">
        <f t="shared" si="0"/>
        <v>#DIV/0!</v>
      </c>
      <c r="C67" s="588"/>
      <c r="D67" s="588" t="e">
        <f>+D66</f>
        <v>#DIV/0!</v>
      </c>
      <c r="E67" s="588">
        <f>IF($B$4&gt;30,SUM(C66:D67),0)</f>
        <v>0</v>
      </c>
      <c r="F67" s="589">
        <f>+F66</f>
        <v>2053</v>
      </c>
      <c r="G67" s="590"/>
    </row>
    <row r="68" spans="1:7" ht="15.75">
      <c r="A68" s="571"/>
      <c r="B68" s="571"/>
      <c r="C68" s="570" t="e">
        <f>SUM(C6:C67)</f>
        <v>#DIV/0!</v>
      </c>
      <c r="D68" s="570" t="e">
        <f>SUM(D6:D67)</f>
        <v>#DIV/0!</v>
      </c>
      <c r="E68" s="598">
        <f>SUM(E26:E65)</f>
        <v>0</v>
      </c>
      <c r="F68" s="571"/>
    </row>
    <row r="69" spans="1:7" ht="15.75">
      <c r="A69" s="571"/>
      <c r="B69" s="571"/>
      <c r="C69" s="570"/>
      <c r="D69" s="570"/>
      <c r="E69" s="598"/>
      <c r="F69" s="571"/>
    </row>
    <row r="70" spans="1:7" ht="18.75">
      <c r="C70" s="599"/>
      <c r="D70" s="600" t="s">
        <v>718</v>
      </c>
      <c r="E70" s="601">
        <f>SUM(E27:E67)</f>
        <v>0</v>
      </c>
    </row>
    <row r="71" spans="1:7">
      <c r="D71" s="591"/>
      <c r="E71" s="592"/>
    </row>
  </sheetData>
  <sheetProtection algorithmName="SHA-512" hashValue="CROcYDvkaP/9mnHdLxVGzoLbXQR/MlJM1WjbP3/MXwL4FuCAZsDqLSnbHus00J+OdZ3oFbYRsBZm5kHDDKfiCw==" saltValue="YJUlJ7fXnUP2kW3tbJ5+QQ==" spinCount="100000" sheet="1" objects="1" scenarios="1"/>
  <printOptions headings="1" gridLines="1"/>
  <pageMargins left="0.7" right="0.7" top="0.75" bottom="0.75" header="0.3" footer="0.3"/>
  <pageSetup scale="79" orientation="portrait" r:id="rId1"/>
  <headerFooter>
    <oddHeader>&amp;L&amp;F&amp;RPage &amp;P of &amp;N</oddHeader>
    <oddFooter>&amp;L&amp;A&amp;R&amp;D &amp;T</oddFooter>
  </headerFooter>
  <rowBreaks count="1" manualBreakCount="1">
    <brk id="4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L841"/>
  <sheetViews>
    <sheetView showGridLines="0" view="pageBreakPreview" zoomScaleNormal="100" zoomScaleSheetLayoutView="100" workbookViewId="0">
      <selection activeCell="B1" sqref="B1"/>
    </sheetView>
  </sheetViews>
  <sheetFormatPr defaultColWidth="9.140625" defaultRowHeight="12.75"/>
  <cols>
    <col min="1" max="1" width="10.28515625" style="510" customWidth="1"/>
    <col min="2" max="2" width="6.42578125" style="510" customWidth="1"/>
    <col min="3" max="3" width="9.42578125" style="510" customWidth="1"/>
    <col min="4" max="4" width="12.140625" style="510" customWidth="1"/>
    <col min="5" max="5" width="18.7109375" style="510" customWidth="1"/>
    <col min="6" max="6" width="5.28515625" style="510" customWidth="1"/>
    <col min="7" max="7" width="10.7109375" style="510" customWidth="1"/>
    <col min="8" max="8" width="11.85546875" style="510" customWidth="1"/>
    <col min="9" max="9" width="16.5703125" style="510" customWidth="1"/>
    <col min="10" max="10" width="16.42578125" style="510" hidden="1" customWidth="1"/>
    <col min="11" max="11" width="19" style="510" customWidth="1"/>
    <col min="12" max="12" width="13.7109375" style="510" customWidth="1"/>
    <col min="13" max="16384" width="9.140625" style="510"/>
  </cols>
  <sheetData>
    <row r="1" spans="2:10" ht="22.9" customHeight="1">
      <c r="B1" s="593" t="s">
        <v>715</v>
      </c>
      <c r="C1" s="508"/>
      <c r="D1" s="594"/>
      <c r="E1" s="508"/>
      <c r="F1" s="508"/>
      <c r="G1" s="508"/>
      <c r="H1" s="509"/>
      <c r="I1" s="509"/>
    </row>
    <row r="2" spans="2:10" ht="12.75" customHeight="1">
      <c r="B2" s="511"/>
      <c r="C2" s="512"/>
      <c r="D2" s="512"/>
      <c r="E2" s="512"/>
      <c r="F2" s="512"/>
      <c r="G2" s="512"/>
      <c r="H2" s="512"/>
      <c r="I2" s="513" t="str">
        <f ca="1">"© 2008-" &amp; YEAR(TODAY()) &amp; " Vertex42 LLC"</f>
        <v>© 2008-2022 Vertex42 LLC</v>
      </c>
    </row>
    <row r="5" spans="2:10" ht="14.25">
      <c r="B5" s="514" t="s">
        <v>670</v>
      </c>
      <c r="C5" s="515"/>
      <c r="D5" s="515"/>
      <c r="E5" s="515"/>
      <c r="G5" s="514" t="s">
        <v>671</v>
      </c>
      <c r="H5" s="516"/>
      <c r="I5" s="516"/>
      <c r="J5" s="517" t="s">
        <v>672</v>
      </c>
    </row>
    <row r="6" spans="2:10" ht="15" customHeight="1">
      <c r="B6" s="512"/>
      <c r="C6" s="512"/>
      <c r="D6" s="518" t="s">
        <v>673</v>
      </c>
      <c r="E6" s="595">
        <f>Dashboard!D28</f>
        <v>0</v>
      </c>
      <c r="H6" s="519" t="s">
        <v>674</v>
      </c>
      <c r="I6" s="520">
        <f>((1+E7/E15)^(E15/E14))-1</f>
        <v>3.0000000000000027E-2</v>
      </c>
      <c r="J6" s="510" t="s">
        <v>152</v>
      </c>
    </row>
    <row r="7" spans="2:10" ht="15" customHeight="1">
      <c r="B7" s="512"/>
      <c r="C7" s="512"/>
      <c r="D7" s="518" t="s">
        <v>675</v>
      </c>
      <c r="E7" s="521">
        <f>Dashboard!F6</f>
        <v>0.03</v>
      </c>
      <c r="H7" s="519" t="s">
        <v>676</v>
      </c>
      <c r="I7" s="522">
        <f>SUM(G61:G840)+SUM(H61:H840)</f>
        <v>0</v>
      </c>
      <c r="J7" s="510" t="s">
        <v>677</v>
      </c>
    </row>
    <row r="8" spans="2:10" ht="15" customHeight="1">
      <c r="B8" s="512"/>
      <c r="C8" s="512"/>
      <c r="D8" s="518" t="s">
        <v>678</v>
      </c>
      <c r="E8" s="523">
        <f>Dashboard!D33</f>
        <v>30</v>
      </c>
      <c r="H8" s="519" t="s">
        <v>679</v>
      </c>
      <c r="I8" s="524">
        <f>SUM(G60:G840)</f>
        <v>0</v>
      </c>
      <c r="J8" s="510" t="s">
        <v>680</v>
      </c>
    </row>
    <row r="9" spans="2:10" ht="15" customHeight="1">
      <c r="B9" s="512"/>
      <c r="C9" s="512"/>
      <c r="D9" s="518" t="s">
        <v>681</v>
      </c>
      <c r="E9" s="525">
        <v>44743</v>
      </c>
      <c r="H9" s="519" t="s">
        <v>682</v>
      </c>
      <c r="I9" s="526" t="str">
        <f>IF(AND(SUM(E61:E840)=0,roundOpt)," - ",(nper*(-PMT(rate,nper,loan_amount,,pmtType))-loan_amount)-I8)</f>
        <v xml:space="preserve"> - </v>
      </c>
      <c r="J9" s="510" t="s">
        <v>683</v>
      </c>
    </row>
    <row r="10" spans="2:10" ht="15" customHeight="1">
      <c r="B10" s="512" t="e">
        <f>+#REF!</f>
        <v>#REF!</v>
      </c>
      <c r="C10" s="512"/>
      <c r="D10" s="518" t="s">
        <v>684</v>
      </c>
      <c r="E10" s="525" t="s">
        <v>685</v>
      </c>
      <c r="I10" s="527" t="str">
        <f ca="1">IF(AND(NOT(I840=""),I840&gt;0.004),"ERROR: Limit is "&amp;OFFSET(B841,-1,0,1,1)&amp;" payments",".")</f>
        <v>.</v>
      </c>
      <c r="J10" s="510" t="s">
        <v>686</v>
      </c>
    </row>
    <row r="11" spans="2:10" ht="15" customHeight="1">
      <c r="B11" s="512"/>
      <c r="C11" s="512"/>
      <c r="D11" s="518" t="s">
        <v>687</v>
      </c>
      <c r="E11" s="528" t="str">
        <f>E10</f>
        <v>annual</v>
      </c>
      <c r="I11" s="529" t="str">
        <f>IF(E15&gt;E14,"Warning: negative amortization",".")</f>
        <v>.</v>
      </c>
      <c r="J11" s="510" t="s">
        <v>688</v>
      </c>
    </row>
    <row r="12" spans="2:10" ht="15" customHeight="1">
      <c r="B12" s="512"/>
      <c r="C12" s="512"/>
      <c r="D12" s="518" t="s">
        <v>689</v>
      </c>
      <c r="E12" s="528" t="s">
        <v>690</v>
      </c>
      <c r="J12" s="510" t="s">
        <v>691</v>
      </c>
    </row>
    <row r="13" spans="2:10" ht="15" customHeight="1">
      <c r="B13" s="512"/>
      <c r="C13" s="512"/>
      <c r="D13" s="518" t="s">
        <v>692</v>
      </c>
      <c r="E13" s="528" t="s">
        <v>693</v>
      </c>
      <c r="I13" s="529"/>
      <c r="J13" s="510" t="s">
        <v>694</v>
      </c>
    </row>
    <row r="14" spans="2:10" ht="15" customHeight="1">
      <c r="B14" s="512"/>
      <c r="C14" s="512"/>
      <c r="D14" s="530" t="s">
        <v>695</v>
      </c>
      <c r="E14" s="512">
        <f>INDEX({1;2;4;6;12;24;26;52},MATCH('FY23 Level-Payment'!$E$10,$J$6:$J$13,0))</f>
        <v>1</v>
      </c>
    </row>
    <row r="15" spans="2:10" ht="15" customHeight="1">
      <c r="B15" s="512"/>
      <c r="C15" s="512"/>
      <c r="D15" s="530" t="s">
        <v>687</v>
      </c>
      <c r="E15" s="512">
        <f>INDEX({1;2;4;6;12;24;26;52},MATCH('FY23 Level-Payment'!$E$11,$J$6:$J$13,0))</f>
        <v>1</v>
      </c>
    </row>
    <row r="16" spans="2:10" ht="15" customHeight="1">
      <c r="B16" s="512"/>
      <c r="C16" s="512"/>
      <c r="D16" s="530" t="s">
        <v>689</v>
      </c>
      <c r="E16" s="512">
        <f>IF('FY23 Level-Payment'!$E$12="End of Period",0,1)</f>
        <v>1</v>
      </c>
    </row>
    <row r="17" spans="2:11" ht="15" customHeight="1">
      <c r="B17" s="512"/>
      <c r="C17" s="512"/>
      <c r="D17" s="530" t="s">
        <v>696</v>
      </c>
      <c r="E17" s="512">
        <f>12/$E$14</f>
        <v>12</v>
      </c>
    </row>
    <row r="18" spans="2:11" ht="15" customHeight="1">
      <c r="B18" s="512"/>
      <c r="C18" s="512"/>
      <c r="D18" s="530" t="s">
        <v>697</v>
      </c>
      <c r="E18" s="512">
        <f>$E$8*$E$14</f>
        <v>30</v>
      </c>
    </row>
    <row r="19" spans="2:11" ht="15" customHeight="1">
      <c r="B19" s="512"/>
      <c r="C19" s="512"/>
      <c r="D19" s="530" t="s">
        <v>698</v>
      </c>
      <c r="E19" s="513" t="b">
        <f>(E13="On")</f>
        <v>1</v>
      </c>
    </row>
    <row r="20" spans="2:11">
      <c r="I20" s="531" t="s">
        <v>699</v>
      </c>
    </row>
    <row r="21" spans="2:11" ht="15.75">
      <c r="D21" s="532" t="str">
        <f>E10&amp;" Payment"</f>
        <v>annual Payment</v>
      </c>
      <c r="E21" s="533">
        <f>IF(roundOpt,ROUND(-PMT(rate,nper,$E$6,,pmtType),2),-PMT(rate,nper,$E$6,,pmtType))</f>
        <v>0</v>
      </c>
      <c r="I21" s="531"/>
    </row>
    <row r="22" spans="2:11">
      <c r="I22" s="531"/>
    </row>
    <row r="23" spans="2:11" ht="15">
      <c r="B23" s="534" t="s">
        <v>700</v>
      </c>
      <c r="C23" s="534"/>
      <c r="D23" s="534"/>
      <c r="E23" s="534"/>
      <c r="F23" s="534"/>
      <c r="G23" s="534"/>
      <c r="H23" s="534"/>
      <c r="I23" s="534"/>
    </row>
    <row r="24" spans="2:11" ht="26.25" thickBot="1">
      <c r="B24" s="535"/>
      <c r="C24" s="536" t="s">
        <v>42</v>
      </c>
      <c r="D24" s="537" t="s">
        <v>701</v>
      </c>
      <c r="E24" s="537" t="s">
        <v>702</v>
      </c>
      <c r="F24" s="537"/>
      <c r="G24" s="537" t="s">
        <v>703</v>
      </c>
      <c r="H24" s="537" t="s">
        <v>704</v>
      </c>
      <c r="I24" s="537" t="s">
        <v>705</v>
      </c>
      <c r="K24" s="538" t="s">
        <v>706</v>
      </c>
    </row>
    <row r="25" spans="2:11">
      <c r="B25" s="539"/>
      <c r="C25" s="540"/>
      <c r="D25" s="539"/>
      <c r="E25" s="539"/>
      <c r="F25" s="539"/>
      <c r="G25" s="539"/>
      <c r="H25" s="541"/>
      <c r="I25" s="542">
        <f>loan_amount</f>
        <v>0</v>
      </c>
      <c r="K25" s="543">
        <f>loan_amount</f>
        <v>0</v>
      </c>
    </row>
    <row r="26" spans="2:11">
      <c r="B26" s="544"/>
      <c r="C26" s="544">
        <f>YEAR(fpdate)</f>
        <v>2022</v>
      </c>
      <c r="D26" s="545">
        <f>SUMIF($C$60:$C$841,"&lt;="&amp;DATE($C26,12,31),$D$60:$D$841)-SUM(D$25:D25)</f>
        <v>0</v>
      </c>
      <c r="E26" s="545">
        <f>SUMIF($C$60:$C$841,"&lt;="&amp;DATE($C26,12,31),$E$60:$E$841)-SUM(E$25:E25)</f>
        <v>0</v>
      </c>
      <c r="F26" s="546"/>
      <c r="G26" s="545">
        <f>SUMIF($C$60:$C$841,"&lt;="&amp;DATE($C26,12,31),$G$60:$G$841)-SUM(G$25:G25)</f>
        <v>0</v>
      </c>
      <c r="H26" s="545">
        <f>SUMIF($C$60:$C$841,"&lt;="&amp;DATE($C26,12,31),$H$60:$H$841)-SUM(H$25:H25)</f>
        <v>0</v>
      </c>
      <c r="I26" s="545">
        <f>I25-H26</f>
        <v>0</v>
      </c>
      <c r="K26" s="547">
        <f t="shared" ref="K26:K54" si="0">K25-H26</f>
        <v>0</v>
      </c>
    </row>
    <row r="27" spans="2:11">
      <c r="B27" s="548"/>
      <c r="C27" s="544">
        <f>C26+1</f>
        <v>2023</v>
      </c>
      <c r="D27" s="545">
        <f>SUMIF($C$60:$C$841,"&lt;="&amp;DATE($C27,12,31),$D$60:$D$841)-SUM(D$25:D26)</f>
        <v>0</v>
      </c>
      <c r="E27" s="545">
        <f>SUMIF($C$60:$C$841,"&lt;="&amp;DATE($C27,12,31),$E$60:$E$841)-SUM(E$25:E26)</f>
        <v>0</v>
      </c>
      <c r="F27" s="546"/>
      <c r="G27" s="545">
        <f>SUMIF($C$60:$C$841,"&lt;="&amp;DATE($C27,12,31),$G$60:$G$841)-SUM(G$25:G26)</f>
        <v>0</v>
      </c>
      <c r="H27" s="545">
        <f>SUMIF($C$60:$C$841,"&lt;="&amp;DATE($C27,12,31),$H$60:$H$841)-SUM(H$25:H26)</f>
        <v>0</v>
      </c>
      <c r="I27" s="545">
        <f>I26-H27</f>
        <v>0</v>
      </c>
      <c r="K27" s="547">
        <f t="shared" si="0"/>
        <v>0</v>
      </c>
    </row>
    <row r="28" spans="2:11">
      <c r="B28" s="548"/>
      <c r="C28" s="544">
        <f>C27+1</f>
        <v>2024</v>
      </c>
      <c r="D28" s="545">
        <f>SUMIF($C$60:$C$841,"&lt;="&amp;DATE($C28,12,31),$D$60:$D$841)-SUM(D$25:D27)</f>
        <v>0</v>
      </c>
      <c r="E28" s="545">
        <f>SUMIF($C$60:$C$841,"&lt;="&amp;DATE($C28,12,31),$E$60:$E$841)-SUM(E$25:E27)</f>
        <v>0</v>
      </c>
      <c r="F28" s="546"/>
      <c r="G28" s="545">
        <f>SUMIF($C$60:$C$841,"&lt;="&amp;DATE($C28,12,31),$G$60:$G$841)-SUM(G$25:G27)</f>
        <v>0</v>
      </c>
      <c r="H28" s="545">
        <f>SUMIF($C$60:$C$841,"&lt;="&amp;DATE($C28,12,31),$H$60:$H$841)-SUM(H$25:H27)</f>
        <v>0</v>
      </c>
      <c r="I28" s="545">
        <f>I27-H28</f>
        <v>0</v>
      </c>
      <c r="K28" s="547">
        <f t="shared" si="0"/>
        <v>0</v>
      </c>
    </row>
    <row r="29" spans="2:11">
      <c r="B29" s="548"/>
      <c r="C29" s="544">
        <f>C28+1</f>
        <v>2025</v>
      </c>
      <c r="D29" s="545">
        <f>SUMIF($C$60:$C$841,"&lt;="&amp;DATE($C29,12,31),$D$60:$D$841)-SUM(D$25:D28)</f>
        <v>0</v>
      </c>
      <c r="E29" s="545">
        <f>SUMIF($C$60:$C$841,"&lt;="&amp;DATE($C29,12,31),$E$60:$E$841)-SUM(E$25:E28)</f>
        <v>0</v>
      </c>
      <c r="F29" s="546"/>
      <c r="G29" s="545">
        <f>SUMIF($C$60:$C$841,"&lt;="&amp;DATE($C29,12,31),$G$60:$G$841)-SUM(G$25:G28)</f>
        <v>0</v>
      </c>
      <c r="H29" s="545">
        <f>SUMIF($C$60:$C$841,"&lt;="&amp;DATE($C29,12,31),$H$60:$H$841)-SUM(H$25:H28)</f>
        <v>0</v>
      </c>
      <c r="I29" s="545">
        <f>I28-H29</f>
        <v>0</v>
      </c>
      <c r="K29" s="547">
        <f t="shared" si="0"/>
        <v>0</v>
      </c>
    </row>
    <row r="30" spans="2:11">
      <c r="B30" s="548"/>
      <c r="C30" s="544">
        <f t="shared" ref="C30:C56" si="1">C29+1</f>
        <v>2026</v>
      </c>
      <c r="D30" s="545">
        <f>SUMIF($C$60:$C$841,"&lt;="&amp;DATE($C30,12,31),$D$60:$D$841)-SUM(D$25:D29)</f>
        <v>0</v>
      </c>
      <c r="E30" s="545">
        <f>SUMIF($C$60:$C$841,"&lt;="&amp;DATE($C30,12,31),$E$60:$E$841)-SUM(E$25:E29)</f>
        <v>0</v>
      </c>
      <c r="F30" s="546"/>
      <c r="G30" s="545">
        <f>SUMIF($C$60:$C$841,"&lt;="&amp;DATE($C30,12,31),$G$60:$G$841)-SUM(G$25:G29)</f>
        <v>0</v>
      </c>
      <c r="H30" s="545">
        <f>SUMIF($C$60:$C$841,"&lt;="&amp;DATE($C30,12,31),$H$60:$H$841)-SUM(H$25:H29)</f>
        <v>0</v>
      </c>
      <c r="I30" s="545">
        <f t="shared" ref="I30:I56" si="2">I29-H30</f>
        <v>0</v>
      </c>
      <c r="K30" s="547">
        <f t="shared" si="0"/>
        <v>0</v>
      </c>
    </row>
    <row r="31" spans="2:11">
      <c r="B31" s="548"/>
      <c r="C31" s="544">
        <f t="shared" si="1"/>
        <v>2027</v>
      </c>
      <c r="D31" s="545">
        <f>SUMIF($C$60:$C$841,"&lt;="&amp;DATE($C31,12,31),$D$60:$D$841)-SUM(D$25:D30)</f>
        <v>0</v>
      </c>
      <c r="E31" s="545">
        <f>SUMIF($C$60:$C$841,"&lt;="&amp;DATE($C31,12,31),$E$60:$E$841)-SUM(E$25:E30)</f>
        <v>0</v>
      </c>
      <c r="F31" s="546"/>
      <c r="G31" s="545">
        <f>SUMIF($C$60:$C$841,"&lt;="&amp;DATE($C31,12,31),$G$60:$G$841)-SUM(G$25:G30)</f>
        <v>0</v>
      </c>
      <c r="H31" s="545">
        <f>SUMIF($C$60:$C$841,"&lt;="&amp;DATE($C31,12,31),$H$60:$H$841)-SUM(H$25:H30)</f>
        <v>0</v>
      </c>
      <c r="I31" s="545">
        <f t="shared" si="2"/>
        <v>0</v>
      </c>
      <c r="K31" s="547">
        <f t="shared" si="0"/>
        <v>0</v>
      </c>
    </row>
    <row r="32" spans="2:11">
      <c r="B32" s="548"/>
      <c r="C32" s="544">
        <f t="shared" si="1"/>
        <v>2028</v>
      </c>
      <c r="D32" s="545">
        <f>SUMIF($C$60:$C$841,"&lt;="&amp;DATE($C32,12,31),$D$60:$D$841)-SUM(D$25:D31)</f>
        <v>0</v>
      </c>
      <c r="E32" s="545">
        <f>SUMIF($C$60:$C$841,"&lt;="&amp;DATE($C32,12,31),$E$60:$E$841)-SUM(E$25:E31)</f>
        <v>0</v>
      </c>
      <c r="F32" s="546"/>
      <c r="G32" s="545">
        <f>SUMIF($C$60:$C$841,"&lt;="&amp;DATE($C32,12,31),$G$60:$G$841)-SUM(G$25:G31)</f>
        <v>0</v>
      </c>
      <c r="H32" s="545">
        <f>SUMIF($C$60:$C$841,"&lt;="&amp;DATE($C32,12,31),$H$60:$H$841)-SUM(H$25:H31)</f>
        <v>0</v>
      </c>
      <c r="I32" s="545">
        <f t="shared" si="2"/>
        <v>0</v>
      </c>
      <c r="K32" s="547">
        <f t="shared" si="0"/>
        <v>0</v>
      </c>
    </row>
    <row r="33" spans="2:12">
      <c r="B33" s="548"/>
      <c r="C33" s="544">
        <f t="shared" si="1"/>
        <v>2029</v>
      </c>
      <c r="D33" s="545">
        <f>SUMIF($C$60:$C$841,"&lt;="&amp;DATE($C33,12,31),$D$60:$D$841)-SUM(D$25:D32)</f>
        <v>0</v>
      </c>
      <c r="E33" s="545">
        <f>SUMIF($C$60:$C$841,"&lt;="&amp;DATE($C33,12,31),$E$60:$E$841)-SUM(E$25:E32)</f>
        <v>0</v>
      </c>
      <c r="F33" s="546"/>
      <c r="G33" s="545">
        <f>SUMIF($C$60:$C$841,"&lt;="&amp;DATE($C33,12,31),$G$60:$G$841)-SUM(G$25:G32)</f>
        <v>0</v>
      </c>
      <c r="H33" s="545">
        <f>SUMIF($C$60:$C$841,"&lt;="&amp;DATE($C33,12,31),$H$60:$H$841)-SUM(H$25:H32)</f>
        <v>0</v>
      </c>
      <c r="I33" s="545">
        <f t="shared" si="2"/>
        <v>0</v>
      </c>
      <c r="K33" s="547">
        <f t="shared" si="0"/>
        <v>0</v>
      </c>
    </row>
    <row r="34" spans="2:12">
      <c r="B34" s="548"/>
      <c r="C34" s="544">
        <f t="shared" si="1"/>
        <v>2030</v>
      </c>
      <c r="D34" s="545">
        <f>SUMIF($C$60:$C$841,"&lt;="&amp;DATE($C34,12,31),$D$60:$D$841)-SUM(D$25:D33)</f>
        <v>0</v>
      </c>
      <c r="E34" s="545">
        <f>SUMIF($C$60:$C$841,"&lt;="&amp;DATE($C34,12,31),$E$60:$E$841)-SUM(E$25:E33)</f>
        <v>0</v>
      </c>
      <c r="F34" s="546"/>
      <c r="G34" s="545">
        <f>SUMIF($C$60:$C$841,"&lt;="&amp;DATE($C34,12,31),$G$60:$G$841)-SUM(G$25:G33)</f>
        <v>0</v>
      </c>
      <c r="H34" s="545">
        <f>SUMIF($C$60:$C$841,"&lt;="&amp;DATE($C34,12,31),$H$60:$H$841)-SUM(H$25:H33)</f>
        <v>0</v>
      </c>
      <c r="I34" s="545">
        <f t="shared" si="2"/>
        <v>0</v>
      </c>
      <c r="K34" s="547">
        <f t="shared" si="0"/>
        <v>0</v>
      </c>
      <c r="L34" s="538" t="s">
        <v>719</v>
      </c>
    </row>
    <row r="35" spans="2:12">
      <c r="B35" s="548"/>
      <c r="C35" s="544">
        <f t="shared" si="1"/>
        <v>2031</v>
      </c>
      <c r="D35" s="545">
        <f>SUMIF($C$60:$C$841,"&lt;="&amp;DATE($C35,12,31),$D$60:$D$841)-SUM(D$25:D34)</f>
        <v>0</v>
      </c>
      <c r="E35" s="545">
        <f>SUMIF($C$60:$C$841,"&lt;="&amp;DATE($C35,12,31),$E$60:$E$841)-SUM(E$25:E34)</f>
        <v>0</v>
      </c>
      <c r="F35" s="546"/>
      <c r="G35" s="545">
        <f>SUMIF($C$60:$C$841,"&lt;="&amp;DATE($C35,12,31),$G$60:$G$841)-SUM(G$25:G34)</f>
        <v>0</v>
      </c>
      <c r="H35" s="545">
        <f>SUMIF($C$60:$C$841,"&lt;="&amp;DATE($C35,12,31),$H$60:$H$841)-SUM(H$25:H34)</f>
        <v>0</v>
      </c>
      <c r="I35" s="545">
        <f t="shared" si="2"/>
        <v>0</v>
      </c>
      <c r="K35" s="547">
        <f t="shared" si="0"/>
        <v>0</v>
      </c>
      <c r="L35" s="604">
        <f>SUM(D26:D35)</f>
        <v>0</v>
      </c>
    </row>
    <row r="36" spans="2:12">
      <c r="B36" s="548"/>
      <c r="C36" s="544">
        <f t="shared" si="1"/>
        <v>2032</v>
      </c>
      <c r="D36" s="545">
        <f>SUMIF($C$60:$C$841,"&lt;="&amp;DATE($C36,12,31),$D$60:$D$841)-SUM(D$25:D35)</f>
        <v>0</v>
      </c>
      <c r="E36" s="545">
        <f>SUMIF($C$60:$C$841,"&lt;="&amp;DATE($C36,12,31),$E$60:$E$841)-SUM(E$25:E35)</f>
        <v>0</v>
      </c>
      <c r="F36" s="546"/>
      <c r="G36" s="545">
        <f>SUMIF($C$60:$C$841,"&lt;="&amp;DATE($C36,12,31),$G$60:$G$841)-SUM(G$25:G35)</f>
        <v>0</v>
      </c>
      <c r="H36" s="545">
        <f>SUMIF($C$60:$C$841,"&lt;="&amp;DATE($C36,12,31),$H$60:$H$841)-SUM(H$25:H35)</f>
        <v>0</v>
      </c>
      <c r="I36" s="545">
        <f t="shared" si="2"/>
        <v>0</v>
      </c>
      <c r="K36" s="547">
        <f t="shared" si="0"/>
        <v>0</v>
      </c>
    </row>
    <row r="37" spans="2:12">
      <c r="B37" s="548"/>
      <c r="C37" s="544">
        <f t="shared" si="1"/>
        <v>2033</v>
      </c>
      <c r="D37" s="545">
        <f>SUMIF($C$60:$C$841,"&lt;="&amp;DATE($C37,12,31),$D$60:$D$841)-SUM(D$25:D36)</f>
        <v>0</v>
      </c>
      <c r="E37" s="545">
        <f>SUMIF($C$60:$C$841,"&lt;="&amp;DATE($C37,12,31),$E$60:$E$841)-SUM(E$25:E36)</f>
        <v>0</v>
      </c>
      <c r="F37" s="546"/>
      <c r="G37" s="545">
        <f>SUMIF($C$60:$C$841,"&lt;="&amp;DATE($C37,12,31),$G$60:$G$841)-SUM(G$25:G36)</f>
        <v>0</v>
      </c>
      <c r="H37" s="545">
        <f>SUMIF($C$60:$C$841,"&lt;="&amp;DATE($C37,12,31),$H$60:$H$841)-SUM(H$25:H36)</f>
        <v>0</v>
      </c>
      <c r="I37" s="545">
        <f t="shared" si="2"/>
        <v>0</v>
      </c>
      <c r="K37" s="547">
        <f t="shared" si="0"/>
        <v>0</v>
      </c>
    </row>
    <row r="38" spans="2:12">
      <c r="B38" s="548"/>
      <c r="C38" s="544">
        <f t="shared" si="1"/>
        <v>2034</v>
      </c>
      <c r="D38" s="545">
        <f>SUMIF($C$60:$C$841,"&lt;="&amp;DATE($C38,12,31),$D$60:$D$841)-SUM(D$25:D37)</f>
        <v>0</v>
      </c>
      <c r="E38" s="545">
        <f>SUMIF($C$60:$C$841,"&lt;="&amp;DATE($C38,12,31),$E$60:$E$841)-SUM(E$25:E37)</f>
        <v>0</v>
      </c>
      <c r="F38" s="546"/>
      <c r="G38" s="545">
        <f>SUMIF($C$60:$C$841,"&lt;="&amp;DATE($C38,12,31),$G$60:$G$841)-SUM(G$25:G37)</f>
        <v>0</v>
      </c>
      <c r="H38" s="545">
        <f>SUMIF($C$60:$C$841,"&lt;="&amp;DATE($C38,12,31),$H$60:$H$841)-SUM(H$25:H37)</f>
        <v>0</v>
      </c>
      <c r="I38" s="545">
        <f t="shared" si="2"/>
        <v>0</v>
      </c>
      <c r="K38" s="547">
        <f t="shared" si="0"/>
        <v>0</v>
      </c>
    </row>
    <row r="39" spans="2:12">
      <c r="B39" s="548"/>
      <c r="C39" s="544">
        <f t="shared" si="1"/>
        <v>2035</v>
      </c>
      <c r="D39" s="545">
        <f>SUMIF($C$60:$C$841,"&lt;="&amp;DATE($C39,12,31),$D$60:$D$841)-SUM(D$25:D38)</f>
        <v>0</v>
      </c>
      <c r="E39" s="545">
        <f>SUMIF($C$60:$C$841,"&lt;="&amp;DATE($C39,12,31),$E$60:$E$841)-SUM(E$25:E38)</f>
        <v>0</v>
      </c>
      <c r="F39" s="546"/>
      <c r="G39" s="545">
        <f>SUMIF($C$60:$C$841,"&lt;="&amp;DATE($C39,12,31),$G$60:$G$841)-SUM(G$25:G38)</f>
        <v>0</v>
      </c>
      <c r="H39" s="545">
        <f>SUMIF($C$60:$C$841,"&lt;="&amp;DATE($C39,12,31),$H$60:$H$841)-SUM(H$25:H38)</f>
        <v>0</v>
      </c>
      <c r="I39" s="545">
        <f t="shared" si="2"/>
        <v>0</v>
      </c>
      <c r="K39" s="547">
        <f t="shared" si="0"/>
        <v>0</v>
      </c>
    </row>
    <row r="40" spans="2:12">
      <c r="B40" s="548"/>
      <c r="C40" s="544">
        <f t="shared" si="1"/>
        <v>2036</v>
      </c>
      <c r="D40" s="545">
        <f>SUMIF($C$60:$C$841,"&lt;="&amp;DATE($C40,12,31),$D$60:$D$841)-SUM(D$25:D39)</f>
        <v>0</v>
      </c>
      <c r="E40" s="545">
        <f>SUMIF($C$60:$C$841,"&lt;="&amp;DATE($C40,12,31),$E$60:$E$841)-SUM(E$25:E39)</f>
        <v>0</v>
      </c>
      <c r="F40" s="546"/>
      <c r="G40" s="545">
        <f>SUMIF($C$60:$C$841,"&lt;="&amp;DATE($C40,12,31),$G$60:$G$841)-SUM(G$25:G39)</f>
        <v>0</v>
      </c>
      <c r="H40" s="545">
        <f>SUMIF($C$60:$C$841,"&lt;="&amp;DATE($C40,12,31),$H$60:$H$841)-SUM(H$25:H39)</f>
        <v>0</v>
      </c>
      <c r="I40" s="545">
        <f t="shared" si="2"/>
        <v>0</v>
      </c>
      <c r="K40" s="547">
        <f t="shared" si="0"/>
        <v>0</v>
      </c>
    </row>
    <row r="41" spans="2:12">
      <c r="B41" s="548"/>
      <c r="C41" s="544">
        <f t="shared" si="1"/>
        <v>2037</v>
      </c>
      <c r="D41" s="545">
        <f>SUMIF($C$60:$C$841,"&lt;="&amp;DATE($C41,12,31),$D$60:$D$841)-SUM(D$25:D40)</f>
        <v>0</v>
      </c>
      <c r="E41" s="545">
        <f>SUMIF($C$60:$C$841,"&lt;="&amp;DATE($C41,12,31),$E$60:$E$841)-SUM(E$25:E40)</f>
        <v>0</v>
      </c>
      <c r="F41" s="546"/>
      <c r="G41" s="545">
        <f>SUMIF($C$60:$C$841,"&lt;="&amp;DATE($C41,12,31),$G$60:$G$841)-SUM(G$25:G40)</f>
        <v>0</v>
      </c>
      <c r="H41" s="545">
        <f>SUMIF($C$60:$C$841,"&lt;="&amp;DATE($C41,12,31),$H$60:$H$841)-SUM(H$25:H40)</f>
        <v>0</v>
      </c>
      <c r="I41" s="545">
        <f t="shared" si="2"/>
        <v>0</v>
      </c>
      <c r="K41" s="547">
        <f t="shared" si="0"/>
        <v>0</v>
      </c>
    </row>
    <row r="42" spans="2:12">
      <c r="B42" s="548"/>
      <c r="C42" s="544">
        <f t="shared" si="1"/>
        <v>2038</v>
      </c>
      <c r="D42" s="545">
        <f>SUMIF($C$60:$C$841,"&lt;="&amp;DATE($C42,12,31),$D$60:$D$841)-SUM(D$25:D41)</f>
        <v>0</v>
      </c>
      <c r="E42" s="545">
        <f>SUMIF($C$60:$C$841,"&lt;="&amp;DATE($C42,12,31),$E$60:$E$841)-SUM(E$25:E41)</f>
        <v>0</v>
      </c>
      <c r="F42" s="546"/>
      <c r="G42" s="545">
        <f>SUMIF($C$60:$C$841,"&lt;="&amp;DATE($C42,12,31),$G$60:$G$841)-SUM(G$25:G41)</f>
        <v>0</v>
      </c>
      <c r="H42" s="545">
        <f>SUMIF($C$60:$C$841,"&lt;="&amp;DATE($C42,12,31),$H$60:$H$841)-SUM(H$25:H41)</f>
        <v>0</v>
      </c>
      <c r="I42" s="545">
        <f t="shared" si="2"/>
        <v>0</v>
      </c>
      <c r="K42" s="547">
        <f t="shared" si="0"/>
        <v>0</v>
      </c>
    </row>
    <row r="43" spans="2:12">
      <c r="B43" s="548"/>
      <c r="C43" s="544">
        <f t="shared" si="1"/>
        <v>2039</v>
      </c>
      <c r="D43" s="545">
        <f>SUMIF($C$60:$C$841,"&lt;="&amp;DATE($C43,12,31),$D$60:$D$841)-SUM(D$25:D42)</f>
        <v>0</v>
      </c>
      <c r="E43" s="545">
        <f>SUMIF($C$60:$C$841,"&lt;="&amp;DATE($C43,12,31),$E$60:$E$841)-SUM(E$25:E42)</f>
        <v>0</v>
      </c>
      <c r="F43" s="546"/>
      <c r="G43" s="545">
        <f>SUMIF($C$60:$C$841,"&lt;="&amp;DATE($C43,12,31),$G$60:$G$841)-SUM(G$25:G42)</f>
        <v>0</v>
      </c>
      <c r="H43" s="545">
        <f>SUMIF($C$60:$C$841,"&lt;="&amp;DATE($C43,12,31),$H$60:$H$841)-SUM(H$25:H42)</f>
        <v>0</v>
      </c>
      <c r="I43" s="545">
        <f t="shared" si="2"/>
        <v>0</v>
      </c>
      <c r="K43" s="547">
        <f t="shared" si="0"/>
        <v>0</v>
      </c>
    </row>
    <row r="44" spans="2:12">
      <c r="B44" s="548"/>
      <c r="C44" s="544">
        <f t="shared" si="1"/>
        <v>2040</v>
      </c>
      <c r="D44" s="545">
        <f>SUMIF($C$60:$C$841,"&lt;="&amp;DATE($C44,12,31),$D$60:$D$841)-SUM(D$25:D43)</f>
        <v>0</v>
      </c>
      <c r="E44" s="545">
        <f>SUMIF($C$60:$C$841,"&lt;="&amp;DATE($C44,12,31),$E$60:$E$841)-SUM(E$25:E43)</f>
        <v>0</v>
      </c>
      <c r="F44" s="546"/>
      <c r="G44" s="545">
        <f>SUMIF($C$60:$C$841,"&lt;="&amp;DATE($C44,12,31),$G$60:$G$841)-SUM(G$25:G43)</f>
        <v>0</v>
      </c>
      <c r="H44" s="545">
        <f>SUMIF($C$60:$C$841,"&lt;="&amp;DATE($C44,12,31),$H$60:$H$841)-SUM(H$25:H43)</f>
        <v>0</v>
      </c>
      <c r="I44" s="545">
        <f t="shared" si="2"/>
        <v>0</v>
      </c>
      <c r="K44" s="547">
        <f t="shared" si="0"/>
        <v>0</v>
      </c>
    </row>
    <row r="45" spans="2:12">
      <c r="B45" s="548"/>
      <c r="C45" s="544">
        <f t="shared" si="1"/>
        <v>2041</v>
      </c>
      <c r="D45" s="545">
        <f>SUMIF($C$60:$C$841,"&lt;="&amp;DATE($C45,12,31),$D$60:$D$841)-SUM(D$25:D44)</f>
        <v>0</v>
      </c>
      <c r="E45" s="545">
        <f>SUMIF($C$60:$C$841,"&lt;="&amp;DATE($C45,12,31),$E$60:$E$841)-SUM(E$25:E44)</f>
        <v>0</v>
      </c>
      <c r="F45" s="546"/>
      <c r="G45" s="545">
        <f>SUMIF($C$60:$C$841,"&lt;="&amp;DATE($C45,12,31),$G$60:$G$841)-SUM(G$25:G44)</f>
        <v>0</v>
      </c>
      <c r="H45" s="545">
        <f>SUMIF($C$60:$C$841,"&lt;="&amp;DATE($C45,12,31),$H$60:$H$841)-SUM(H$25:H44)</f>
        <v>0</v>
      </c>
      <c r="I45" s="545">
        <f t="shared" si="2"/>
        <v>0</v>
      </c>
      <c r="K45" s="547">
        <f t="shared" si="0"/>
        <v>0</v>
      </c>
    </row>
    <row r="46" spans="2:12">
      <c r="B46" s="548"/>
      <c r="C46" s="544">
        <f t="shared" si="1"/>
        <v>2042</v>
      </c>
      <c r="D46" s="545">
        <f>SUMIF($C$60:$C$841,"&lt;="&amp;DATE($C46,12,31),$D$60:$D$841)-SUM(D$25:D45)</f>
        <v>0</v>
      </c>
      <c r="E46" s="545">
        <f>SUMIF($C$60:$C$841,"&lt;="&amp;DATE($C46,12,31),$E$60:$E$841)-SUM(E$25:E45)</f>
        <v>0</v>
      </c>
      <c r="F46" s="546"/>
      <c r="G46" s="545">
        <f>SUMIF($C$60:$C$841,"&lt;="&amp;DATE($C46,12,31),$G$60:$G$841)-SUM(G$25:G45)</f>
        <v>0</v>
      </c>
      <c r="H46" s="545">
        <f>SUMIF($C$60:$C$841,"&lt;="&amp;DATE($C46,12,31),$H$60:$H$841)-SUM(H$25:H45)</f>
        <v>0</v>
      </c>
      <c r="I46" s="545">
        <f t="shared" si="2"/>
        <v>0</v>
      </c>
      <c r="K46" s="547">
        <f t="shared" si="0"/>
        <v>0</v>
      </c>
    </row>
    <row r="47" spans="2:12">
      <c r="B47" s="548"/>
      <c r="C47" s="544">
        <f t="shared" si="1"/>
        <v>2043</v>
      </c>
      <c r="D47" s="545">
        <f>SUMIF($C$60:$C$841,"&lt;="&amp;DATE($C47,12,31),$D$60:$D$841)-SUM(D$25:D46)</f>
        <v>0</v>
      </c>
      <c r="E47" s="545">
        <f>SUMIF($C$60:$C$841,"&lt;="&amp;DATE($C47,12,31),$E$60:$E$841)-SUM(E$25:E46)</f>
        <v>0</v>
      </c>
      <c r="F47" s="546"/>
      <c r="G47" s="545">
        <f>SUMIF($C$60:$C$841,"&lt;="&amp;DATE($C47,12,31),$G$60:$G$841)-SUM(G$25:G46)</f>
        <v>0</v>
      </c>
      <c r="H47" s="545">
        <f>SUMIF($C$60:$C$841,"&lt;="&amp;DATE($C47,12,31),$H$60:$H$841)-SUM(H$25:H46)</f>
        <v>0</v>
      </c>
      <c r="I47" s="545">
        <f t="shared" si="2"/>
        <v>0</v>
      </c>
      <c r="K47" s="547">
        <f t="shared" si="0"/>
        <v>0</v>
      </c>
    </row>
    <row r="48" spans="2:12">
      <c r="B48" s="548"/>
      <c r="C48" s="544">
        <f t="shared" si="1"/>
        <v>2044</v>
      </c>
      <c r="D48" s="545">
        <f>SUMIF($C$60:$C$841,"&lt;="&amp;DATE($C48,12,31),$D$60:$D$841)-SUM(D$25:D47)</f>
        <v>0</v>
      </c>
      <c r="E48" s="545">
        <f>SUMIF($C$60:$C$841,"&lt;="&amp;DATE($C48,12,31),$E$60:$E$841)-SUM(E$25:E47)</f>
        <v>0</v>
      </c>
      <c r="F48" s="546"/>
      <c r="G48" s="545">
        <f>SUMIF($C$60:$C$841,"&lt;="&amp;DATE($C48,12,31),$G$60:$G$841)-SUM(G$25:G47)</f>
        <v>0</v>
      </c>
      <c r="H48" s="545">
        <f>SUMIF($C$60:$C$841,"&lt;="&amp;DATE($C48,12,31),$H$60:$H$841)-SUM(H$25:H47)</f>
        <v>0</v>
      </c>
      <c r="I48" s="545">
        <f t="shared" si="2"/>
        <v>0</v>
      </c>
      <c r="K48" s="547">
        <f t="shared" si="0"/>
        <v>0</v>
      </c>
    </row>
    <row r="49" spans="2:11">
      <c r="B49" s="548"/>
      <c r="C49" s="544">
        <f t="shared" si="1"/>
        <v>2045</v>
      </c>
      <c r="D49" s="545">
        <f>SUMIF($C$60:$C$841,"&lt;="&amp;DATE($C49,12,31),$D$60:$D$841)-SUM(D$25:D48)</f>
        <v>0</v>
      </c>
      <c r="E49" s="545">
        <f>SUMIF($C$60:$C$841,"&lt;="&amp;DATE($C49,12,31),$E$60:$E$841)-SUM(E$25:E48)</f>
        <v>0</v>
      </c>
      <c r="F49" s="546"/>
      <c r="G49" s="545">
        <f>SUMIF($C$60:$C$841,"&lt;="&amp;DATE($C49,12,31),$G$60:$G$841)-SUM(G$25:G48)</f>
        <v>0</v>
      </c>
      <c r="H49" s="545">
        <f>SUMIF($C$60:$C$841,"&lt;="&amp;DATE($C49,12,31),$H$60:$H$841)-SUM(H$25:H48)</f>
        <v>0</v>
      </c>
      <c r="I49" s="545">
        <f t="shared" si="2"/>
        <v>0</v>
      </c>
      <c r="K49" s="547">
        <f t="shared" si="0"/>
        <v>0</v>
      </c>
    </row>
    <row r="50" spans="2:11">
      <c r="B50" s="548"/>
      <c r="C50" s="544">
        <f t="shared" si="1"/>
        <v>2046</v>
      </c>
      <c r="D50" s="545">
        <f>SUMIF($C$60:$C$841,"&lt;="&amp;DATE($C50,12,31),$D$60:$D$841)-SUM(D$25:D49)</f>
        <v>0</v>
      </c>
      <c r="E50" s="545">
        <f>SUMIF($C$60:$C$841,"&lt;="&amp;DATE($C50,12,31),$E$60:$E$841)-SUM(E$25:E49)</f>
        <v>0</v>
      </c>
      <c r="F50" s="546"/>
      <c r="G50" s="545">
        <f>SUMIF($C$60:$C$841,"&lt;="&amp;DATE($C50,12,31),$G$60:$G$841)-SUM(G$25:G49)</f>
        <v>0</v>
      </c>
      <c r="H50" s="545">
        <f>SUMIF($C$60:$C$841,"&lt;="&amp;DATE($C50,12,31),$H$60:$H$841)-SUM(H$25:H49)</f>
        <v>0</v>
      </c>
      <c r="I50" s="545">
        <f t="shared" si="2"/>
        <v>0</v>
      </c>
      <c r="K50" s="547">
        <f t="shared" si="0"/>
        <v>0</v>
      </c>
    </row>
    <row r="51" spans="2:11">
      <c r="B51" s="548"/>
      <c r="C51" s="544">
        <f t="shared" si="1"/>
        <v>2047</v>
      </c>
      <c r="D51" s="545">
        <f>SUMIF($C$60:$C$841,"&lt;="&amp;DATE($C51,12,31),$D$60:$D$841)-SUM(D$25:D50)</f>
        <v>0</v>
      </c>
      <c r="E51" s="545">
        <f>SUMIF($C$60:$C$841,"&lt;="&amp;DATE($C51,12,31),$E$60:$E$841)-SUM(E$25:E50)</f>
        <v>0</v>
      </c>
      <c r="F51" s="546"/>
      <c r="G51" s="545">
        <f>SUMIF($C$60:$C$841,"&lt;="&amp;DATE($C51,12,31),$G$60:$G$841)-SUM(G$25:G50)</f>
        <v>0</v>
      </c>
      <c r="H51" s="545">
        <f>SUMIF($C$60:$C$841,"&lt;="&amp;DATE($C51,12,31),$H$60:$H$841)-SUM(H$25:H50)</f>
        <v>0</v>
      </c>
      <c r="I51" s="545">
        <f t="shared" si="2"/>
        <v>0</v>
      </c>
      <c r="K51" s="547">
        <f t="shared" si="0"/>
        <v>0</v>
      </c>
    </row>
    <row r="52" spans="2:11">
      <c r="B52" s="548"/>
      <c r="C52" s="544">
        <f t="shared" si="1"/>
        <v>2048</v>
      </c>
      <c r="D52" s="545">
        <f>SUMIF($C$60:$C$841,"&lt;="&amp;DATE($C52,12,31),$D$60:$D$841)-SUM(D$25:D51)</f>
        <v>0</v>
      </c>
      <c r="E52" s="545">
        <f>SUMIF($C$60:$C$841,"&lt;="&amp;DATE($C52,12,31),$E$60:$E$841)-SUM(E$25:E51)</f>
        <v>0</v>
      </c>
      <c r="F52" s="546"/>
      <c r="G52" s="545">
        <f>SUMIF($C$60:$C$841,"&lt;="&amp;DATE($C52,12,31),$G$60:$G$841)-SUM(G$25:G51)</f>
        <v>0</v>
      </c>
      <c r="H52" s="545">
        <f>SUMIF($C$60:$C$841,"&lt;="&amp;DATE($C52,12,31),$H$60:$H$841)-SUM(H$25:H51)</f>
        <v>0</v>
      </c>
      <c r="I52" s="545">
        <f t="shared" si="2"/>
        <v>0</v>
      </c>
      <c r="K52" s="547">
        <f t="shared" si="0"/>
        <v>0</v>
      </c>
    </row>
    <row r="53" spans="2:11">
      <c r="B53" s="548"/>
      <c r="C53" s="544">
        <f t="shared" si="1"/>
        <v>2049</v>
      </c>
      <c r="D53" s="545">
        <f>SUMIF($C$60:$C$841,"&lt;="&amp;DATE($C53,12,31),$D$60:$D$841)-SUM(D$25:D52)</f>
        <v>0</v>
      </c>
      <c r="E53" s="545">
        <f>SUMIF($C$60:$C$841,"&lt;="&amp;DATE($C53,12,31),$E$60:$E$841)-SUM(E$25:E52)</f>
        <v>0</v>
      </c>
      <c r="F53" s="546"/>
      <c r="G53" s="545">
        <f>SUMIF($C$60:$C$841,"&lt;="&amp;DATE($C53,12,31),$G$60:$G$841)-SUM(G$25:G52)</f>
        <v>0</v>
      </c>
      <c r="H53" s="545">
        <f>SUMIF($C$60:$C$841,"&lt;="&amp;DATE($C53,12,31),$H$60:$H$841)-SUM(H$25:H52)</f>
        <v>0</v>
      </c>
      <c r="I53" s="545">
        <f t="shared" si="2"/>
        <v>0</v>
      </c>
      <c r="K53" s="547">
        <f t="shared" si="0"/>
        <v>0</v>
      </c>
    </row>
    <row r="54" spans="2:11">
      <c r="B54" s="548"/>
      <c r="C54" s="544">
        <f t="shared" si="1"/>
        <v>2050</v>
      </c>
      <c r="D54" s="545">
        <f>SUMIF($C$60:$C$841,"&lt;="&amp;DATE($C54,12,31),$D$60:$D$841)-SUM(D$25:D53)</f>
        <v>0</v>
      </c>
      <c r="E54" s="545">
        <f>SUMIF($C$60:$C$841,"&lt;="&amp;DATE($C54,12,31),$E$60:$E$841)-SUM(E$25:E53)</f>
        <v>0</v>
      </c>
      <c r="F54" s="546"/>
      <c r="G54" s="545">
        <f>SUMIF($C$60:$C$841,"&lt;="&amp;DATE($C54,12,31),$G$60:$G$841)-SUM(G$25:G53)</f>
        <v>0</v>
      </c>
      <c r="H54" s="545">
        <f>SUMIF($C$60:$C$841,"&lt;="&amp;DATE($C54,12,31),$H$60:$H$841)-SUM(H$25:H53)</f>
        <v>0</v>
      </c>
      <c r="I54" s="545">
        <f t="shared" si="2"/>
        <v>0</v>
      </c>
      <c r="K54" s="547">
        <f t="shared" si="0"/>
        <v>0</v>
      </c>
    </row>
    <row r="55" spans="2:11">
      <c r="B55" s="548"/>
      <c r="C55" s="544">
        <f t="shared" si="1"/>
        <v>2051</v>
      </c>
      <c r="D55" s="545">
        <f>SUMIF($C$60:$C$841,"&lt;="&amp;DATE($C55,12,31),$D$60:$D$841)-SUM(D$25:D54)</f>
        <v>0</v>
      </c>
      <c r="E55" s="545">
        <f>SUMIF($C$60:$C$841,"&lt;="&amp;DATE($C55,12,31),$E$60:$E$841)-SUM(E$25:E54)</f>
        <v>0</v>
      </c>
      <c r="F55" s="546"/>
      <c r="G55" s="545">
        <f>SUMIF($C$60:$C$841,"&lt;="&amp;DATE($C55,12,31),$G$60:$G$841)-SUM(G$25:G54)</f>
        <v>0</v>
      </c>
      <c r="H55" s="545">
        <f>SUMIF($C$60:$C$841,"&lt;="&amp;DATE($C55,12,31),$H$60:$H$841)-SUM(H$25:H54)</f>
        <v>0</v>
      </c>
      <c r="I55" s="545">
        <f t="shared" si="2"/>
        <v>0</v>
      </c>
      <c r="K55" s="547"/>
    </row>
    <row r="56" spans="2:11">
      <c r="B56" s="548"/>
      <c r="C56" s="544">
        <f t="shared" si="1"/>
        <v>2052</v>
      </c>
      <c r="D56" s="545">
        <f>SUMIF($C$60:$C$841,"&lt;="&amp;DATE($C56,12,31),$D$60:$D$841)-SUM(D$25:D55)</f>
        <v>0</v>
      </c>
      <c r="E56" s="545">
        <f>SUMIF($C$60:$C$841,"&lt;="&amp;DATE($C56,12,31),$E$60:$E$841)-SUM(E$25:E55)</f>
        <v>0</v>
      </c>
      <c r="F56" s="546"/>
      <c r="G56" s="545">
        <f>SUMIF($C$60:$C$841,"&lt;="&amp;DATE($C56,12,31),$G$60:$G$841)-SUM(G$25:G55)</f>
        <v>0</v>
      </c>
      <c r="H56" s="545">
        <f>SUMIF($C$60:$C$841,"&lt;="&amp;DATE($C56,12,31),$H$60:$H$841)-SUM(H$25:H55)</f>
        <v>0</v>
      </c>
      <c r="I56" s="545">
        <f t="shared" si="2"/>
        <v>0</v>
      </c>
    </row>
    <row r="57" spans="2:11">
      <c r="I57" s="531"/>
    </row>
    <row r="58" spans="2:11" ht="15">
      <c r="B58" s="534" t="s">
        <v>707</v>
      </c>
      <c r="C58" s="534"/>
      <c r="D58" s="534"/>
      <c r="E58" s="534"/>
      <c r="F58" s="534"/>
      <c r="G58" s="534"/>
      <c r="H58" s="534"/>
    </row>
    <row r="59" spans="2:11" ht="26.25" thickBot="1">
      <c r="B59" s="549" t="s">
        <v>708</v>
      </c>
      <c r="C59" s="550" t="s">
        <v>709</v>
      </c>
      <c r="D59" s="550" t="s">
        <v>710</v>
      </c>
      <c r="E59" s="550" t="s">
        <v>711</v>
      </c>
      <c r="F59" s="537"/>
      <c r="G59" s="551" t="s">
        <v>45</v>
      </c>
      <c r="H59" s="551" t="s">
        <v>44</v>
      </c>
      <c r="I59" s="551" t="s">
        <v>492</v>
      </c>
    </row>
    <row r="60" spans="2:11">
      <c r="B60" s="552"/>
      <c r="C60" s="553"/>
      <c r="D60" s="552"/>
      <c r="E60" s="552"/>
      <c r="F60" s="552"/>
      <c r="G60" s="554"/>
      <c r="H60" s="554"/>
      <c r="I60" s="554">
        <f>$E$6</f>
        <v>0</v>
      </c>
    </row>
    <row r="61" spans="2:11">
      <c r="B61" s="555" t="str">
        <f t="shared" ref="B61:B124" si="3">IF(I60="","",IF(roundOpt,IF(OR(B60&gt;=nper,ROUND(I60,2)&lt;=0),"",B60+1),IF(OR(B60&gt;=nper,I60&lt;=0),"",B60+1)))</f>
        <v/>
      </c>
      <c r="C61" s="556" t="str">
        <f t="shared" ref="C61:C124" si="4">IF(B61="","",IF(OR(periods_per_year=26,periods_per_year=52),IF(periods_per_year=26,IF(B61=1,fpdate,C60+14),IF(periods_per_year=52,IF(B61=1,fpdate,C60+7),"n/a")),IF(periods_per_year=24,DATE(YEAR(fpdate),MONTH(fpdate)+(B61-1)/2+IF(AND(DAY(fpdate)&gt;=15,MOD(B61,2)=0),1,0),IF(MOD(B61,2)=0,IF(DAY(fpdate)&gt;=15,DAY(fpdate)-14,DAY(fpdate)+14),DAY(fpdate))),IF(DAY(DATE(YEAR(fpdate),MONTH(fpdate)+(B61-1)*months_per_period,DAY(fpdate)))&lt;&gt;DAY(fpdate),DATE(YEAR(fpdate),MONTH(fpdate)+(B61-1)*months_per_period+1,0),DATE(YEAR(fpdate),MONTH(fpdate)+(B61-1)*months_per_period,DAY(fpdate))))))</f>
        <v/>
      </c>
      <c r="D61" s="557" t="str">
        <f t="shared" ref="D61:D124" si="5">IF(B61="","",IF(roundOpt,IF(OR(B61=nper,payment&gt;ROUND((1+rate)*I60,2)),ROUND((1+rate)*I60,2),payment),IF(OR(B61=nper,payment&gt;(1+rate)*I60),(1+rate)*I60,payment)))</f>
        <v/>
      </c>
      <c r="E61" s="558"/>
      <c r="F61" s="559"/>
      <c r="G61" s="559" t="str">
        <f t="shared" ref="G61:G124" si="6">IF(B61="","",IF(AND(B61=1,pmtType=1),0,IF(roundOpt,ROUND(rate*I60,2),rate*I60)))</f>
        <v/>
      </c>
      <c r="H61" s="559" t="str">
        <f t="shared" ref="H61:H124" si="7">IF(B61="","",D61-G61+E61)</f>
        <v/>
      </c>
      <c r="I61" s="559" t="str">
        <f t="shared" ref="I61:I124" si="8">IF(B61="","",I60-H61)</f>
        <v/>
      </c>
    </row>
    <row r="62" spans="2:11">
      <c r="B62" s="555" t="str">
        <f t="shared" si="3"/>
        <v/>
      </c>
      <c r="C62" s="556" t="str">
        <f t="shared" si="4"/>
        <v/>
      </c>
      <c r="D62" s="557" t="str">
        <f t="shared" si="5"/>
        <v/>
      </c>
      <c r="E62" s="560"/>
      <c r="F62" s="559"/>
      <c r="G62" s="559" t="str">
        <f t="shared" si="6"/>
        <v/>
      </c>
      <c r="H62" s="559" t="str">
        <f t="shared" si="7"/>
        <v/>
      </c>
      <c r="I62" s="559" t="str">
        <f t="shared" si="8"/>
        <v/>
      </c>
    </row>
    <row r="63" spans="2:11">
      <c r="B63" s="555" t="str">
        <f t="shared" si="3"/>
        <v/>
      </c>
      <c r="C63" s="556" t="str">
        <f t="shared" si="4"/>
        <v/>
      </c>
      <c r="D63" s="557" t="str">
        <f t="shared" si="5"/>
        <v/>
      </c>
      <c r="E63" s="560"/>
      <c r="F63" s="559"/>
      <c r="G63" s="559" t="str">
        <f t="shared" si="6"/>
        <v/>
      </c>
      <c r="H63" s="559" t="str">
        <f t="shared" si="7"/>
        <v/>
      </c>
      <c r="I63" s="559" t="str">
        <f t="shared" si="8"/>
        <v/>
      </c>
    </row>
    <row r="64" spans="2:11">
      <c r="B64" s="555" t="str">
        <f t="shared" si="3"/>
        <v/>
      </c>
      <c r="C64" s="556" t="str">
        <f t="shared" si="4"/>
        <v/>
      </c>
      <c r="D64" s="557" t="str">
        <f t="shared" si="5"/>
        <v/>
      </c>
      <c r="E64" s="560"/>
      <c r="F64" s="559"/>
      <c r="G64" s="559" t="str">
        <f t="shared" si="6"/>
        <v/>
      </c>
      <c r="H64" s="559" t="str">
        <f t="shared" si="7"/>
        <v/>
      </c>
      <c r="I64" s="559" t="str">
        <f t="shared" si="8"/>
        <v/>
      </c>
    </row>
    <row r="65" spans="2:10" ht="15">
      <c r="B65" s="555" t="str">
        <f t="shared" si="3"/>
        <v/>
      </c>
      <c r="C65" s="556" t="str">
        <f t="shared" si="4"/>
        <v/>
      </c>
      <c r="D65" s="557" t="str">
        <f t="shared" si="5"/>
        <v/>
      </c>
      <c r="E65" s="560"/>
      <c r="F65" s="559"/>
      <c r="G65" s="559" t="str">
        <f t="shared" si="6"/>
        <v/>
      </c>
      <c r="H65" s="559" t="str">
        <f t="shared" si="7"/>
        <v/>
      </c>
      <c r="I65" s="559" t="str">
        <f t="shared" si="8"/>
        <v/>
      </c>
      <c r="J65" s="561"/>
    </row>
    <row r="66" spans="2:10" ht="15">
      <c r="B66" s="555" t="str">
        <f t="shared" si="3"/>
        <v/>
      </c>
      <c r="C66" s="556" t="str">
        <f t="shared" si="4"/>
        <v/>
      </c>
      <c r="D66" s="557" t="str">
        <f t="shared" si="5"/>
        <v/>
      </c>
      <c r="E66" s="560"/>
      <c r="F66" s="559"/>
      <c r="G66" s="559" t="str">
        <f t="shared" si="6"/>
        <v/>
      </c>
      <c r="H66" s="559" t="str">
        <f t="shared" si="7"/>
        <v/>
      </c>
      <c r="I66" s="559" t="str">
        <f t="shared" si="8"/>
        <v/>
      </c>
      <c r="J66" s="561"/>
    </row>
    <row r="67" spans="2:10" ht="15">
      <c r="B67" s="555" t="str">
        <f t="shared" si="3"/>
        <v/>
      </c>
      <c r="C67" s="556" t="str">
        <f t="shared" si="4"/>
        <v/>
      </c>
      <c r="D67" s="557" t="str">
        <f t="shared" si="5"/>
        <v/>
      </c>
      <c r="E67" s="560"/>
      <c r="F67" s="559"/>
      <c r="G67" s="559" t="str">
        <f t="shared" si="6"/>
        <v/>
      </c>
      <c r="H67" s="559" t="str">
        <f t="shared" si="7"/>
        <v/>
      </c>
      <c r="I67" s="559" t="str">
        <f t="shared" si="8"/>
        <v/>
      </c>
      <c r="J67" s="562"/>
    </row>
    <row r="68" spans="2:10">
      <c r="B68" s="555" t="str">
        <f t="shared" si="3"/>
        <v/>
      </c>
      <c r="C68" s="556" t="str">
        <f t="shared" si="4"/>
        <v/>
      </c>
      <c r="D68" s="557" t="str">
        <f t="shared" si="5"/>
        <v/>
      </c>
      <c r="E68" s="560"/>
      <c r="F68" s="559"/>
      <c r="G68" s="559" t="str">
        <f t="shared" si="6"/>
        <v/>
      </c>
      <c r="H68" s="559" t="str">
        <f t="shared" si="7"/>
        <v/>
      </c>
      <c r="I68" s="559" t="str">
        <f t="shared" si="8"/>
        <v/>
      </c>
    </row>
    <row r="69" spans="2:10">
      <c r="B69" s="555" t="str">
        <f t="shared" si="3"/>
        <v/>
      </c>
      <c r="C69" s="556" t="str">
        <f t="shared" si="4"/>
        <v/>
      </c>
      <c r="D69" s="557" t="str">
        <f t="shared" si="5"/>
        <v/>
      </c>
      <c r="E69" s="560"/>
      <c r="F69" s="559"/>
      <c r="G69" s="559" t="str">
        <f t="shared" si="6"/>
        <v/>
      </c>
      <c r="H69" s="559" t="str">
        <f t="shared" si="7"/>
        <v/>
      </c>
      <c r="I69" s="559" t="str">
        <f t="shared" si="8"/>
        <v/>
      </c>
    </row>
    <row r="70" spans="2:10">
      <c r="B70" s="555" t="str">
        <f t="shared" si="3"/>
        <v/>
      </c>
      <c r="C70" s="556" t="str">
        <f t="shared" si="4"/>
        <v/>
      </c>
      <c r="D70" s="557" t="str">
        <f t="shared" si="5"/>
        <v/>
      </c>
      <c r="E70" s="560"/>
      <c r="F70" s="559"/>
      <c r="G70" s="559" t="str">
        <f t="shared" si="6"/>
        <v/>
      </c>
      <c r="H70" s="559" t="str">
        <f t="shared" si="7"/>
        <v/>
      </c>
      <c r="I70" s="559" t="str">
        <f t="shared" si="8"/>
        <v/>
      </c>
    </row>
    <row r="71" spans="2:10">
      <c r="B71" s="555" t="str">
        <f t="shared" si="3"/>
        <v/>
      </c>
      <c r="C71" s="556" t="str">
        <f t="shared" si="4"/>
        <v/>
      </c>
      <c r="D71" s="557" t="str">
        <f t="shared" si="5"/>
        <v/>
      </c>
      <c r="E71" s="560"/>
      <c r="F71" s="559"/>
      <c r="G71" s="559" t="str">
        <f t="shared" si="6"/>
        <v/>
      </c>
      <c r="H71" s="559" t="str">
        <f t="shared" si="7"/>
        <v/>
      </c>
      <c r="I71" s="559" t="str">
        <f t="shared" si="8"/>
        <v/>
      </c>
    </row>
    <row r="72" spans="2:10">
      <c r="B72" s="555" t="str">
        <f t="shared" si="3"/>
        <v/>
      </c>
      <c r="C72" s="556" t="str">
        <f t="shared" si="4"/>
        <v/>
      </c>
      <c r="D72" s="557" t="str">
        <f t="shared" si="5"/>
        <v/>
      </c>
      <c r="E72" s="560"/>
      <c r="F72" s="559"/>
      <c r="G72" s="559" t="str">
        <f t="shared" si="6"/>
        <v/>
      </c>
      <c r="H72" s="559" t="str">
        <f t="shared" si="7"/>
        <v/>
      </c>
      <c r="I72" s="559" t="str">
        <f t="shared" si="8"/>
        <v/>
      </c>
    </row>
    <row r="73" spans="2:10">
      <c r="B73" s="555" t="str">
        <f t="shared" si="3"/>
        <v/>
      </c>
      <c r="C73" s="556" t="str">
        <f t="shared" si="4"/>
        <v/>
      </c>
      <c r="D73" s="557" t="str">
        <f t="shared" si="5"/>
        <v/>
      </c>
      <c r="E73" s="560"/>
      <c r="F73" s="559"/>
      <c r="G73" s="559" t="str">
        <f t="shared" si="6"/>
        <v/>
      </c>
      <c r="H73" s="559" t="str">
        <f t="shared" si="7"/>
        <v/>
      </c>
      <c r="I73" s="559" t="str">
        <f t="shared" si="8"/>
        <v/>
      </c>
    </row>
    <row r="74" spans="2:10">
      <c r="B74" s="555" t="str">
        <f t="shared" si="3"/>
        <v/>
      </c>
      <c r="C74" s="556" t="str">
        <f t="shared" si="4"/>
        <v/>
      </c>
      <c r="D74" s="557" t="str">
        <f t="shared" si="5"/>
        <v/>
      </c>
      <c r="E74" s="560"/>
      <c r="F74" s="559"/>
      <c r="G74" s="559" t="str">
        <f t="shared" si="6"/>
        <v/>
      </c>
      <c r="H74" s="559" t="str">
        <f t="shared" si="7"/>
        <v/>
      </c>
      <c r="I74" s="559" t="str">
        <f t="shared" si="8"/>
        <v/>
      </c>
    </row>
    <row r="75" spans="2:10">
      <c r="B75" s="555" t="str">
        <f t="shared" si="3"/>
        <v/>
      </c>
      <c r="C75" s="556" t="str">
        <f t="shared" si="4"/>
        <v/>
      </c>
      <c r="D75" s="557" t="str">
        <f t="shared" si="5"/>
        <v/>
      </c>
      <c r="E75" s="560"/>
      <c r="F75" s="559"/>
      <c r="G75" s="559" t="str">
        <f t="shared" si="6"/>
        <v/>
      </c>
      <c r="H75" s="559" t="str">
        <f t="shared" si="7"/>
        <v/>
      </c>
      <c r="I75" s="559" t="str">
        <f t="shared" si="8"/>
        <v/>
      </c>
    </row>
    <row r="76" spans="2:10">
      <c r="B76" s="555" t="str">
        <f t="shared" si="3"/>
        <v/>
      </c>
      <c r="C76" s="556" t="str">
        <f t="shared" si="4"/>
        <v/>
      </c>
      <c r="D76" s="557" t="str">
        <f t="shared" si="5"/>
        <v/>
      </c>
      <c r="E76" s="560"/>
      <c r="F76" s="559"/>
      <c r="G76" s="559" t="str">
        <f t="shared" si="6"/>
        <v/>
      </c>
      <c r="H76" s="559" t="str">
        <f t="shared" si="7"/>
        <v/>
      </c>
      <c r="I76" s="559" t="str">
        <f t="shared" si="8"/>
        <v/>
      </c>
    </row>
    <row r="77" spans="2:10">
      <c r="B77" s="555" t="str">
        <f t="shared" si="3"/>
        <v/>
      </c>
      <c r="C77" s="556" t="str">
        <f t="shared" si="4"/>
        <v/>
      </c>
      <c r="D77" s="557" t="str">
        <f t="shared" si="5"/>
        <v/>
      </c>
      <c r="E77" s="560"/>
      <c r="F77" s="559"/>
      <c r="G77" s="559" t="str">
        <f t="shared" si="6"/>
        <v/>
      </c>
      <c r="H77" s="559" t="str">
        <f t="shared" si="7"/>
        <v/>
      </c>
      <c r="I77" s="559" t="str">
        <f t="shared" si="8"/>
        <v/>
      </c>
    </row>
    <row r="78" spans="2:10">
      <c r="B78" s="555" t="str">
        <f t="shared" si="3"/>
        <v/>
      </c>
      <c r="C78" s="556" t="str">
        <f t="shared" si="4"/>
        <v/>
      </c>
      <c r="D78" s="557" t="str">
        <f t="shared" si="5"/>
        <v/>
      </c>
      <c r="E78" s="560"/>
      <c r="F78" s="559"/>
      <c r="G78" s="559" t="str">
        <f t="shared" si="6"/>
        <v/>
      </c>
      <c r="H78" s="559" t="str">
        <f t="shared" si="7"/>
        <v/>
      </c>
      <c r="I78" s="559" t="str">
        <f t="shared" si="8"/>
        <v/>
      </c>
    </row>
    <row r="79" spans="2:10">
      <c r="B79" s="555" t="str">
        <f t="shared" si="3"/>
        <v/>
      </c>
      <c r="C79" s="556" t="str">
        <f t="shared" si="4"/>
        <v/>
      </c>
      <c r="D79" s="557" t="str">
        <f t="shared" si="5"/>
        <v/>
      </c>
      <c r="E79" s="560"/>
      <c r="F79" s="559"/>
      <c r="G79" s="559" t="str">
        <f t="shared" si="6"/>
        <v/>
      </c>
      <c r="H79" s="559" t="str">
        <f t="shared" si="7"/>
        <v/>
      </c>
      <c r="I79" s="559" t="str">
        <f t="shared" si="8"/>
        <v/>
      </c>
    </row>
    <row r="80" spans="2:10">
      <c r="B80" s="555" t="str">
        <f t="shared" si="3"/>
        <v/>
      </c>
      <c r="C80" s="556" t="str">
        <f t="shared" si="4"/>
        <v/>
      </c>
      <c r="D80" s="557" t="str">
        <f t="shared" si="5"/>
        <v/>
      </c>
      <c r="E80" s="560"/>
      <c r="F80" s="559"/>
      <c r="G80" s="559" t="str">
        <f t="shared" si="6"/>
        <v/>
      </c>
      <c r="H80" s="559" t="str">
        <f t="shared" si="7"/>
        <v/>
      </c>
      <c r="I80" s="559" t="str">
        <f t="shared" si="8"/>
        <v/>
      </c>
    </row>
    <row r="81" spans="2:9">
      <c r="B81" s="555" t="str">
        <f t="shared" si="3"/>
        <v/>
      </c>
      <c r="C81" s="556" t="str">
        <f t="shared" si="4"/>
        <v/>
      </c>
      <c r="D81" s="557" t="str">
        <f t="shared" si="5"/>
        <v/>
      </c>
      <c r="E81" s="560"/>
      <c r="F81" s="559"/>
      <c r="G81" s="559" t="str">
        <f t="shared" si="6"/>
        <v/>
      </c>
      <c r="H81" s="559" t="str">
        <f t="shared" si="7"/>
        <v/>
      </c>
      <c r="I81" s="559" t="str">
        <f t="shared" si="8"/>
        <v/>
      </c>
    </row>
    <row r="82" spans="2:9">
      <c r="B82" s="555" t="str">
        <f t="shared" si="3"/>
        <v/>
      </c>
      <c r="C82" s="556" t="str">
        <f t="shared" si="4"/>
        <v/>
      </c>
      <c r="D82" s="557" t="str">
        <f t="shared" si="5"/>
        <v/>
      </c>
      <c r="E82" s="560"/>
      <c r="F82" s="559"/>
      <c r="G82" s="559" t="str">
        <f t="shared" si="6"/>
        <v/>
      </c>
      <c r="H82" s="559" t="str">
        <f t="shared" si="7"/>
        <v/>
      </c>
      <c r="I82" s="559" t="str">
        <f t="shared" si="8"/>
        <v/>
      </c>
    </row>
    <row r="83" spans="2:9">
      <c r="B83" s="555" t="str">
        <f t="shared" si="3"/>
        <v/>
      </c>
      <c r="C83" s="556" t="str">
        <f t="shared" si="4"/>
        <v/>
      </c>
      <c r="D83" s="557" t="str">
        <f t="shared" si="5"/>
        <v/>
      </c>
      <c r="E83" s="560"/>
      <c r="F83" s="559"/>
      <c r="G83" s="559" t="str">
        <f t="shared" si="6"/>
        <v/>
      </c>
      <c r="H83" s="559" t="str">
        <f t="shared" si="7"/>
        <v/>
      </c>
      <c r="I83" s="559" t="str">
        <f t="shared" si="8"/>
        <v/>
      </c>
    </row>
    <row r="84" spans="2:9">
      <c r="B84" s="555" t="str">
        <f t="shared" si="3"/>
        <v/>
      </c>
      <c r="C84" s="556" t="str">
        <f t="shared" si="4"/>
        <v/>
      </c>
      <c r="D84" s="557" t="str">
        <f t="shared" si="5"/>
        <v/>
      </c>
      <c r="E84" s="560"/>
      <c r="F84" s="559"/>
      <c r="G84" s="559" t="str">
        <f t="shared" si="6"/>
        <v/>
      </c>
      <c r="H84" s="559" t="str">
        <f t="shared" si="7"/>
        <v/>
      </c>
      <c r="I84" s="559" t="str">
        <f t="shared" si="8"/>
        <v/>
      </c>
    </row>
    <row r="85" spans="2:9">
      <c r="B85" s="555" t="str">
        <f t="shared" si="3"/>
        <v/>
      </c>
      <c r="C85" s="556" t="str">
        <f t="shared" si="4"/>
        <v/>
      </c>
      <c r="D85" s="557" t="str">
        <f t="shared" si="5"/>
        <v/>
      </c>
      <c r="E85" s="560"/>
      <c r="F85" s="559"/>
      <c r="G85" s="559" t="str">
        <f t="shared" si="6"/>
        <v/>
      </c>
      <c r="H85" s="559" t="str">
        <f t="shared" si="7"/>
        <v/>
      </c>
      <c r="I85" s="559" t="str">
        <f t="shared" si="8"/>
        <v/>
      </c>
    </row>
    <row r="86" spans="2:9">
      <c r="B86" s="555" t="str">
        <f t="shared" si="3"/>
        <v/>
      </c>
      <c r="C86" s="556" t="str">
        <f t="shared" si="4"/>
        <v/>
      </c>
      <c r="D86" s="557" t="str">
        <f t="shared" si="5"/>
        <v/>
      </c>
      <c r="E86" s="560"/>
      <c r="F86" s="559"/>
      <c r="G86" s="559" t="str">
        <f t="shared" si="6"/>
        <v/>
      </c>
      <c r="H86" s="559" t="str">
        <f t="shared" si="7"/>
        <v/>
      </c>
      <c r="I86" s="559" t="str">
        <f t="shared" si="8"/>
        <v/>
      </c>
    </row>
    <row r="87" spans="2:9">
      <c r="B87" s="555" t="str">
        <f t="shared" si="3"/>
        <v/>
      </c>
      <c r="C87" s="556" t="str">
        <f t="shared" si="4"/>
        <v/>
      </c>
      <c r="D87" s="557" t="str">
        <f t="shared" si="5"/>
        <v/>
      </c>
      <c r="E87" s="560"/>
      <c r="F87" s="559"/>
      <c r="G87" s="559" t="str">
        <f t="shared" si="6"/>
        <v/>
      </c>
      <c r="H87" s="559" t="str">
        <f t="shared" si="7"/>
        <v/>
      </c>
      <c r="I87" s="559" t="str">
        <f t="shared" si="8"/>
        <v/>
      </c>
    </row>
    <row r="88" spans="2:9">
      <c r="B88" s="555" t="str">
        <f t="shared" si="3"/>
        <v/>
      </c>
      <c r="C88" s="556" t="str">
        <f t="shared" si="4"/>
        <v/>
      </c>
      <c r="D88" s="557" t="str">
        <f t="shared" si="5"/>
        <v/>
      </c>
      <c r="E88" s="560"/>
      <c r="F88" s="559"/>
      <c r="G88" s="559" t="str">
        <f t="shared" si="6"/>
        <v/>
      </c>
      <c r="H88" s="559" t="str">
        <f t="shared" si="7"/>
        <v/>
      </c>
      <c r="I88" s="559" t="str">
        <f t="shared" si="8"/>
        <v/>
      </c>
    </row>
    <row r="89" spans="2:9">
      <c r="B89" s="555" t="str">
        <f t="shared" si="3"/>
        <v/>
      </c>
      <c r="C89" s="556" t="str">
        <f t="shared" si="4"/>
        <v/>
      </c>
      <c r="D89" s="557" t="str">
        <f t="shared" si="5"/>
        <v/>
      </c>
      <c r="E89" s="560"/>
      <c r="F89" s="559"/>
      <c r="G89" s="559" t="str">
        <f t="shared" si="6"/>
        <v/>
      </c>
      <c r="H89" s="559" t="str">
        <f t="shared" si="7"/>
        <v/>
      </c>
      <c r="I89" s="559" t="str">
        <f t="shared" si="8"/>
        <v/>
      </c>
    </row>
    <row r="90" spans="2:9">
      <c r="B90" s="555" t="str">
        <f t="shared" si="3"/>
        <v/>
      </c>
      <c r="C90" s="556" t="str">
        <f t="shared" si="4"/>
        <v/>
      </c>
      <c r="D90" s="557" t="str">
        <f t="shared" si="5"/>
        <v/>
      </c>
      <c r="E90" s="560"/>
      <c r="F90" s="559"/>
      <c r="G90" s="559" t="str">
        <f t="shared" si="6"/>
        <v/>
      </c>
      <c r="H90" s="559" t="str">
        <f t="shared" si="7"/>
        <v/>
      </c>
      <c r="I90" s="559" t="str">
        <f t="shared" si="8"/>
        <v/>
      </c>
    </row>
    <row r="91" spans="2:9">
      <c r="B91" s="555"/>
      <c r="C91" s="556"/>
      <c r="D91" s="557"/>
      <c r="E91" s="560"/>
      <c r="F91" s="559"/>
      <c r="G91" s="559"/>
      <c r="H91" s="559"/>
      <c r="I91" s="559"/>
    </row>
    <row r="92" spans="2:9" ht="15.75">
      <c r="B92" s="555"/>
      <c r="C92" s="556"/>
      <c r="D92" s="596" t="s">
        <v>718</v>
      </c>
      <c r="E92" s="597">
        <f>SUM(D36:D56)</f>
        <v>0</v>
      </c>
      <c r="F92" s="559"/>
      <c r="G92" s="559"/>
      <c r="H92" s="559"/>
      <c r="I92" s="559"/>
    </row>
    <row r="93" spans="2:9">
      <c r="B93" s="555"/>
      <c r="C93" s="556"/>
      <c r="D93" s="557"/>
      <c r="E93" s="560"/>
      <c r="F93" s="559"/>
      <c r="G93" s="559"/>
      <c r="H93" s="559"/>
      <c r="I93" s="559"/>
    </row>
    <row r="94" spans="2:9">
      <c r="B94" s="555"/>
      <c r="C94" s="556"/>
      <c r="D94" s="557"/>
      <c r="E94" s="560"/>
      <c r="F94" s="559"/>
      <c r="G94" s="559"/>
      <c r="H94" s="559"/>
      <c r="I94" s="559"/>
    </row>
    <row r="95" spans="2:9">
      <c r="B95" s="555"/>
      <c r="C95" s="556"/>
      <c r="D95" s="557"/>
      <c r="E95" s="560"/>
      <c r="F95" s="559"/>
      <c r="G95" s="559"/>
      <c r="H95" s="559"/>
      <c r="I95" s="559"/>
    </row>
    <row r="96" spans="2:9">
      <c r="B96" s="555"/>
      <c r="C96" s="556"/>
      <c r="D96" s="557"/>
      <c r="E96" s="560"/>
      <c r="F96" s="559"/>
      <c r="G96" s="559"/>
      <c r="H96" s="559"/>
      <c r="I96" s="559"/>
    </row>
    <row r="97" spans="2:9">
      <c r="B97" s="555"/>
      <c r="C97" s="556"/>
      <c r="D97" s="557"/>
      <c r="E97" s="560"/>
      <c r="F97" s="559"/>
      <c r="G97" s="559"/>
      <c r="H97" s="559"/>
      <c r="I97" s="559"/>
    </row>
    <row r="98" spans="2:9">
      <c r="B98" s="555" t="str">
        <f t="shared" si="3"/>
        <v/>
      </c>
      <c r="C98" s="556" t="str">
        <f t="shared" si="4"/>
        <v/>
      </c>
      <c r="D98" s="557" t="str">
        <f t="shared" si="5"/>
        <v/>
      </c>
      <c r="E98" s="560"/>
      <c r="F98" s="559"/>
      <c r="G98" s="559" t="str">
        <f t="shared" si="6"/>
        <v/>
      </c>
      <c r="H98" s="559" t="str">
        <f t="shared" si="7"/>
        <v/>
      </c>
      <c r="I98" s="559" t="str">
        <f t="shared" si="8"/>
        <v/>
      </c>
    </row>
    <row r="99" spans="2:9">
      <c r="B99" s="555" t="str">
        <f t="shared" si="3"/>
        <v/>
      </c>
      <c r="C99" s="556" t="str">
        <f t="shared" si="4"/>
        <v/>
      </c>
      <c r="D99" s="557" t="str">
        <f t="shared" si="5"/>
        <v/>
      </c>
      <c r="E99" s="560"/>
      <c r="F99" s="559"/>
      <c r="G99" s="559" t="str">
        <f t="shared" si="6"/>
        <v/>
      </c>
      <c r="H99" s="559" t="str">
        <f t="shared" si="7"/>
        <v/>
      </c>
      <c r="I99" s="559" t="str">
        <f t="shared" si="8"/>
        <v/>
      </c>
    </row>
    <row r="100" spans="2:9">
      <c r="B100" s="555" t="str">
        <f t="shared" si="3"/>
        <v/>
      </c>
      <c r="C100" s="556" t="str">
        <f t="shared" si="4"/>
        <v/>
      </c>
      <c r="D100" s="557" t="str">
        <f t="shared" si="5"/>
        <v/>
      </c>
      <c r="E100" s="560"/>
      <c r="F100" s="559"/>
      <c r="G100" s="559" t="str">
        <f t="shared" si="6"/>
        <v/>
      </c>
      <c r="H100" s="559" t="str">
        <f t="shared" si="7"/>
        <v/>
      </c>
      <c r="I100" s="559" t="str">
        <f t="shared" si="8"/>
        <v/>
      </c>
    </row>
    <row r="101" spans="2:9">
      <c r="B101" s="555" t="str">
        <f t="shared" si="3"/>
        <v/>
      </c>
      <c r="C101" s="556" t="str">
        <f t="shared" si="4"/>
        <v/>
      </c>
      <c r="D101" s="557" t="str">
        <f t="shared" si="5"/>
        <v/>
      </c>
      <c r="E101" s="560"/>
      <c r="F101" s="559"/>
      <c r="G101" s="559" t="str">
        <f t="shared" si="6"/>
        <v/>
      </c>
      <c r="H101" s="559" t="str">
        <f t="shared" si="7"/>
        <v/>
      </c>
      <c r="I101" s="559" t="str">
        <f t="shared" si="8"/>
        <v/>
      </c>
    </row>
    <row r="102" spans="2:9">
      <c r="B102" s="555" t="str">
        <f t="shared" si="3"/>
        <v/>
      </c>
      <c r="C102" s="556" t="str">
        <f t="shared" si="4"/>
        <v/>
      </c>
      <c r="D102" s="557" t="str">
        <f t="shared" si="5"/>
        <v/>
      </c>
      <c r="E102" s="560"/>
      <c r="F102" s="559"/>
      <c r="G102" s="559" t="str">
        <f t="shared" si="6"/>
        <v/>
      </c>
      <c r="H102" s="559" t="str">
        <f t="shared" si="7"/>
        <v/>
      </c>
      <c r="I102" s="559" t="str">
        <f t="shared" si="8"/>
        <v/>
      </c>
    </row>
    <row r="103" spans="2:9">
      <c r="B103" s="555" t="str">
        <f t="shared" si="3"/>
        <v/>
      </c>
      <c r="C103" s="556" t="str">
        <f t="shared" si="4"/>
        <v/>
      </c>
      <c r="D103" s="557" t="str">
        <f t="shared" si="5"/>
        <v/>
      </c>
      <c r="E103" s="560"/>
      <c r="F103" s="559"/>
      <c r="G103" s="559" t="str">
        <f t="shared" si="6"/>
        <v/>
      </c>
      <c r="H103" s="559" t="str">
        <f t="shared" si="7"/>
        <v/>
      </c>
      <c r="I103" s="559" t="str">
        <f t="shared" si="8"/>
        <v/>
      </c>
    </row>
    <row r="104" spans="2:9">
      <c r="B104" s="555" t="str">
        <f t="shared" si="3"/>
        <v/>
      </c>
      <c r="C104" s="556" t="str">
        <f t="shared" si="4"/>
        <v/>
      </c>
      <c r="D104" s="557" t="str">
        <f t="shared" si="5"/>
        <v/>
      </c>
      <c r="E104" s="560"/>
      <c r="F104" s="559"/>
      <c r="G104" s="559" t="str">
        <f t="shared" si="6"/>
        <v/>
      </c>
      <c r="H104" s="559" t="str">
        <f t="shared" si="7"/>
        <v/>
      </c>
      <c r="I104" s="559" t="str">
        <f t="shared" si="8"/>
        <v/>
      </c>
    </row>
    <row r="105" spans="2:9">
      <c r="B105" s="555" t="str">
        <f t="shared" si="3"/>
        <v/>
      </c>
      <c r="C105" s="556" t="str">
        <f t="shared" si="4"/>
        <v/>
      </c>
      <c r="D105" s="557" t="str">
        <f t="shared" si="5"/>
        <v/>
      </c>
      <c r="E105" s="560"/>
      <c r="F105" s="559"/>
      <c r="G105" s="559" t="str">
        <f t="shared" si="6"/>
        <v/>
      </c>
      <c r="H105" s="559" t="str">
        <f t="shared" si="7"/>
        <v/>
      </c>
      <c r="I105" s="559" t="str">
        <f t="shared" si="8"/>
        <v/>
      </c>
    </row>
    <row r="106" spans="2:9">
      <c r="B106" s="555" t="str">
        <f t="shared" si="3"/>
        <v/>
      </c>
      <c r="C106" s="556" t="str">
        <f t="shared" si="4"/>
        <v/>
      </c>
      <c r="D106" s="557" t="str">
        <f t="shared" si="5"/>
        <v/>
      </c>
      <c r="E106" s="560"/>
      <c r="F106" s="559"/>
      <c r="G106" s="559" t="str">
        <f t="shared" si="6"/>
        <v/>
      </c>
      <c r="H106" s="559" t="str">
        <f t="shared" si="7"/>
        <v/>
      </c>
      <c r="I106" s="559" t="str">
        <f t="shared" si="8"/>
        <v/>
      </c>
    </row>
    <row r="107" spans="2:9">
      <c r="B107" s="555" t="str">
        <f t="shared" si="3"/>
        <v/>
      </c>
      <c r="C107" s="556" t="str">
        <f t="shared" si="4"/>
        <v/>
      </c>
      <c r="D107" s="557" t="str">
        <f t="shared" si="5"/>
        <v/>
      </c>
      <c r="E107" s="560"/>
      <c r="F107" s="559"/>
      <c r="G107" s="559" t="str">
        <f t="shared" si="6"/>
        <v/>
      </c>
      <c r="H107" s="559" t="str">
        <f t="shared" si="7"/>
        <v/>
      </c>
      <c r="I107" s="559" t="str">
        <f t="shared" si="8"/>
        <v/>
      </c>
    </row>
    <row r="108" spans="2:9">
      <c r="B108" s="555" t="str">
        <f t="shared" si="3"/>
        <v/>
      </c>
      <c r="C108" s="556" t="str">
        <f t="shared" si="4"/>
        <v/>
      </c>
      <c r="D108" s="557" t="str">
        <f t="shared" si="5"/>
        <v/>
      </c>
      <c r="E108" s="560"/>
      <c r="F108" s="559"/>
      <c r="G108" s="559" t="str">
        <f t="shared" si="6"/>
        <v/>
      </c>
      <c r="H108" s="559" t="str">
        <f t="shared" si="7"/>
        <v/>
      </c>
      <c r="I108" s="559" t="str">
        <f t="shared" si="8"/>
        <v/>
      </c>
    </row>
    <row r="109" spans="2:9">
      <c r="B109" s="555" t="str">
        <f t="shared" si="3"/>
        <v/>
      </c>
      <c r="C109" s="556" t="str">
        <f t="shared" si="4"/>
        <v/>
      </c>
      <c r="D109" s="557" t="str">
        <f t="shared" si="5"/>
        <v/>
      </c>
      <c r="E109" s="560"/>
      <c r="F109" s="559"/>
      <c r="G109" s="559" t="str">
        <f t="shared" si="6"/>
        <v/>
      </c>
      <c r="H109" s="559" t="str">
        <f t="shared" si="7"/>
        <v/>
      </c>
      <c r="I109" s="559" t="str">
        <f t="shared" si="8"/>
        <v/>
      </c>
    </row>
    <row r="110" spans="2:9">
      <c r="B110" s="555" t="str">
        <f t="shared" si="3"/>
        <v/>
      </c>
      <c r="C110" s="556" t="str">
        <f t="shared" si="4"/>
        <v/>
      </c>
      <c r="D110" s="557" t="str">
        <f t="shared" si="5"/>
        <v/>
      </c>
      <c r="E110" s="560"/>
      <c r="F110" s="559"/>
      <c r="G110" s="559" t="str">
        <f t="shared" si="6"/>
        <v/>
      </c>
      <c r="H110" s="559" t="str">
        <f t="shared" si="7"/>
        <v/>
      </c>
      <c r="I110" s="559" t="str">
        <f t="shared" si="8"/>
        <v/>
      </c>
    </row>
    <row r="111" spans="2:9">
      <c r="B111" s="555" t="str">
        <f t="shared" si="3"/>
        <v/>
      </c>
      <c r="C111" s="556" t="str">
        <f t="shared" si="4"/>
        <v/>
      </c>
      <c r="D111" s="557" t="str">
        <f t="shared" si="5"/>
        <v/>
      </c>
      <c r="E111" s="560"/>
      <c r="F111" s="559"/>
      <c r="G111" s="559" t="str">
        <f t="shared" si="6"/>
        <v/>
      </c>
      <c r="H111" s="559" t="str">
        <f t="shared" si="7"/>
        <v/>
      </c>
      <c r="I111" s="559" t="str">
        <f t="shared" si="8"/>
        <v/>
      </c>
    </row>
    <row r="112" spans="2:9">
      <c r="B112" s="555" t="str">
        <f t="shared" si="3"/>
        <v/>
      </c>
      <c r="C112" s="556" t="str">
        <f t="shared" si="4"/>
        <v/>
      </c>
      <c r="D112" s="557" t="str">
        <f t="shared" si="5"/>
        <v/>
      </c>
      <c r="E112" s="560"/>
      <c r="F112" s="559"/>
      <c r="G112" s="559" t="str">
        <f t="shared" si="6"/>
        <v/>
      </c>
      <c r="H112" s="559" t="str">
        <f t="shared" si="7"/>
        <v/>
      </c>
      <c r="I112" s="559" t="str">
        <f t="shared" si="8"/>
        <v/>
      </c>
    </row>
    <row r="113" spans="2:9">
      <c r="B113" s="555" t="str">
        <f t="shared" si="3"/>
        <v/>
      </c>
      <c r="C113" s="556" t="str">
        <f t="shared" si="4"/>
        <v/>
      </c>
      <c r="D113" s="557" t="str">
        <f t="shared" si="5"/>
        <v/>
      </c>
      <c r="E113" s="560"/>
      <c r="F113" s="559"/>
      <c r="G113" s="559" t="str">
        <f t="shared" si="6"/>
        <v/>
      </c>
      <c r="H113" s="559" t="str">
        <f t="shared" si="7"/>
        <v/>
      </c>
      <c r="I113" s="559" t="str">
        <f t="shared" si="8"/>
        <v/>
      </c>
    </row>
    <row r="114" spans="2:9">
      <c r="B114" s="555" t="str">
        <f t="shared" si="3"/>
        <v/>
      </c>
      <c r="C114" s="556" t="str">
        <f t="shared" si="4"/>
        <v/>
      </c>
      <c r="D114" s="557" t="str">
        <f t="shared" si="5"/>
        <v/>
      </c>
      <c r="E114" s="560"/>
      <c r="F114" s="559"/>
      <c r="G114" s="559" t="str">
        <f t="shared" si="6"/>
        <v/>
      </c>
      <c r="H114" s="559" t="str">
        <f t="shared" si="7"/>
        <v/>
      </c>
      <c r="I114" s="559" t="str">
        <f t="shared" si="8"/>
        <v/>
      </c>
    </row>
    <row r="115" spans="2:9">
      <c r="B115" s="555" t="str">
        <f t="shared" si="3"/>
        <v/>
      </c>
      <c r="C115" s="556" t="str">
        <f t="shared" si="4"/>
        <v/>
      </c>
      <c r="D115" s="557" t="str">
        <f t="shared" si="5"/>
        <v/>
      </c>
      <c r="E115" s="560"/>
      <c r="F115" s="559"/>
      <c r="G115" s="559" t="str">
        <f t="shared" si="6"/>
        <v/>
      </c>
      <c r="H115" s="559" t="str">
        <f t="shared" si="7"/>
        <v/>
      </c>
      <c r="I115" s="559" t="str">
        <f t="shared" si="8"/>
        <v/>
      </c>
    </row>
    <row r="116" spans="2:9">
      <c r="B116" s="555" t="str">
        <f t="shared" si="3"/>
        <v/>
      </c>
      <c r="C116" s="556" t="str">
        <f t="shared" si="4"/>
        <v/>
      </c>
      <c r="D116" s="557" t="str">
        <f t="shared" si="5"/>
        <v/>
      </c>
      <c r="E116" s="560"/>
      <c r="F116" s="559"/>
      <c r="G116" s="559" t="str">
        <f t="shared" si="6"/>
        <v/>
      </c>
      <c r="H116" s="559" t="str">
        <f t="shared" si="7"/>
        <v/>
      </c>
      <c r="I116" s="559" t="str">
        <f t="shared" si="8"/>
        <v/>
      </c>
    </row>
    <row r="117" spans="2:9">
      <c r="B117" s="555" t="str">
        <f t="shared" si="3"/>
        <v/>
      </c>
      <c r="C117" s="556" t="str">
        <f t="shared" si="4"/>
        <v/>
      </c>
      <c r="D117" s="557" t="str">
        <f t="shared" si="5"/>
        <v/>
      </c>
      <c r="E117" s="560"/>
      <c r="F117" s="559"/>
      <c r="G117" s="559" t="str">
        <f t="shared" si="6"/>
        <v/>
      </c>
      <c r="H117" s="559" t="str">
        <f t="shared" si="7"/>
        <v/>
      </c>
      <c r="I117" s="559" t="str">
        <f t="shared" si="8"/>
        <v/>
      </c>
    </row>
    <row r="118" spans="2:9">
      <c r="B118" s="555" t="str">
        <f t="shared" si="3"/>
        <v/>
      </c>
      <c r="C118" s="556" t="str">
        <f t="shared" si="4"/>
        <v/>
      </c>
      <c r="D118" s="557" t="str">
        <f t="shared" si="5"/>
        <v/>
      </c>
      <c r="E118" s="560"/>
      <c r="F118" s="559"/>
      <c r="G118" s="559" t="str">
        <f t="shared" si="6"/>
        <v/>
      </c>
      <c r="H118" s="559" t="str">
        <f t="shared" si="7"/>
        <v/>
      </c>
      <c r="I118" s="559" t="str">
        <f t="shared" si="8"/>
        <v/>
      </c>
    </row>
    <row r="119" spans="2:9">
      <c r="B119" s="555" t="str">
        <f t="shared" si="3"/>
        <v/>
      </c>
      <c r="C119" s="556" t="str">
        <f t="shared" si="4"/>
        <v/>
      </c>
      <c r="D119" s="557" t="str">
        <f t="shared" si="5"/>
        <v/>
      </c>
      <c r="E119" s="560"/>
      <c r="F119" s="559"/>
      <c r="G119" s="559" t="str">
        <f t="shared" si="6"/>
        <v/>
      </c>
      <c r="H119" s="559" t="str">
        <f t="shared" si="7"/>
        <v/>
      </c>
      <c r="I119" s="559" t="str">
        <f t="shared" si="8"/>
        <v/>
      </c>
    </row>
    <row r="120" spans="2:9">
      <c r="B120" s="555" t="str">
        <f t="shared" si="3"/>
        <v/>
      </c>
      <c r="C120" s="556" t="str">
        <f t="shared" si="4"/>
        <v/>
      </c>
      <c r="D120" s="557" t="str">
        <f t="shared" si="5"/>
        <v/>
      </c>
      <c r="E120" s="560"/>
      <c r="F120" s="559"/>
      <c r="G120" s="559" t="str">
        <f t="shared" si="6"/>
        <v/>
      </c>
      <c r="H120" s="559" t="str">
        <f t="shared" si="7"/>
        <v/>
      </c>
      <c r="I120" s="559" t="str">
        <f t="shared" si="8"/>
        <v/>
      </c>
    </row>
    <row r="121" spans="2:9">
      <c r="B121" s="555" t="str">
        <f t="shared" si="3"/>
        <v/>
      </c>
      <c r="C121" s="556" t="str">
        <f t="shared" si="4"/>
        <v/>
      </c>
      <c r="D121" s="557" t="str">
        <f t="shared" si="5"/>
        <v/>
      </c>
      <c r="E121" s="560"/>
      <c r="F121" s="559"/>
      <c r="G121" s="559" t="str">
        <f t="shared" si="6"/>
        <v/>
      </c>
      <c r="H121" s="559" t="str">
        <f t="shared" si="7"/>
        <v/>
      </c>
      <c r="I121" s="559" t="str">
        <f t="shared" si="8"/>
        <v/>
      </c>
    </row>
    <row r="122" spans="2:9">
      <c r="B122" s="555" t="str">
        <f t="shared" si="3"/>
        <v/>
      </c>
      <c r="C122" s="556" t="str">
        <f t="shared" si="4"/>
        <v/>
      </c>
      <c r="D122" s="557" t="str">
        <f t="shared" si="5"/>
        <v/>
      </c>
      <c r="E122" s="560"/>
      <c r="F122" s="559"/>
      <c r="G122" s="559" t="str">
        <f t="shared" si="6"/>
        <v/>
      </c>
      <c r="H122" s="559" t="str">
        <f t="shared" si="7"/>
        <v/>
      </c>
      <c r="I122" s="559" t="str">
        <f t="shared" si="8"/>
        <v/>
      </c>
    </row>
    <row r="123" spans="2:9">
      <c r="B123" s="555" t="str">
        <f t="shared" si="3"/>
        <v/>
      </c>
      <c r="C123" s="556" t="str">
        <f t="shared" si="4"/>
        <v/>
      </c>
      <c r="D123" s="557" t="str">
        <f t="shared" si="5"/>
        <v/>
      </c>
      <c r="E123" s="560"/>
      <c r="F123" s="559"/>
      <c r="G123" s="559" t="str">
        <f t="shared" si="6"/>
        <v/>
      </c>
      <c r="H123" s="559" t="str">
        <f t="shared" si="7"/>
        <v/>
      </c>
      <c r="I123" s="559" t="str">
        <f t="shared" si="8"/>
        <v/>
      </c>
    </row>
    <row r="124" spans="2:9">
      <c r="B124" s="555" t="str">
        <f t="shared" si="3"/>
        <v/>
      </c>
      <c r="C124" s="556" t="str">
        <f t="shared" si="4"/>
        <v/>
      </c>
      <c r="D124" s="557" t="str">
        <f t="shared" si="5"/>
        <v/>
      </c>
      <c r="E124" s="560"/>
      <c r="F124" s="559"/>
      <c r="G124" s="559" t="str">
        <f t="shared" si="6"/>
        <v/>
      </c>
      <c r="H124" s="559" t="str">
        <f t="shared" si="7"/>
        <v/>
      </c>
      <c r="I124" s="559" t="str">
        <f t="shared" si="8"/>
        <v/>
      </c>
    </row>
    <row r="125" spans="2:9">
      <c r="B125" s="555" t="str">
        <f t="shared" ref="B125:B188" si="9">IF(I124="","",IF(roundOpt,IF(OR(B124&gt;=nper,ROUND(I124,2)&lt;=0),"",B124+1),IF(OR(B124&gt;=nper,I124&lt;=0),"",B124+1)))</f>
        <v/>
      </c>
      <c r="C125" s="556" t="str">
        <f t="shared" ref="C125:C188" si="10">IF(B125="","",IF(OR(periods_per_year=26,periods_per_year=52),IF(periods_per_year=26,IF(B125=1,fpdate,C124+14),IF(periods_per_year=52,IF(B125=1,fpdate,C124+7),"n/a")),IF(periods_per_year=24,DATE(YEAR(fpdate),MONTH(fpdate)+(B125-1)/2+IF(AND(DAY(fpdate)&gt;=15,MOD(B125,2)=0),1,0),IF(MOD(B125,2)=0,IF(DAY(fpdate)&gt;=15,DAY(fpdate)-14,DAY(fpdate)+14),DAY(fpdate))),IF(DAY(DATE(YEAR(fpdate),MONTH(fpdate)+(B125-1)*months_per_period,DAY(fpdate)))&lt;&gt;DAY(fpdate),DATE(YEAR(fpdate),MONTH(fpdate)+(B125-1)*months_per_period+1,0),DATE(YEAR(fpdate),MONTH(fpdate)+(B125-1)*months_per_period,DAY(fpdate))))))</f>
        <v/>
      </c>
      <c r="D125" s="557" t="str">
        <f t="shared" ref="D125:D188" si="11">IF(B125="","",IF(roundOpt,IF(OR(B125=nper,payment&gt;ROUND((1+rate)*I124,2)),ROUND((1+rate)*I124,2),payment),IF(OR(B125=nper,payment&gt;(1+rate)*I124),(1+rate)*I124,payment)))</f>
        <v/>
      </c>
      <c r="E125" s="560"/>
      <c r="F125" s="559"/>
      <c r="G125" s="559" t="str">
        <f t="shared" ref="G125:G188" si="12">IF(B125="","",IF(AND(B125=1,pmtType=1),0,IF(roundOpt,ROUND(rate*I124,2),rate*I124)))</f>
        <v/>
      </c>
      <c r="H125" s="559" t="str">
        <f t="shared" ref="H125:H188" si="13">IF(B125="","",D125-G125+E125)</f>
        <v/>
      </c>
      <c r="I125" s="559" t="str">
        <f t="shared" ref="I125:I188" si="14">IF(B125="","",I124-H125)</f>
        <v/>
      </c>
    </row>
    <row r="126" spans="2:9">
      <c r="B126" s="555" t="str">
        <f t="shared" si="9"/>
        <v/>
      </c>
      <c r="C126" s="556" t="str">
        <f t="shared" si="10"/>
        <v/>
      </c>
      <c r="D126" s="557" t="str">
        <f t="shared" si="11"/>
        <v/>
      </c>
      <c r="E126" s="560"/>
      <c r="F126" s="559"/>
      <c r="G126" s="559" t="str">
        <f t="shared" si="12"/>
        <v/>
      </c>
      <c r="H126" s="559" t="str">
        <f t="shared" si="13"/>
        <v/>
      </c>
      <c r="I126" s="559" t="str">
        <f t="shared" si="14"/>
        <v/>
      </c>
    </row>
    <row r="127" spans="2:9">
      <c r="B127" s="555" t="str">
        <f t="shared" si="9"/>
        <v/>
      </c>
      <c r="C127" s="556" t="str">
        <f t="shared" si="10"/>
        <v/>
      </c>
      <c r="D127" s="557" t="str">
        <f t="shared" si="11"/>
        <v/>
      </c>
      <c r="E127" s="560"/>
      <c r="F127" s="559"/>
      <c r="G127" s="559" t="str">
        <f t="shared" si="12"/>
        <v/>
      </c>
      <c r="H127" s="559" t="str">
        <f t="shared" si="13"/>
        <v/>
      </c>
      <c r="I127" s="559" t="str">
        <f t="shared" si="14"/>
        <v/>
      </c>
    </row>
    <row r="128" spans="2:9">
      <c r="B128" s="555" t="str">
        <f t="shared" si="9"/>
        <v/>
      </c>
      <c r="C128" s="556" t="str">
        <f t="shared" si="10"/>
        <v/>
      </c>
      <c r="D128" s="557" t="str">
        <f t="shared" si="11"/>
        <v/>
      </c>
      <c r="E128" s="560"/>
      <c r="F128" s="559"/>
      <c r="G128" s="559" t="str">
        <f t="shared" si="12"/>
        <v/>
      </c>
      <c r="H128" s="559" t="str">
        <f t="shared" si="13"/>
        <v/>
      </c>
      <c r="I128" s="559" t="str">
        <f t="shared" si="14"/>
        <v/>
      </c>
    </row>
    <row r="129" spans="2:9">
      <c r="B129" s="555" t="str">
        <f t="shared" si="9"/>
        <v/>
      </c>
      <c r="C129" s="556" t="str">
        <f t="shared" si="10"/>
        <v/>
      </c>
      <c r="D129" s="557" t="str">
        <f t="shared" si="11"/>
        <v/>
      </c>
      <c r="E129" s="560"/>
      <c r="F129" s="559"/>
      <c r="G129" s="559" t="str">
        <f t="shared" si="12"/>
        <v/>
      </c>
      <c r="H129" s="559" t="str">
        <f t="shared" si="13"/>
        <v/>
      </c>
      <c r="I129" s="559" t="str">
        <f t="shared" si="14"/>
        <v/>
      </c>
    </row>
    <row r="130" spans="2:9">
      <c r="B130" s="555" t="str">
        <f t="shared" si="9"/>
        <v/>
      </c>
      <c r="C130" s="556" t="str">
        <f t="shared" si="10"/>
        <v/>
      </c>
      <c r="D130" s="557" t="str">
        <f t="shared" si="11"/>
        <v/>
      </c>
      <c r="E130" s="560"/>
      <c r="F130" s="559"/>
      <c r="G130" s="559" t="str">
        <f t="shared" si="12"/>
        <v/>
      </c>
      <c r="H130" s="559" t="str">
        <f t="shared" si="13"/>
        <v/>
      </c>
      <c r="I130" s="559" t="str">
        <f t="shared" si="14"/>
        <v/>
      </c>
    </row>
    <row r="131" spans="2:9">
      <c r="B131" s="555" t="str">
        <f t="shared" si="9"/>
        <v/>
      </c>
      <c r="C131" s="556" t="str">
        <f t="shared" si="10"/>
        <v/>
      </c>
      <c r="D131" s="557" t="str">
        <f t="shared" si="11"/>
        <v/>
      </c>
      <c r="E131" s="560"/>
      <c r="F131" s="559"/>
      <c r="G131" s="559" t="str">
        <f t="shared" si="12"/>
        <v/>
      </c>
      <c r="H131" s="559" t="str">
        <f t="shared" si="13"/>
        <v/>
      </c>
      <c r="I131" s="559" t="str">
        <f t="shared" si="14"/>
        <v/>
      </c>
    </row>
    <row r="132" spans="2:9">
      <c r="B132" s="555" t="str">
        <f t="shared" si="9"/>
        <v/>
      </c>
      <c r="C132" s="556" t="str">
        <f t="shared" si="10"/>
        <v/>
      </c>
      <c r="D132" s="557" t="str">
        <f t="shared" si="11"/>
        <v/>
      </c>
      <c r="E132" s="560"/>
      <c r="F132" s="559"/>
      <c r="G132" s="559" t="str">
        <f t="shared" si="12"/>
        <v/>
      </c>
      <c r="H132" s="559" t="str">
        <f t="shared" si="13"/>
        <v/>
      </c>
      <c r="I132" s="559" t="str">
        <f t="shared" si="14"/>
        <v/>
      </c>
    </row>
    <row r="133" spans="2:9">
      <c r="B133" s="555" t="str">
        <f t="shared" si="9"/>
        <v/>
      </c>
      <c r="C133" s="556" t="str">
        <f t="shared" si="10"/>
        <v/>
      </c>
      <c r="D133" s="557" t="str">
        <f t="shared" si="11"/>
        <v/>
      </c>
      <c r="E133" s="560"/>
      <c r="F133" s="559"/>
      <c r="G133" s="559" t="str">
        <f t="shared" si="12"/>
        <v/>
      </c>
      <c r="H133" s="559" t="str">
        <f t="shared" si="13"/>
        <v/>
      </c>
      <c r="I133" s="559" t="str">
        <f t="shared" si="14"/>
        <v/>
      </c>
    </row>
    <row r="134" spans="2:9">
      <c r="B134" s="555" t="str">
        <f t="shared" si="9"/>
        <v/>
      </c>
      <c r="C134" s="556" t="str">
        <f t="shared" si="10"/>
        <v/>
      </c>
      <c r="D134" s="557" t="str">
        <f t="shared" si="11"/>
        <v/>
      </c>
      <c r="E134" s="560"/>
      <c r="F134" s="559"/>
      <c r="G134" s="559" t="str">
        <f t="shared" si="12"/>
        <v/>
      </c>
      <c r="H134" s="559" t="str">
        <f t="shared" si="13"/>
        <v/>
      </c>
      <c r="I134" s="559" t="str">
        <f t="shared" si="14"/>
        <v/>
      </c>
    </row>
    <row r="135" spans="2:9">
      <c r="B135" s="555" t="str">
        <f t="shared" si="9"/>
        <v/>
      </c>
      <c r="C135" s="556" t="str">
        <f t="shared" si="10"/>
        <v/>
      </c>
      <c r="D135" s="557" t="str">
        <f t="shared" si="11"/>
        <v/>
      </c>
      <c r="E135" s="560"/>
      <c r="F135" s="559"/>
      <c r="G135" s="559" t="str">
        <f t="shared" si="12"/>
        <v/>
      </c>
      <c r="H135" s="559" t="str">
        <f t="shared" si="13"/>
        <v/>
      </c>
      <c r="I135" s="559" t="str">
        <f t="shared" si="14"/>
        <v/>
      </c>
    </row>
    <row r="136" spans="2:9">
      <c r="B136" s="555" t="str">
        <f t="shared" si="9"/>
        <v/>
      </c>
      <c r="C136" s="556" t="str">
        <f t="shared" si="10"/>
        <v/>
      </c>
      <c r="D136" s="557" t="str">
        <f t="shared" si="11"/>
        <v/>
      </c>
      <c r="E136" s="560"/>
      <c r="F136" s="559"/>
      <c r="G136" s="559" t="str">
        <f t="shared" si="12"/>
        <v/>
      </c>
      <c r="H136" s="559" t="str">
        <f t="shared" si="13"/>
        <v/>
      </c>
      <c r="I136" s="559" t="str">
        <f t="shared" si="14"/>
        <v/>
      </c>
    </row>
    <row r="137" spans="2:9">
      <c r="B137" s="555" t="str">
        <f t="shared" si="9"/>
        <v/>
      </c>
      <c r="C137" s="556" t="str">
        <f t="shared" si="10"/>
        <v/>
      </c>
      <c r="D137" s="557" t="str">
        <f t="shared" si="11"/>
        <v/>
      </c>
      <c r="E137" s="560"/>
      <c r="F137" s="559"/>
      <c r="G137" s="559" t="str">
        <f t="shared" si="12"/>
        <v/>
      </c>
      <c r="H137" s="559" t="str">
        <f t="shared" si="13"/>
        <v/>
      </c>
      <c r="I137" s="559" t="str">
        <f t="shared" si="14"/>
        <v/>
      </c>
    </row>
    <row r="138" spans="2:9">
      <c r="B138" s="555" t="str">
        <f t="shared" si="9"/>
        <v/>
      </c>
      <c r="C138" s="556" t="str">
        <f t="shared" si="10"/>
        <v/>
      </c>
      <c r="D138" s="557" t="str">
        <f t="shared" si="11"/>
        <v/>
      </c>
      <c r="E138" s="560"/>
      <c r="F138" s="559"/>
      <c r="G138" s="559" t="str">
        <f t="shared" si="12"/>
        <v/>
      </c>
      <c r="H138" s="559" t="str">
        <f t="shared" si="13"/>
        <v/>
      </c>
      <c r="I138" s="559" t="str">
        <f t="shared" si="14"/>
        <v/>
      </c>
    </row>
    <row r="139" spans="2:9">
      <c r="B139" s="555" t="str">
        <f t="shared" si="9"/>
        <v/>
      </c>
      <c r="C139" s="556" t="str">
        <f t="shared" si="10"/>
        <v/>
      </c>
      <c r="D139" s="557" t="str">
        <f t="shared" si="11"/>
        <v/>
      </c>
      <c r="E139" s="560"/>
      <c r="F139" s="559"/>
      <c r="G139" s="559" t="str">
        <f t="shared" si="12"/>
        <v/>
      </c>
      <c r="H139" s="559" t="str">
        <f t="shared" si="13"/>
        <v/>
      </c>
      <c r="I139" s="559" t="str">
        <f t="shared" si="14"/>
        <v/>
      </c>
    </row>
    <row r="140" spans="2:9">
      <c r="B140" s="555" t="str">
        <f t="shared" si="9"/>
        <v/>
      </c>
      <c r="C140" s="556" t="str">
        <f t="shared" si="10"/>
        <v/>
      </c>
      <c r="D140" s="557" t="str">
        <f t="shared" si="11"/>
        <v/>
      </c>
      <c r="E140" s="560"/>
      <c r="F140" s="559"/>
      <c r="G140" s="559" t="str">
        <f t="shared" si="12"/>
        <v/>
      </c>
      <c r="H140" s="559" t="str">
        <f t="shared" si="13"/>
        <v/>
      </c>
      <c r="I140" s="559" t="str">
        <f t="shared" si="14"/>
        <v/>
      </c>
    </row>
    <row r="141" spans="2:9">
      <c r="B141" s="555" t="str">
        <f t="shared" si="9"/>
        <v/>
      </c>
      <c r="C141" s="556" t="str">
        <f t="shared" si="10"/>
        <v/>
      </c>
      <c r="D141" s="557" t="str">
        <f t="shared" si="11"/>
        <v/>
      </c>
      <c r="E141" s="560"/>
      <c r="F141" s="559"/>
      <c r="G141" s="559" t="str">
        <f t="shared" si="12"/>
        <v/>
      </c>
      <c r="H141" s="559" t="str">
        <f t="shared" si="13"/>
        <v/>
      </c>
      <c r="I141" s="559" t="str">
        <f t="shared" si="14"/>
        <v/>
      </c>
    </row>
    <row r="142" spans="2:9">
      <c r="B142" s="555" t="str">
        <f t="shared" si="9"/>
        <v/>
      </c>
      <c r="C142" s="556" t="str">
        <f t="shared" si="10"/>
        <v/>
      </c>
      <c r="D142" s="557" t="str">
        <f t="shared" si="11"/>
        <v/>
      </c>
      <c r="E142" s="560"/>
      <c r="F142" s="559"/>
      <c r="G142" s="559" t="str">
        <f t="shared" si="12"/>
        <v/>
      </c>
      <c r="H142" s="559" t="str">
        <f t="shared" si="13"/>
        <v/>
      </c>
      <c r="I142" s="559" t="str">
        <f t="shared" si="14"/>
        <v/>
      </c>
    </row>
    <row r="143" spans="2:9">
      <c r="B143" s="555" t="str">
        <f t="shared" si="9"/>
        <v/>
      </c>
      <c r="C143" s="556" t="str">
        <f t="shared" si="10"/>
        <v/>
      </c>
      <c r="D143" s="557" t="str">
        <f t="shared" si="11"/>
        <v/>
      </c>
      <c r="E143" s="560"/>
      <c r="F143" s="559"/>
      <c r="G143" s="559" t="str">
        <f t="shared" si="12"/>
        <v/>
      </c>
      <c r="H143" s="559" t="str">
        <f t="shared" si="13"/>
        <v/>
      </c>
      <c r="I143" s="559" t="str">
        <f t="shared" si="14"/>
        <v/>
      </c>
    </row>
    <row r="144" spans="2:9">
      <c r="B144" s="555" t="str">
        <f t="shared" si="9"/>
        <v/>
      </c>
      <c r="C144" s="556" t="str">
        <f t="shared" si="10"/>
        <v/>
      </c>
      <c r="D144" s="557" t="str">
        <f t="shared" si="11"/>
        <v/>
      </c>
      <c r="E144" s="560"/>
      <c r="F144" s="559"/>
      <c r="G144" s="559" t="str">
        <f t="shared" si="12"/>
        <v/>
      </c>
      <c r="H144" s="559" t="str">
        <f t="shared" si="13"/>
        <v/>
      </c>
      <c r="I144" s="559" t="str">
        <f t="shared" si="14"/>
        <v/>
      </c>
    </row>
    <row r="145" spans="2:9">
      <c r="B145" s="555" t="str">
        <f t="shared" si="9"/>
        <v/>
      </c>
      <c r="C145" s="556" t="str">
        <f t="shared" si="10"/>
        <v/>
      </c>
      <c r="D145" s="557" t="str">
        <f t="shared" si="11"/>
        <v/>
      </c>
      <c r="E145" s="560"/>
      <c r="F145" s="559"/>
      <c r="G145" s="559" t="str">
        <f t="shared" si="12"/>
        <v/>
      </c>
      <c r="H145" s="559" t="str">
        <f t="shared" si="13"/>
        <v/>
      </c>
      <c r="I145" s="559" t="str">
        <f t="shared" si="14"/>
        <v/>
      </c>
    </row>
    <row r="146" spans="2:9">
      <c r="B146" s="555" t="str">
        <f t="shared" si="9"/>
        <v/>
      </c>
      <c r="C146" s="556" t="str">
        <f t="shared" si="10"/>
        <v/>
      </c>
      <c r="D146" s="557" t="str">
        <f t="shared" si="11"/>
        <v/>
      </c>
      <c r="E146" s="560"/>
      <c r="F146" s="559"/>
      <c r="G146" s="559" t="str">
        <f t="shared" si="12"/>
        <v/>
      </c>
      <c r="H146" s="559" t="str">
        <f t="shared" si="13"/>
        <v/>
      </c>
      <c r="I146" s="559" t="str">
        <f t="shared" si="14"/>
        <v/>
      </c>
    </row>
    <row r="147" spans="2:9">
      <c r="B147" s="555" t="str">
        <f t="shared" si="9"/>
        <v/>
      </c>
      <c r="C147" s="556" t="str">
        <f t="shared" si="10"/>
        <v/>
      </c>
      <c r="D147" s="557" t="str">
        <f t="shared" si="11"/>
        <v/>
      </c>
      <c r="E147" s="560"/>
      <c r="F147" s="559"/>
      <c r="G147" s="559" t="str">
        <f t="shared" si="12"/>
        <v/>
      </c>
      <c r="H147" s="559" t="str">
        <f t="shared" si="13"/>
        <v/>
      </c>
      <c r="I147" s="559" t="str">
        <f t="shared" si="14"/>
        <v/>
      </c>
    </row>
    <row r="148" spans="2:9">
      <c r="B148" s="555" t="str">
        <f t="shared" si="9"/>
        <v/>
      </c>
      <c r="C148" s="556" t="str">
        <f t="shared" si="10"/>
        <v/>
      </c>
      <c r="D148" s="557" t="str">
        <f t="shared" si="11"/>
        <v/>
      </c>
      <c r="E148" s="560"/>
      <c r="F148" s="559"/>
      <c r="G148" s="559" t="str">
        <f t="shared" si="12"/>
        <v/>
      </c>
      <c r="H148" s="559" t="str">
        <f t="shared" si="13"/>
        <v/>
      </c>
      <c r="I148" s="559" t="str">
        <f t="shared" si="14"/>
        <v/>
      </c>
    </row>
    <row r="149" spans="2:9">
      <c r="B149" s="555" t="str">
        <f t="shared" si="9"/>
        <v/>
      </c>
      <c r="C149" s="556" t="str">
        <f t="shared" si="10"/>
        <v/>
      </c>
      <c r="D149" s="557" t="str">
        <f t="shared" si="11"/>
        <v/>
      </c>
      <c r="E149" s="560"/>
      <c r="F149" s="559"/>
      <c r="G149" s="559" t="str">
        <f t="shared" si="12"/>
        <v/>
      </c>
      <c r="H149" s="559" t="str">
        <f t="shared" si="13"/>
        <v/>
      </c>
      <c r="I149" s="559" t="str">
        <f t="shared" si="14"/>
        <v/>
      </c>
    </row>
    <row r="150" spans="2:9">
      <c r="B150" s="555" t="str">
        <f t="shared" si="9"/>
        <v/>
      </c>
      <c r="C150" s="556" t="str">
        <f t="shared" si="10"/>
        <v/>
      </c>
      <c r="D150" s="557" t="str">
        <f t="shared" si="11"/>
        <v/>
      </c>
      <c r="E150" s="560"/>
      <c r="F150" s="559"/>
      <c r="G150" s="559" t="str">
        <f t="shared" si="12"/>
        <v/>
      </c>
      <c r="H150" s="559" t="str">
        <f t="shared" si="13"/>
        <v/>
      </c>
      <c r="I150" s="559" t="str">
        <f t="shared" si="14"/>
        <v/>
      </c>
    </row>
    <row r="151" spans="2:9">
      <c r="B151" s="555" t="str">
        <f t="shared" si="9"/>
        <v/>
      </c>
      <c r="C151" s="556" t="str">
        <f t="shared" si="10"/>
        <v/>
      </c>
      <c r="D151" s="557" t="str">
        <f t="shared" si="11"/>
        <v/>
      </c>
      <c r="E151" s="560"/>
      <c r="F151" s="559"/>
      <c r="G151" s="559" t="str">
        <f t="shared" si="12"/>
        <v/>
      </c>
      <c r="H151" s="559" t="str">
        <f t="shared" si="13"/>
        <v/>
      </c>
      <c r="I151" s="559" t="str">
        <f t="shared" si="14"/>
        <v/>
      </c>
    </row>
    <row r="152" spans="2:9">
      <c r="B152" s="555" t="str">
        <f t="shared" si="9"/>
        <v/>
      </c>
      <c r="C152" s="556" t="str">
        <f t="shared" si="10"/>
        <v/>
      </c>
      <c r="D152" s="557" t="str">
        <f t="shared" si="11"/>
        <v/>
      </c>
      <c r="E152" s="560"/>
      <c r="F152" s="559"/>
      <c r="G152" s="559" t="str">
        <f t="shared" si="12"/>
        <v/>
      </c>
      <c r="H152" s="559" t="str">
        <f t="shared" si="13"/>
        <v/>
      </c>
      <c r="I152" s="559" t="str">
        <f t="shared" si="14"/>
        <v/>
      </c>
    </row>
    <row r="153" spans="2:9">
      <c r="B153" s="555" t="str">
        <f t="shared" si="9"/>
        <v/>
      </c>
      <c r="C153" s="556" t="str">
        <f t="shared" si="10"/>
        <v/>
      </c>
      <c r="D153" s="557" t="str">
        <f t="shared" si="11"/>
        <v/>
      </c>
      <c r="E153" s="560"/>
      <c r="F153" s="559"/>
      <c r="G153" s="559" t="str">
        <f t="shared" si="12"/>
        <v/>
      </c>
      <c r="H153" s="559" t="str">
        <f t="shared" si="13"/>
        <v/>
      </c>
      <c r="I153" s="559" t="str">
        <f t="shared" si="14"/>
        <v/>
      </c>
    </row>
    <row r="154" spans="2:9">
      <c r="B154" s="555" t="str">
        <f t="shared" si="9"/>
        <v/>
      </c>
      <c r="C154" s="556" t="str">
        <f t="shared" si="10"/>
        <v/>
      </c>
      <c r="D154" s="557" t="str">
        <f t="shared" si="11"/>
        <v/>
      </c>
      <c r="E154" s="560"/>
      <c r="F154" s="559"/>
      <c r="G154" s="559" t="str">
        <f t="shared" si="12"/>
        <v/>
      </c>
      <c r="H154" s="559" t="str">
        <f t="shared" si="13"/>
        <v/>
      </c>
      <c r="I154" s="559" t="str">
        <f t="shared" si="14"/>
        <v/>
      </c>
    </row>
    <row r="155" spans="2:9">
      <c r="B155" s="555" t="str">
        <f t="shared" si="9"/>
        <v/>
      </c>
      <c r="C155" s="556" t="str">
        <f t="shared" si="10"/>
        <v/>
      </c>
      <c r="D155" s="557" t="str">
        <f t="shared" si="11"/>
        <v/>
      </c>
      <c r="E155" s="560"/>
      <c r="F155" s="559"/>
      <c r="G155" s="559" t="str">
        <f t="shared" si="12"/>
        <v/>
      </c>
      <c r="H155" s="559" t="str">
        <f t="shared" si="13"/>
        <v/>
      </c>
      <c r="I155" s="559" t="str">
        <f t="shared" si="14"/>
        <v/>
      </c>
    </row>
    <row r="156" spans="2:9">
      <c r="B156" s="555" t="str">
        <f t="shared" si="9"/>
        <v/>
      </c>
      <c r="C156" s="556" t="str">
        <f t="shared" si="10"/>
        <v/>
      </c>
      <c r="D156" s="557" t="str">
        <f t="shared" si="11"/>
        <v/>
      </c>
      <c r="E156" s="560"/>
      <c r="F156" s="559"/>
      <c r="G156" s="559" t="str">
        <f t="shared" si="12"/>
        <v/>
      </c>
      <c r="H156" s="559" t="str">
        <f t="shared" si="13"/>
        <v/>
      </c>
      <c r="I156" s="559" t="str">
        <f t="shared" si="14"/>
        <v/>
      </c>
    </row>
    <row r="157" spans="2:9">
      <c r="B157" s="555" t="str">
        <f t="shared" si="9"/>
        <v/>
      </c>
      <c r="C157" s="556" t="str">
        <f t="shared" si="10"/>
        <v/>
      </c>
      <c r="D157" s="557" t="str">
        <f t="shared" si="11"/>
        <v/>
      </c>
      <c r="E157" s="560"/>
      <c r="F157" s="559"/>
      <c r="G157" s="559" t="str">
        <f t="shared" si="12"/>
        <v/>
      </c>
      <c r="H157" s="559" t="str">
        <f t="shared" si="13"/>
        <v/>
      </c>
      <c r="I157" s="559" t="str">
        <f t="shared" si="14"/>
        <v/>
      </c>
    </row>
    <row r="158" spans="2:9">
      <c r="B158" s="555" t="str">
        <f t="shared" si="9"/>
        <v/>
      </c>
      <c r="C158" s="556" t="str">
        <f t="shared" si="10"/>
        <v/>
      </c>
      <c r="D158" s="557" t="str">
        <f t="shared" si="11"/>
        <v/>
      </c>
      <c r="E158" s="560"/>
      <c r="F158" s="559"/>
      <c r="G158" s="559" t="str">
        <f t="shared" si="12"/>
        <v/>
      </c>
      <c r="H158" s="559" t="str">
        <f t="shared" si="13"/>
        <v/>
      </c>
      <c r="I158" s="559" t="str">
        <f t="shared" si="14"/>
        <v/>
      </c>
    </row>
    <row r="159" spans="2:9">
      <c r="B159" s="555" t="str">
        <f t="shared" si="9"/>
        <v/>
      </c>
      <c r="C159" s="556" t="str">
        <f t="shared" si="10"/>
        <v/>
      </c>
      <c r="D159" s="557" t="str">
        <f t="shared" si="11"/>
        <v/>
      </c>
      <c r="E159" s="560"/>
      <c r="F159" s="559"/>
      <c r="G159" s="559" t="str">
        <f t="shared" si="12"/>
        <v/>
      </c>
      <c r="H159" s="559" t="str">
        <f t="shared" si="13"/>
        <v/>
      </c>
      <c r="I159" s="559" t="str">
        <f t="shared" si="14"/>
        <v/>
      </c>
    </row>
    <row r="160" spans="2:9">
      <c r="B160" s="555" t="str">
        <f t="shared" si="9"/>
        <v/>
      </c>
      <c r="C160" s="556" t="str">
        <f t="shared" si="10"/>
        <v/>
      </c>
      <c r="D160" s="557" t="str">
        <f t="shared" si="11"/>
        <v/>
      </c>
      <c r="E160" s="560"/>
      <c r="F160" s="559"/>
      <c r="G160" s="559" t="str">
        <f t="shared" si="12"/>
        <v/>
      </c>
      <c r="H160" s="559" t="str">
        <f t="shared" si="13"/>
        <v/>
      </c>
      <c r="I160" s="559" t="str">
        <f t="shared" si="14"/>
        <v/>
      </c>
    </row>
    <row r="161" spans="2:9">
      <c r="B161" s="555" t="str">
        <f t="shared" si="9"/>
        <v/>
      </c>
      <c r="C161" s="556" t="str">
        <f t="shared" si="10"/>
        <v/>
      </c>
      <c r="D161" s="557" t="str">
        <f t="shared" si="11"/>
        <v/>
      </c>
      <c r="E161" s="560"/>
      <c r="F161" s="559"/>
      <c r="G161" s="559" t="str">
        <f t="shared" si="12"/>
        <v/>
      </c>
      <c r="H161" s="559" t="str">
        <f t="shared" si="13"/>
        <v/>
      </c>
      <c r="I161" s="559" t="str">
        <f t="shared" si="14"/>
        <v/>
      </c>
    </row>
    <row r="162" spans="2:9">
      <c r="B162" s="555" t="str">
        <f t="shared" si="9"/>
        <v/>
      </c>
      <c r="C162" s="556" t="str">
        <f t="shared" si="10"/>
        <v/>
      </c>
      <c r="D162" s="557" t="str">
        <f t="shared" si="11"/>
        <v/>
      </c>
      <c r="E162" s="560"/>
      <c r="F162" s="559"/>
      <c r="G162" s="559" t="str">
        <f t="shared" si="12"/>
        <v/>
      </c>
      <c r="H162" s="559" t="str">
        <f t="shared" si="13"/>
        <v/>
      </c>
      <c r="I162" s="559" t="str">
        <f t="shared" si="14"/>
        <v/>
      </c>
    </row>
    <row r="163" spans="2:9">
      <c r="B163" s="555" t="str">
        <f t="shared" si="9"/>
        <v/>
      </c>
      <c r="C163" s="556" t="str">
        <f t="shared" si="10"/>
        <v/>
      </c>
      <c r="D163" s="557" t="str">
        <f t="shared" si="11"/>
        <v/>
      </c>
      <c r="E163" s="560"/>
      <c r="F163" s="559"/>
      <c r="G163" s="559" t="str">
        <f t="shared" si="12"/>
        <v/>
      </c>
      <c r="H163" s="559" t="str">
        <f t="shared" si="13"/>
        <v/>
      </c>
      <c r="I163" s="559" t="str">
        <f t="shared" si="14"/>
        <v/>
      </c>
    </row>
    <row r="164" spans="2:9">
      <c r="B164" s="555" t="str">
        <f t="shared" si="9"/>
        <v/>
      </c>
      <c r="C164" s="556" t="str">
        <f t="shared" si="10"/>
        <v/>
      </c>
      <c r="D164" s="557" t="str">
        <f t="shared" si="11"/>
        <v/>
      </c>
      <c r="E164" s="560"/>
      <c r="F164" s="559"/>
      <c r="G164" s="559" t="str">
        <f t="shared" si="12"/>
        <v/>
      </c>
      <c r="H164" s="559" t="str">
        <f t="shared" si="13"/>
        <v/>
      </c>
      <c r="I164" s="559" t="str">
        <f t="shared" si="14"/>
        <v/>
      </c>
    </row>
    <row r="165" spans="2:9">
      <c r="B165" s="555" t="str">
        <f t="shared" si="9"/>
        <v/>
      </c>
      <c r="C165" s="556" t="str">
        <f t="shared" si="10"/>
        <v/>
      </c>
      <c r="D165" s="557" t="str">
        <f t="shared" si="11"/>
        <v/>
      </c>
      <c r="E165" s="560"/>
      <c r="F165" s="559"/>
      <c r="G165" s="559" t="str">
        <f t="shared" si="12"/>
        <v/>
      </c>
      <c r="H165" s="559" t="str">
        <f t="shared" si="13"/>
        <v/>
      </c>
      <c r="I165" s="559" t="str">
        <f t="shared" si="14"/>
        <v/>
      </c>
    </row>
    <row r="166" spans="2:9">
      <c r="B166" s="555" t="str">
        <f t="shared" si="9"/>
        <v/>
      </c>
      <c r="C166" s="556" t="str">
        <f t="shared" si="10"/>
        <v/>
      </c>
      <c r="D166" s="557" t="str">
        <f t="shared" si="11"/>
        <v/>
      </c>
      <c r="E166" s="560"/>
      <c r="F166" s="559"/>
      <c r="G166" s="559" t="str">
        <f t="shared" si="12"/>
        <v/>
      </c>
      <c r="H166" s="559" t="str">
        <f t="shared" si="13"/>
        <v/>
      </c>
      <c r="I166" s="559" t="str">
        <f t="shared" si="14"/>
        <v/>
      </c>
    </row>
    <row r="167" spans="2:9">
      <c r="B167" s="555" t="str">
        <f t="shared" si="9"/>
        <v/>
      </c>
      <c r="C167" s="556" t="str">
        <f t="shared" si="10"/>
        <v/>
      </c>
      <c r="D167" s="557" t="str">
        <f t="shared" si="11"/>
        <v/>
      </c>
      <c r="E167" s="560"/>
      <c r="F167" s="559"/>
      <c r="G167" s="559" t="str">
        <f t="shared" si="12"/>
        <v/>
      </c>
      <c r="H167" s="559" t="str">
        <f t="shared" si="13"/>
        <v/>
      </c>
      <c r="I167" s="559" t="str">
        <f t="shared" si="14"/>
        <v/>
      </c>
    </row>
    <row r="168" spans="2:9">
      <c r="B168" s="555" t="str">
        <f t="shared" si="9"/>
        <v/>
      </c>
      <c r="C168" s="556" t="str">
        <f t="shared" si="10"/>
        <v/>
      </c>
      <c r="D168" s="557" t="str">
        <f t="shared" si="11"/>
        <v/>
      </c>
      <c r="E168" s="560"/>
      <c r="F168" s="559"/>
      <c r="G168" s="559" t="str">
        <f t="shared" si="12"/>
        <v/>
      </c>
      <c r="H168" s="559" t="str">
        <f t="shared" si="13"/>
        <v/>
      </c>
      <c r="I168" s="559" t="str">
        <f t="shared" si="14"/>
        <v/>
      </c>
    </row>
    <row r="169" spans="2:9">
      <c r="B169" s="555" t="str">
        <f t="shared" si="9"/>
        <v/>
      </c>
      <c r="C169" s="556" t="str">
        <f t="shared" si="10"/>
        <v/>
      </c>
      <c r="D169" s="557" t="str">
        <f t="shared" si="11"/>
        <v/>
      </c>
      <c r="E169" s="560"/>
      <c r="F169" s="559"/>
      <c r="G169" s="559" t="str">
        <f t="shared" si="12"/>
        <v/>
      </c>
      <c r="H169" s="559" t="str">
        <f t="shared" si="13"/>
        <v/>
      </c>
      <c r="I169" s="559" t="str">
        <f t="shared" si="14"/>
        <v/>
      </c>
    </row>
    <row r="170" spans="2:9">
      <c r="B170" s="555" t="str">
        <f t="shared" si="9"/>
        <v/>
      </c>
      <c r="C170" s="556" t="str">
        <f t="shared" si="10"/>
        <v/>
      </c>
      <c r="D170" s="557" t="str">
        <f t="shared" si="11"/>
        <v/>
      </c>
      <c r="E170" s="560"/>
      <c r="F170" s="559"/>
      <c r="G170" s="559" t="str">
        <f t="shared" si="12"/>
        <v/>
      </c>
      <c r="H170" s="559" t="str">
        <f t="shared" si="13"/>
        <v/>
      </c>
      <c r="I170" s="559" t="str">
        <f t="shared" si="14"/>
        <v/>
      </c>
    </row>
    <row r="171" spans="2:9">
      <c r="B171" s="555" t="str">
        <f t="shared" si="9"/>
        <v/>
      </c>
      <c r="C171" s="556" t="str">
        <f t="shared" si="10"/>
        <v/>
      </c>
      <c r="D171" s="557" t="str">
        <f t="shared" si="11"/>
        <v/>
      </c>
      <c r="E171" s="560"/>
      <c r="F171" s="559"/>
      <c r="G171" s="559" t="str">
        <f t="shared" si="12"/>
        <v/>
      </c>
      <c r="H171" s="559" t="str">
        <f t="shared" si="13"/>
        <v/>
      </c>
      <c r="I171" s="559" t="str">
        <f t="shared" si="14"/>
        <v/>
      </c>
    </row>
    <row r="172" spans="2:9">
      <c r="B172" s="555" t="str">
        <f t="shared" si="9"/>
        <v/>
      </c>
      <c r="C172" s="556" t="str">
        <f t="shared" si="10"/>
        <v/>
      </c>
      <c r="D172" s="557" t="str">
        <f t="shared" si="11"/>
        <v/>
      </c>
      <c r="E172" s="560"/>
      <c r="F172" s="559"/>
      <c r="G172" s="559" t="str">
        <f t="shared" si="12"/>
        <v/>
      </c>
      <c r="H172" s="559" t="str">
        <f t="shared" si="13"/>
        <v/>
      </c>
      <c r="I172" s="559" t="str">
        <f t="shared" si="14"/>
        <v/>
      </c>
    </row>
    <row r="173" spans="2:9">
      <c r="B173" s="555" t="str">
        <f t="shared" si="9"/>
        <v/>
      </c>
      <c r="C173" s="556" t="str">
        <f t="shared" si="10"/>
        <v/>
      </c>
      <c r="D173" s="557" t="str">
        <f t="shared" si="11"/>
        <v/>
      </c>
      <c r="E173" s="560"/>
      <c r="F173" s="559"/>
      <c r="G173" s="559" t="str">
        <f t="shared" si="12"/>
        <v/>
      </c>
      <c r="H173" s="559" t="str">
        <f t="shared" si="13"/>
        <v/>
      </c>
      <c r="I173" s="559" t="str">
        <f t="shared" si="14"/>
        <v/>
      </c>
    </row>
    <row r="174" spans="2:9">
      <c r="B174" s="555" t="str">
        <f t="shared" si="9"/>
        <v/>
      </c>
      <c r="C174" s="556" t="str">
        <f t="shared" si="10"/>
        <v/>
      </c>
      <c r="D174" s="557" t="str">
        <f t="shared" si="11"/>
        <v/>
      </c>
      <c r="E174" s="560"/>
      <c r="F174" s="559"/>
      <c r="G174" s="559" t="str">
        <f t="shared" si="12"/>
        <v/>
      </c>
      <c r="H174" s="559" t="str">
        <f t="shared" si="13"/>
        <v/>
      </c>
      <c r="I174" s="559" t="str">
        <f t="shared" si="14"/>
        <v/>
      </c>
    </row>
    <row r="175" spans="2:9">
      <c r="B175" s="555" t="str">
        <f t="shared" si="9"/>
        <v/>
      </c>
      <c r="C175" s="556" t="str">
        <f t="shared" si="10"/>
        <v/>
      </c>
      <c r="D175" s="557" t="str">
        <f t="shared" si="11"/>
        <v/>
      </c>
      <c r="E175" s="560"/>
      <c r="F175" s="559"/>
      <c r="G175" s="559" t="str">
        <f t="shared" si="12"/>
        <v/>
      </c>
      <c r="H175" s="559" t="str">
        <f t="shared" si="13"/>
        <v/>
      </c>
      <c r="I175" s="559" t="str">
        <f t="shared" si="14"/>
        <v/>
      </c>
    </row>
    <row r="176" spans="2:9">
      <c r="B176" s="555" t="str">
        <f t="shared" si="9"/>
        <v/>
      </c>
      <c r="C176" s="556" t="str">
        <f t="shared" si="10"/>
        <v/>
      </c>
      <c r="D176" s="557" t="str">
        <f t="shared" si="11"/>
        <v/>
      </c>
      <c r="E176" s="560"/>
      <c r="F176" s="559"/>
      <c r="G176" s="559" t="str">
        <f t="shared" si="12"/>
        <v/>
      </c>
      <c r="H176" s="559" t="str">
        <f t="shared" si="13"/>
        <v/>
      </c>
      <c r="I176" s="559" t="str">
        <f t="shared" si="14"/>
        <v/>
      </c>
    </row>
    <row r="177" spans="2:9">
      <c r="B177" s="555" t="str">
        <f t="shared" si="9"/>
        <v/>
      </c>
      <c r="C177" s="556" t="str">
        <f t="shared" si="10"/>
        <v/>
      </c>
      <c r="D177" s="557" t="str">
        <f t="shared" si="11"/>
        <v/>
      </c>
      <c r="E177" s="560"/>
      <c r="F177" s="559"/>
      <c r="G177" s="559" t="str">
        <f t="shared" si="12"/>
        <v/>
      </c>
      <c r="H177" s="559" t="str">
        <f t="shared" si="13"/>
        <v/>
      </c>
      <c r="I177" s="559" t="str">
        <f t="shared" si="14"/>
        <v/>
      </c>
    </row>
    <row r="178" spans="2:9">
      <c r="B178" s="555" t="str">
        <f t="shared" si="9"/>
        <v/>
      </c>
      <c r="C178" s="556" t="str">
        <f t="shared" si="10"/>
        <v/>
      </c>
      <c r="D178" s="557" t="str">
        <f t="shared" si="11"/>
        <v/>
      </c>
      <c r="E178" s="560"/>
      <c r="F178" s="559"/>
      <c r="G178" s="559" t="str">
        <f t="shared" si="12"/>
        <v/>
      </c>
      <c r="H178" s="559" t="str">
        <f t="shared" si="13"/>
        <v/>
      </c>
      <c r="I178" s="559" t="str">
        <f t="shared" si="14"/>
        <v/>
      </c>
    </row>
    <row r="179" spans="2:9">
      <c r="B179" s="555" t="str">
        <f t="shared" si="9"/>
        <v/>
      </c>
      <c r="C179" s="556" t="str">
        <f t="shared" si="10"/>
        <v/>
      </c>
      <c r="D179" s="557" t="str">
        <f t="shared" si="11"/>
        <v/>
      </c>
      <c r="E179" s="560"/>
      <c r="F179" s="559"/>
      <c r="G179" s="559" t="str">
        <f t="shared" si="12"/>
        <v/>
      </c>
      <c r="H179" s="559" t="str">
        <f t="shared" si="13"/>
        <v/>
      </c>
      <c r="I179" s="559" t="str">
        <f t="shared" si="14"/>
        <v/>
      </c>
    </row>
    <row r="180" spans="2:9">
      <c r="B180" s="555" t="str">
        <f t="shared" si="9"/>
        <v/>
      </c>
      <c r="C180" s="556" t="str">
        <f t="shared" si="10"/>
        <v/>
      </c>
      <c r="D180" s="557" t="str">
        <f t="shared" si="11"/>
        <v/>
      </c>
      <c r="E180" s="560"/>
      <c r="F180" s="559"/>
      <c r="G180" s="559" t="str">
        <f t="shared" si="12"/>
        <v/>
      </c>
      <c r="H180" s="559" t="str">
        <f t="shared" si="13"/>
        <v/>
      </c>
      <c r="I180" s="559" t="str">
        <f t="shared" si="14"/>
        <v/>
      </c>
    </row>
    <row r="181" spans="2:9">
      <c r="B181" s="555" t="str">
        <f t="shared" si="9"/>
        <v/>
      </c>
      <c r="C181" s="556" t="str">
        <f t="shared" si="10"/>
        <v/>
      </c>
      <c r="D181" s="557" t="str">
        <f t="shared" si="11"/>
        <v/>
      </c>
      <c r="E181" s="560"/>
      <c r="F181" s="559"/>
      <c r="G181" s="559" t="str">
        <f t="shared" si="12"/>
        <v/>
      </c>
      <c r="H181" s="559" t="str">
        <f t="shared" si="13"/>
        <v/>
      </c>
      <c r="I181" s="559" t="str">
        <f t="shared" si="14"/>
        <v/>
      </c>
    </row>
    <row r="182" spans="2:9">
      <c r="B182" s="555" t="str">
        <f t="shared" si="9"/>
        <v/>
      </c>
      <c r="C182" s="556" t="str">
        <f t="shared" si="10"/>
        <v/>
      </c>
      <c r="D182" s="557" t="str">
        <f t="shared" si="11"/>
        <v/>
      </c>
      <c r="E182" s="560"/>
      <c r="F182" s="559"/>
      <c r="G182" s="559" t="str">
        <f t="shared" si="12"/>
        <v/>
      </c>
      <c r="H182" s="559" t="str">
        <f t="shared" si="13"/>
        <v/>
      </c>
      <c r="I182" s="559" t="str">
        <f t="shared" si="14"/>
        <v/>
      </c>
    </row>
    <row r="183" spans="2:9">
      <c r="B183" s="555" t="str">
        <f t="shared" si="9"/>
        <v/>
      </c>
      <c r="C183" s="556" t="str">
        <f t="shared" si="10"/>
        <v/>
      </c>
      <c r="D183" s="557" t="str">
        <f t="shared" si="11"/>
        <v/>
      </c>
      <c r="E183" s="560"/>
      <c r="F183" s="559"/>
      <c r="G183" s="559" t="str">
        <f t="shared" si="12"/>
        <v/>
      </c>
      <c r="H183" s="559" t="str">
        <f t="shared" si="13"/>
        <v/>
      </c>
      <c r="I183" s="559" t="str">
        <f t="shared" si="14"/>
        <v/>
      </c>
    </row>
    <row r="184" spans="2:9">
      <c r="B184" s="555" t="str">
        <f t="shared" si="9"/>
        <v/>
      </c>
      <c r="C184" s="556" t="str">
        <f t="shared" si="10"/>
        <v/>
      </c>
      <c r="D184" s="557" t="str">
        <f t="shared" si="11"/>
        <v/>
      </c>
      <c r="E184" s="560"/>
      <c r="F184" s="559"/>
      <c r="G184" s="559" t="str">
        <f t="shared" si="12"/>
        <v/>
      </c>
      <c r="H184" s="559" t="str">
        <f t="shared" si="13"/>
        <v/>
      </c>
      <c r="I184" s="559" t="str">
        <f t="shared" si="14"/>
        <v/>
      </c>
    </row>
    <row r="185" spans="2:9">
      <c r="B185" s="555" t="str">
        <f t="shared" si="9"/>
        <v/>
      </c>
      <c r="C185" s="556" t="str">
        <f t="shared" si="10"/>
        <v/>
      </c>
      <c r="D185" s="557" t="str">
        <f t="shared" si="11"/>
        <v/>
      </c>
      <c r="E185" s="560"/>
      <c r="F185" s="559"/>
      <c r="G185" s="559" t="str">
        <f t="shared" si="12"/>
        <v/>
      </c>
      <c r="H185" s="559" t="str">
        <f t="shared" si="13"/>
        <v/>
      </c>
      <c r="I185" s="559" t="str">
        <f t="shared" si="14"/>
        <v/>
      </c>
    </row>
    <row r="186" spans="2:9">
      <c r="B186" s="555" t="str">
        <f t="shared" si="9"/>
        <v/>
      </c>
      <c r="C186" s="556" t="str">
        <f t="shared" si="10"/>
        <v/>
      </c>
      <c r="D186" s="557" t="str">
        <f t="shared" si="11"/>
        <v/>
      </c>
      <c r="E186" s="560"/>
      <c r="F186" s="559"/>
      <c r="G186" s="559" t="str">
        <f t="shared" si="12"/>
        <v/>
      </c>
      <c r="H186" s="559" t="str">
        <f t="shared" si="13"/>
        <v/>
      </c>
      <c r="I186" s="559" t="str">
        <f t="shared" si="14"/>
        <v/>
      </c>
    </row>
    <row r="187" spans="2:9">
      <c r="B187" s="555" t="str">
        <f t="shared" si="9"/>
        <v/>
      </c>
      <c r="C187" s="556" t="str">
        <f t="shared" si="10"/>
        <v/>
      </c>
      <c r="D187" s="557" t="str">
        <f t="shared" si="11"/>
        <v/>
      </c>
      <c r="E187" s="560"/>
      <c r="F187" s="559"/>
      <c r="G187" s="559" t="str">
        <f t="shared" si="12"/>
        <v/>
      </c>
      <c r="H187" s="559" t="str">
        <f t="shared" si="13"/>
        <v/>
      </c>
      <c r="I187" s="559" t="str">
        <f t="shared" si="14"/>
        <v/>
      </c>
    </row>
    <row r="188" spans="2:9">
      <c r="B188" s="555" t="str">
        <f t="shared" si="9"/>
        <v/>
      </c>
      <c r="C188" s="556" t="str">
        <f t="shared" si="10"/>
        <v/>
      </c>
      <c r="D188" s="557" t="str">
        <f t="shared" si="11"/>
        <v/>
      </c>
      <c r="E188" s="560"/>
      <c r="F188" s="559"/>
      <c r="G188" s="559" t="str">
        <f t="shared" si="12"/>
        <v/>
      </c>
      <c r="H188" s="559" t="str">
        <f t="shared" si="13"/>
        <v/>
      </c>
      <c r="I188" s="559" t="str">
        <f t="shared" si="14"/>
        <v/>
      </c>
    </row>
    <row r="189" spans="2:9">
      <c r="B189" s="555" t="str">
        <f t="shared" ref="B189:B252" si="15">IF(I188="","",IF(roundOpt,IF(OR(B188&gt;=nper,ROUND(I188,2)&lt;=0),"",B188+1),IF(OR(B188&gt;=nper,I188&lt;=0),"",B188+1)))</f>
        <v/>
      </c>
      <c r="C189" s="556" t="str">
        <f t="shared" ref="C189:C252" si="16">IF(B189="","",IF(OR(periods_per_year=26,periods_per_year=52),IF(periods_per_year=26,IF(B189=1,fpdate,C188+14),IF(periods_per_year=52,IF(B189=1,fpdate,C188+7),"n/a")),IF(periods_per_year=24,DATE(YEAR(fpdate),MONTH(fpdate)+(B189-1)/2+IF(AND(DAY(fpdate)&gt;=15,MOD(B189,2)=0),1,0),IF(MOD(B189,2)=0,IF(DAY(fpdate)&gt;=15,DAY(fpdate)-14,DAY(fpdate)+14),DAY(fpdate))),IF(DAY(DATE(YEAR(fpdate),MONTH(fpdate)+(B189-1)*months_per_period,DAY(fpdate)))&lt;&gt;DAY(fpdate),DATE(YEAR(fpdate),MONTH(fpdate)+(B189-1)*months_per_period+1,0),DATE(YEAR(fpdate),MONTH(fpdate)+(B189-1)*months_per_period,DAY(fpdate))))))</f>
        <v/>
      </c>
      <c r="D189" s="557" t="str">
        <f t="shared" ref="D189:D252" si="17">IF(B189="","",IF(roundOpt,IF(OR(B189=nper,payment&gt;ROUND((1+rate)*I188,2)),ROUND((1+rate)*I188,2),payment),IF(OR(B189=nper,payment&gt;(1+rate)*I188),(1+rate)*I188,payment)))</f>
        <v/>
      </c>
      <c r="E189" s="560"/>
      <c r="F189" s="559"/>
      <c r="G189" s="559" t="str">
        <f t="shared" ref="G189:G252" si="18">IF(B189="","",IF(AND(B189=1,pmtType=1),0,IF(roundOpt,ROUND(rate*I188,2),rate*I188)))</f>
        <v/>
      </c>
      <c r="H189" s="559" t="str">
        <f t="shared" ref="H189:H252" si="19">IF(B189="","",D189-G189+E189)</f>
        <v/>
      </c>
      <c r="I189" s="559" t="str">
        <f t="shared" ref="I189:I252" si="20">IF(B189="","",I188-H189)</f>
        <v/>
      </c>
    </row>
    <row r="190" spans="2:9">
      <c r="B190" s="555" t="str">
        <f t="shared" si="15"/>
        <v/>
      </c>
      <c r="C190" s="556" t="str">
        <f t="shared" si="16"/>
        <v/>
      </c>
      <c r="D190" s="557" t="str">
        <f t="shared" si="17"/>
        <v/>
      </c>
      <c r="E190" s="560"/>
      <c r="F190" s="559"/>
      <c r="G190" s="559" t="str">
        <f t="shared" si="18"/>
        <v/>
      </c>
      <c r="H190" s="559" t="str">
        <f t="shared" si="19"/>
        <v/>
      </c>
      <c r="I190" s="559" t="str">
        <f t="shared" si="20"/>
        <v/>
      </c>
    </row>
    <row r="191" spans="2:9">
      <c r="B191" s="555" t="str">
        <f t="shared" si="15"/>
        <v/>
      </c>
      <c r="C191" s="556" t="str">
        <f t="shared" si="16"/>
        <v/>
      </c>
      <c r="D191" s="557" t="str">
        <f t="shared" si="17"/>
        <v/>
      </c>
      <c r="E191" s="560"/>
      <c r="F191" s="559"/>
      <c r="G191" s="559" t="str">
        <f t="shared" si="18"/>
        <v/>
      </c>
      <c r="H191" s="559" t="str">
        <f t="shared" si="19"/>
        <v/>
      </c>
      <c r="I191" s="559" t="str">
        <f t="shared" si="20"/>
        <v/>
      </c>
    </row>
    <row r="192" spans="2:9">
      <c r="B192" s="555" t="str">
        <f t="shared" si="15"/>
        <v/>
      </c>
      <c r="C192" s="556" t="str">
        <f t="shared" si="16"/>
        <v/>
      </c>
      <c r="D192" s="557" t="str">
        <f t="shared" si="17"/>
        <v/>
      </c>
      <c r="E192" s="560"/>
      <c r="F192" s="559"/>
      <c r="G192" s="559" t="str">
        <f t="shared" si="18"/>
        <v/>
      </c>
      <c r="H192" s="559" t="str">
        <f t="shared" si="19"/>
        <v/>
      </c>
      <c r="I192" s="559" t="str">
        <f t="shared" si="20"/>
        <v/>
      </c>
    </row>
    <row r="193" spans="2:9">
      <c r="B193" s="555" t="str">
        <f t="shared" si="15"/>
        <v/>
      </c>
      <c r="C193" s="556" t="str">
        <f t="shared" si="16"/>
        <v/>
      </c>
      <c r="D193" s="557" t="str">
        <f t="shared" si="17"/>
        <v/>
      </c>
      <c r="E193" s="560"/>
      <c r="F193" s="559"/>
      <c r="G193" s="559" t="str">
        <f t="shared" si="18"/>
        <v/>
      </c>
      <c r="H193" s="559" t="str">
        <f t="shared" si="19"/>
        <v/>
      </c>
      <c r="I193" s="559" t="str">
        <f t="shared" si="20"/>
        <v/>
      </c>
    </row>
    <row r="194" spans="2:9">
      <c r="B194" s="555" t="str">
        <f t="shared" si="15"/>
        <v/>
      </c>
      <c r="C194" s="556" t="str">
        <f t="shared" si="16"/>
        <v/>
      </c>
      <c r="D194" s="557" t="str">
        <f t="shared" si="17"/>
        <v/>
      </c>
      <c r="E194" s="560"/>
      <c r="F194" s="559"/>
      <c r="G194" s="559" t="str">
        <f t="shared" si="18"/>
        <v/>
      </c>
      <c r="H194" s="559" t="str">
        <f t="shared" si="19"/>
        <v/>
      </c>
      <c r="I194" s="559" t="str">
        <f t="shared" si="20"/>
        <v/>
      </c>
    </row>
    <row r="195" spans="2:9">
      <c r="B195" s="555" t="str">
        <f t="shared" si="15"/>
        <v/>
      </c>
      <c r="C195" s="556" t="str">
        <f t="shared" si="16"/>
        <v/>
      </c>
      <c r="D195" s="557" t="str">
        <f t="shared" si="17"/>
        <v/>
      </c>
      <c r="E195" s="560"/>
      <c r="F195" s="559"/>
      <c r="G195" s="559" t="str">
        <f t="shared" si="18"/>
        <v/>
      </c>
      <c r="H195" s="559" t="str">
        <f t="shared" si="19"/>
        <v/>
      </c>
      <c r="I195" s="559" t="str">
        <f t="shared" si="20"/>
        <v/>
      </c>
    </row>
    <row r="196" spans="2:9">
      <c r="B196" s="555" t="str">
        <f t="shared" si="15"/>
        <v/>
      </c>
      <c r="C196" s="556" t="str">
        <f t="shared" si="16"/>
        <v/>
      </c>
      <c r="D196" s="557" t="str">
        <f t="shared" si="17"/>
        <v/>
      </c>
      <c r="E196" s="560"/>
      <c r="F196" s="559"/>
      <c r="G196" s="559" t="str">
        <f t="shared" si="18"/>
        <v/>
      </c>
      <c r="H196" s="559" t="str">
        <f t="shared" si="19"/>
        <v/>
      </c>
      <c r="I196" s="559" t="str">
        <f t="shared" si="20"/>
        <v/>
      </c>
    </row>
    <row r="197" spans="2:9">
      <c r="B197" s="555" t="str">
        <f t="shared" si="15"/>
        <v/>
      </c>
      <c r="C197" s="556" t="str">
        <f t="shared" si="16"/>
        <v/>
      </c>
      <c r="D197" s="557" t="str">
        <f t="shared" si="17"/>
        <v/>
      </c>
      <c r="E197" s="560"/>
      <c r="F197" s="559"/>
      <c r="G197" s="559" t="str">
        <f t="shared" si="18"/>
        <v/>
      </c>
      <c r="H197" s="559" t="str">
        <f t="shared" si="19"/>
        <v/>
      </c>
      <c r="I197" s="559" t="str">
        <f t="shared" si="20"/>
        <v/>
      </c>
    </row>
    <row r="198" spans="2:9">
      <c r="B198" s="555" t="str">
        <f t="shared" si="15"/>
        <v/>
      </c>
      <c r="C198" s="556" t="str">
        <f t="shared" si="16"/>
        <v/>
      </c>
      <c r="D198" s="557" t="str">
        <f t="shared" si="17"/>
        <v/>
      </c>
      <c r="E198" s="560"/>
      <c r="F198" s="559"/>
      <c r="G198" s="559" t="str">
        <f t="shared" si="18"/>
        <v/>
      </c>
      <c r="H198" s="559" t="str">
        <f t="shared" si="19"/>
        <v/>
      </c>
      <c r="I198" s="559" t="str">
        <f t="shared" si="20"/>
        <v/>
      </c>
    </row>
    <row r="199" spans="2:9">
      <c r="B199" s="555" t="str">
        <f t="shared" si="15"/>
        <v/>
      </c>
      <c r="C199" s="556" t="str">
        <f t="shared" si="16"/>
        <v/>
      </c>
      <c r="D199" s="557" t="str">
        <f t="shared" si="17"/>
        <v/>
      </c>
      <c r="E199" s="560"/>
      <c r="F199" s="559"/>
      <c r="G199" s="559" t="str">
        <f t="shared" si="18"/>
        <v/>
      </c>
      <c r="H199" s="559" t="str">
        <f t="shared" si="19"/>
        <v/>
      </c>
      <c r="I199" s="559" t="str">
        <f t="shared" si="20"/>
        <v/>
      </c>
    </row>
    <row r="200" spans="2:9">
      <c r="B200" s="555" t="str">
        <f t="shared" si="15"/>
        <v/>
      </c>
      <c r="C200" s="556" t="str">
        <f t="shared" si="16"/>
        <v/>
      </c>
      <c r="D200" s="557" t="str">
        <f t="shared" si="17"/>
        <v/>
      </c>
      <c r="E200" s="560"/>
      <c r="F200" s="559"/>
      <c r="G200" s="559" t="str">
        <f t="shared" si="18"/>
        <v/>
      </c>
      <c r="H200" s="559" t="str">
        <f t="shared" si="19"/>
        <v/>
      </c>
      <c r="I200" s="559" t="str">
        <f t="shared" si="20"/>
        <v/>
      </c>
    </row>
    <row r="201" spans="2:9">
      <c r="B201" s="555" t="str">
        <f t="shared" si="15"/>
        <v/>
      </c>
      <c r="C201" s="556" t="str">
        <f t="shared" si="16"/>
        <v/>
      </c>
      <c r="D201" s="557" t="str">
        <f t="shared" si="17"/>
        <v/>
      </c>
      <c r="E201" s="560"/>
      <c r="F201" s="559"/>
      <c r="G201" s="559" t="str">
        <f t="shared" si="18"/>
        <v/>
      </c>
      <c r="H201" s="559" t="str">
        <f t="shared" si="19"/>
        <v/>
      </c>
      <c r="I201" s="559" t="str">
        <f t="shared" si="20"/>
        <v/>
      </c>
    </row>
    <row r="202" spans="2:9">
      <c r="B202" s="555" t="str">
        <f t="shared" si="15"/>
        <v/>
      </c>
      <c r="C202" s="556" t="str">
        <f t="shared" si="16"/>
        <v/>
      </c>
      <c r="D202" s="557" t="str">
        <f t="shared" si="17"/>
        <v/>
      </c>
      <c r="E202" s="560"/>
      <c r="F202" s="559"/>
      <c r="G202" s="559" t="str">
        <f t="shared" si="18"/>
        <v/>
      </c>
      <c r="H202" s="559" t="str">
        <f t="shared" si="19"/>
        <v/>
      </c>
      <c r="I202" s="559" t="str">
        <f t="shared" si="20"/>
        <v/>
      </c>
    </row>
    <row r="203" spans="2:9">
      <c r="B203" s="555" t="str">
        <f t="shared" si="15"/>
        <v/>
      </c>
      <c r="C203" s="556" t="str">
        <f t="shared" si="16"/>
        <v/>
      </c>
      <c r="D203" s="557" t="str">
        <f t="shared" si="17"/>
        <v/>
      </c>
      <c r="E203" s="560"/>
      <c r="F203" s="559"/>
      <c r="G203" s="559" t="str">
        <f t="shared" si="18"/>
        <v/>
      </c>
      <c r="H203" s="559" t="str">
        <f t="shared" si="19"/>
        <v/>
      </c>
      <c r="I203" s="559" t="str">
        <f t="shared" si="20"/>
        <v/>
      </c>
    </row>
    <row r="204" spans="2:9">
      <c r="B204" s="555" t="str">
        <f t="shared" si="15"/>
        <v/>
      </c>
      <c r="C204" s="556" t="str">
        <f t="shared" si="16"/>
        <v/>
      </c>
      <c r="D204" s="557" t="str">
        <f t="shared" si="17"/>
        <v/>
      </c>
      <c r="E204" s="560"/>
      <c r="F204" s="559"/>
      <c r="G204" s="559" t="str">
        <f t="shared" si="18"/>
        <v/>
      </c>
      <c r="H204" s="559" t="str">
        <f t="shared" si="19"/>
        <v/>
      </c>
      <c r="I204" s="559" t="str">
        <f t="shared" si="20"/>
        <v/>
      </c>
    </row>
    <row r="205" spans="2:9">
      <c r="B205" s="555" t="str">
        <f t="shared" si="15"/>
        <v/>
      </c>
      <c r="C205" s="556" t="str">
        <f t="shared" si="16"/>
        <v/>
      </c>
      <c r="D205" s="557" t="str">
        <f t="shared" si="17"/>
        <v/>
      </c>
      <c r="E205" s="560"/>
      <c r="F205" s="559"/>
      <c r="G205" s="559" t="str">
        <f t="shared" si="18"/>
        <v/>
      </c>
      <c r="H205" s="559" t="str">
        <f t="shared" si="19"/>
        <v/>
      </c>
      <c r="I205" s="559" t="str">
        <f t="shared" si="20"/>
        <v/>
      </c>
    </row>
    <row r="206" spans="2:9">
      <c r="B206" s="555" t="str">
        <f t="shared" si="15"/>
        <v/>
      </c>
      <c r="C206" s="556" t="str">
        <f t="shared" si="16"/>
        <v/>
      </c>
      <c r="D206" s="557" t="str">
        <f t="shared" si="17"/>
        <v/>
      </c>
      <c r="E206" s="560"/>
      <c r="F206" s="559"/>
      <c r="G206" s="559" t="str">
        <f t="shared" si="18"/>
        <v/>
      </c>
      <c r="H206" s="559" t="str">
        <f t="shared" si="19"/>
        <v/>
      </c>
      <c r="I206" s="559" t="str">
        <f t="shared" si="20"/>
        <v/>
      </c>
    </row>
    <row r="207" spans="2:9">
      <c r="B207" s="555" t="str">
        <f t="shared" si="15"/>
        <v/>
      </c>
      <c r="C207" s="556" t="str">
        <f t="shared" si="16"/>
        <v/>
      </c>
      <c r="D207" s="557" t="str">
        <f t="shared" si="17"/>
        <v/>
      </c>
      <c r="E207" s="560"/>
      <c r="F207" s="559"/>
      <c r="G207" s="559" t="str">
        <f t="shared" si="18"/>
        <v/>
      </c>
      <c r="H207" s="559" t="str">
        <f t="shared" si="19"/>
        <v/>
      </c>
      <c r="I207" s="559" t="str">
        <f t="shared" si="20"/>
        <v/>
      </c>
    </row>
    <row r="208" spans="2:9">
      <c r="B208" s="555" t="str">
        <f t="shared" si="15"/>
        <v/>
      </c>
      <c r="C208" s="556" t="str">
        <f t="shared" si="16"/>
        <v/>
      </c>
      <c r="D208" s="557" t="str">
        <f t="shared" si="17"/>
        <v/>
      </c>
      <c r="E208" s="560"/>
      <c r="F208" s="559"/>
      <c r="G208" s="559" t="str">
        <f t="shared" si="18"/>
        <v/>
      </c>
      <c r="H208" s="559" t="str">
        <f t="shared" si="19"/>
        <v/>
      </c>
      <c r="I208" s="559" t="str">
        <f t="shared" si="20"/>
        <v/>
      </c>
    </row>
    <row r="209" spans="2:9">
      <c r="B209" s="555" t="str">
        <f t="shared" si="15"/>
        <v/>
      </c>
      <c r="C209" s="556" t="str">
        <f t="shared" si="16"/>
        <v/>
      </c>
      <c r="D209" s="557" t="str">
        <f t="shared" si="17"/>
        <v/>
      </c>
      <c r="E209" s="560"/>
      <c r="F209" s="559"/>
      <c r="G209" s="559" t="str">
        <f t="shared" si="18"/>
        <v/>
      </c>
      <c r="H209" s="559" t="str">
        <f t="shared" si="19"/>
        <v/>
      </c>
      <c r="I209" s="559" t="str">
        <f t="shared" si="20"/>
        <v/>
      </c>
    </row>
    <row r="210" spans="2:9">
      <c r="B210" s="555" t="str">
        <f t="shared" si="15"/>
        <v/>
      </c>
      <c r="C210" s="556" t="str">
        <f t="shared" si="16"/>
        <v/>
      </c>
      <c r="D210" s="557" t="str">
        <f t="shared" si="17"/>
        <v/>
      </c>
      <c r="E210" s="560"/>
      <c r="F210" s="559"/>
      <c r="G210" s="559" t="str">
        <f t="shared" si="18"/>
        <v/>
      </c>
      <c r="H210" s="559" t="str">
        <f t="shared" si="19"/>
        <v/>
      </c>
      <c r="I210" s="559" t="str">
        <f t="shared" si="20"/>
        <v/>
      </c>
    </row>
    <row r="211" spans="2:9">
      <c r="B211" s="555" t="str">
        <f t="shared" si="15"/>
        <v/>
      </c>
      <c r="C211" s="556" t="str">
        <f t="shared" si="16"/>
        <v/>
      </c>
      <c r="D211" s="557" t="str">
        <f t="shared" si="17"/>
        <v/>
      </c>
      <c r="E211" s="560"/>
      <c r="F211" s="559"/>
      <c r="G211" s="559" t="str">
        <f t="shared" si="18"/>
        <v/>
      </c>
      <c r="H211" s="559" t="str">
        <f t="shared" si="19"/>
        <v/>
      </c>
      <c r="I211" s="559" t="str">
        <f t="shared" si="20"/>
        <v/>
      </c>
    </row>
    <row r="212" spans="2:9">
      <c r="B212" s="555" t="str">
        <f t="shared" si="15"/>
        <v/>
      </c>
      <c r="C212" s="556" t="str">
        <f t="shared" si="16"/>
        <v/>
      </c>
      <c r="D212" s="557" t="str">
        <f t="shared" si="17"/>
        <v/>
      </c>
      <c r="E212" s="560"/>
      <c r="F212" s="559"/>
      <c r="G212" s="559" t="str">
        <f t="shared" si="18"/>
        <v/>
      </c>
      <c r="H212" s="559" t="str">
        <f t="shared" si="19"/>
        <v/>
      </c>
      <c r="I212" s="559" t="str">
        <f t="shared" si="20"/>
        <v/>
      </c>
    </row>
    <row r="213" spans="2:9">
      <c r="B213" s="555" t="str">
        <f t="shared" si="15"/>
        <v/>
      </c>
      <c r="C213" s="556" t="str">
        <f t="shared" si="16"/>
        <v/>
      </c>
      <c r="D213" s="557" t="str">
        <f t="shared" si="17"/>
        <v/>
      </c>
      <c r="E213" s="560"/>
      <c r="F213" s="559"/>
      <c r="G213" s="559" t="str">
        <f t="shared" si="18"/>
        <v/>
      </c>
      <c r="H213" s="559" t="str">
        <f t="shared" si="19"/>
        <v/>
      </c>
      <c r="I213" s="559" t="str">
        <f t="shared" si="20"/>
        <v/>
      </c>
    </row>
    <row r="214" spans="2:9">
      <c r="B214" s="555" t="str">
        <f t="shared" si="15"/>
        <v/>
      </c>
      <c r="C214" s="556" t="str">
        <f t="shared" si="16"/>
        <v/>
      </c>
      <c r="D214" s="557" t="str">
        <f t="shared" si="17"/>
        <v/>
      </c>
      <c r="E214" s="560"/>
      <c r="F214" s="559"/>
      <c r="G214" s="559" t="str">
        <f t="shared" si="18"/>
        <v/>
      </c>
      <c r="H214" s="559" t="str">
        <f t="shared" si="19"/>
        <v/>
      </c>
      <c r="I214" s="559" t="str">
        <f t="shared" si="20"/>
        <v/>
      </c>
    </row>
    <row r="215" spans="2:9">
      <c r="B215" s="555" t="str">
        <f t="shared" si="15"/>
        <v/>
      </c>
      <c r="C215" s="556" t="str">
        <f t="shared" si="16"/>
        <v/>
      </c>
      <c r="D215" s="557" t="str">
        <f t="shared" si="17"/>
        <v/>
      </c>
      <c r="E215" s="560"/>
      <c r="F215" s="559"/>
      <c r="G215" s="559" t="str">
        <f t="shared" si="18"/>
        <v/>
      </c>
      <c r="H215" s="559" t="str">
        <f t="shared" si="19"/>
        <v/>
      </c>
      <c r="I215" s="559" t="str">
        <f t="shared" si="20"/>
        <v/>
      </c>
    </row>
    <row r="216" spans="2:9">
      <c r="B216" s="555" t="str">
        <f t="shared" si="15"/>
        <v/>
      </c>
      <c r="C216" s="556" t="str">
        <f t="shared" si="16"/>
        <v/>
      </c>
      <c r="D216" s="557" t="str">
        <f t="shared" si="17"/>
        <v/>
      </c>
      <c r="E216" s="560"/>
      <c r="F216" s="559"/>
      <c r="G216" s="559" t="str">
        <f t="shared" si="18"/>
        <v/>
      </c>
      <c r="H216" s="559" t="str">
        <f t="shared" si="19"/>
        <v/>
      </c>
      <c r="I216" s="559" t="str">
        <f t="shared" si="20"/>
        <v/>
      </c>
    </row>
    <row r="217" spans="2:9">
      <c r="B217" s="555" t="str">
        <f t="shared" si="15"/>
        <v/>
      </c>
      <c r="C217" s="556" t="str">
        <f t="shared" si="16"/>
        <v/>
      </c>
      <c r="D217" s="557" t="str">
        <f t="shared" si="17"/>
        <v/>
      </c>
      <c r="E217" s="560"/>
      <c r="F217" s="559"/>
      <c r="G217" s="559" t="str">
        <f t="shared" si="18"/>
        <v/>
      </c>
      <c r="H217" s="559" t="str">
        <f t="shared" si="19"/>
        <v/>
      </c>
      <c r="I217" s="559" t="str">
        <f t="shared" si="20"/>
        <v/>
      </c>
    </row>
    <row r="218" spans="2:9">
      <c r="B218" s="555" t="str">
        <f t="shared" si="15"/>
        <v/>
      </c>
      <c r="C218" s="556" t="str">
        <f t="shared" si="16"/>
        <v/>
      </c>
      <c r="D218" s="557" t="str">
        <f t="shared" si="17"/>
        <v/>
      </c>
      <c r="E218" s="560"/>
      <c r="F218" s="559"/>
      <c r="G218" s="559" t="str">
        <f t="shared" si="18"/>
        <v/>
      </c>
      <c r="H218" s="559" t="str">
        <f t="shared" si="19"/>
        <v/>
      </c>
      <c r="I218" s="559" t="str">
        <f t="shared" si="20"/>
        <v/>
      </c>
    </row>
    <row r="219" spans="2:9">
      <c r="B219" s="555" t="str">
        <f t="shared" si="15"/>
        <v/>
      </c>
      <c r="C219" s="556" t="str">
        <f t="shared" si="16"/>
        <v/>
      </c>
      <c r="D219" s="557" t="str">
        <f t="shared" si="17"/>
        <v/>
      </c>
      <c r="E219" s="560"/>
      <c r="F219" s="559"/>
      <c r="G219" s="559" t="str">
        <f t="shared" si="18"/>
        <v/>
      </c>
      <c r="H219" s="559" t="str">
        <f t="shared" si="19"/>
        <v/>
      </c>
      <c r="I219" s="559" t="str">
        <f t="shared" si="20"/>
        <v/>
      </c>
    </row>
    <row r="220" spans="2:9">
      <c r="B220" s="555" t="str">
        <f t="shared" si="15"/>
        <v/>
      </c>
      <c r="C220" s="556" t="str">
        <f t="shared" si="16"/>
        <v/>
      </c>
      <c r="D220" s="557" t="str">
        <f t="shared" si="17"/>
        <v/>
      </c>
      <c r="E220" s="560"/>
      <c r="F220" s="559"/>
      <c r="G220" s="559" t="str">
        <f t="shared" si="18"/>
        <v/>
      </c>
      <c r="H220" s="559" t="str">
        <f t="shared" si="19"/>
        <v/>
      </c>
      <c r="I220" s="559" t="str">
        <f t="shared" si="20"/>
        <v/>
      </c>
    </row>
    <row r="221" spans="2:9">
      <c r="B221" s="555" t="str">
        <f t="shared" si="15"/>
        <v/>
      </c>
      <c r="C221" s="556" t="str">
        <f t="shared" si="16"/>
        <v/>
      </c>
      <c r="D221" s="557" t="str">
        <f t="shared" si="17"/>
        <v/>
      </c>
      <c r="E221" s="560"/>
      <c r="F221" s="559"/>
      <c r="G221" s="559" t="str">
        <f t="shared" si="18"/>
        <v/>
      </c>
      <c r="H221" s="559" t="str">
        <f t="shared" si="19"/>
        <v/>
      </c>
      <c r="I221" s="559" t="str">
        <f t="shared" si="20"/>
        <v/>
      </c>
    </row>
    <row r="222" spans="2:9">
      <c r="B222" s="555" t="str">
        <f t="shared" si="15"/>
        <v/>
      </c>
      <c r="C222" s="556" t="str">
        <f t="shared" si="16"/>
        <v/>
      </c>
      <c r="D222" s="557" t="str">
        <f t="shared" si="17"/>
        <v/>
      </c>
      <c r="E222" s="560"/>
      <c r="F222" s="559"/>
      <c r="G222" s="559" t="str">
        <f t="shared" si="18"/>
        <v/>
      </c>
      <c r="H222" s="559" t="str">
        <f t="shared" si="19"/>
        <v/>
      </c>
      <c r="I222" s="559" t="str">
        <f t="shared" si="20"/>
        <v/>
      </c>
    </row>
    <row r="223" spans="2:9">
      <c r="B223" s="555" t="str">
        <f t="shared" si="15"/>
        <v/>
      </c>
      <c r="C223" s="556" t="str">
        <f t="shared" si="16"/>
        <v/>
      </c>
      <c r="D223" s="557" t="str">
        <f t="shared" si="17"/>
        <v/>
      </c>
      <c r="E223" s="560"/>
      <c r="F223" s="559"/>
      <c r="G223" s="559" t="str">
        <f t="shared" si="18"/>
        <v/>
      </c>
      <c r="H223" s="559" t="str">
        <f t="shared" si="19"/>
        <v/>
      </c>
      <c r="I223" s="559" t="str">
        <f t="shared" si="20"/>
        <v/>
      </c>
    </row>
    <row r="224" spans="2:9">
      <c r="B224" s="555" t="str">
        <f t="shared" si="15"/>
        <v/>
      </c>
      <c r="C224" s="556" t="str">
        <f t="shared" si="16"/>
        <v/>
      </c>
      <c r="D224" s="557" t="str">
        <f t="shared" si="17"/>
        <v/>
      </c>
      <c r="E224" s="560"/>
      <c r="F224" s="559"/>
      <c r="G224" s="559" t="str">
        <f t="shared" si="18"/>
        <v/>
      </c>
      <c r="H224" s="559" t="str">
        <f t="shared" si="19"/>
        <v/>
      </c>
      <c r="I224" s="559" t="str">
        <f t="shared" si="20"/>
        <v/>
      </c>
    </row>
    <row r="225" spans="2:9">
      <c r="B225" s="555" t="str">
        <f t="shared" si="15"/>
        <v/>
      </c>
      <c r="C225" s="556" t="str">
        <f t="shared" si="16"/>
        <v/>
      </c>
      <c r="D225" s="557" t="str">
        <f t="shared" si="17"/>
        <v/>
      </c>
      <c r="E225" s="560"/>
      <c r="F225" s="559"/>
      <c r="G225" s="559" t="str">
        <f t="shared" si="18"/>
        <v/>
      </c>
      <c r="H225" s="559" t="str">
        <f t="shared" si="19"/>
        <v/>
      </c>
      <c r="I225" s="559" t="str">
        <f t="shared" si="20"/>
        <v/>
      </c>
    </row>
    <row r="226" spans="2:9">
      <c r="B226" s="555" t="str">
        <f t="shared" si="15"/>
        <v/>
      </c>
      <c r="C226" s="556" t="str">
        <f t="shared" si="16"/>
        <v/>
      </c>
      <c r="D226" s="557" t="str">
        <f t="shared" si="17"/>
        <v/>
      </c>
      <c r="E226" s="560"/>
      <c r="F226" s="559"/>
      <c r="G226" s="559" t="str">
        <f t="shared" si="18"/>
        <v/>
      </c>
      <c r="H226" s="559" t="str">
        <f t="shared" si="19"/>
        <v/>
      </c>
      <c r="I226" s="559" t="str">
        <f t="shared" si="20"/>
        <v/>
      </c>
    </row>
    <row r="227" spans="2:9">
      <c r="B227" s="555" t="str">
        <f t="shared" si="15"/>
        <v/>
      </c>
      <c r="C227" s="556" t="str">
        <f t="shared" si="16"/>
        <v/>
      </c>
      <c r="D227" s="557" t="str">
        <f t="shared" si="17"/>
        <v/>
      </c>
      <c r="E227" s="560"/>
      <c r="F227" s="559"/>
      <c r="G227" s="559" t="str">
        <f t="shared" si="18"/>
        <v/>
      </c>
      <c r="H227" s="559" t="str">
        <f t="shared" si="19"/>
        <v/>
      </c>
      <c r="I227" s="559" t="str">
        <f t="shared" si="20"/>
        <v/>
      </c>
    </row>
    <row r="228" spans="2:9">
      <c r="B228" s="555" t="str">
        <f t="shared" si="15"/>
        <v/>
      </c>
      <c r="C228" s="556" t="str">
        <f t="shared" si="16"/>
        <v/>
      </c>
      <c r="D228" s="557" t="str">
        <f t="shared" si="17"/>
        <v/>
      </c>
      <c r="E228" s="560"/>
      <c r="F228" s="559"/>
      <c r="G228" s="559" t="str">
        <f t="shared" si="18"/>
        <v/>
      </c>
      <c r="H228" s="559" t="str">
        <f t="shared" si="19"/>
        <v/>
      </c>
      <c r="I228" s="559" t="str">
        <f t="shared" si="20"/>
        <v/>
      </c>
    </row>
    <row r="229" spans="2:9">
      <c r="B229" s="555" t="str">
        <f t="shared" si="15"/>
        <v/>
      </c>
      <c r="C229" s="556" t="str">
        <f t="shared" si="16"/>
        <v/>
      </c>
      <c r="D229" s="557" t="str">
        <f t="shared" si="17"/>
        <v/>
      </c>
      <c r="E229" s="560"/>
      <c r="F229" s="559"/>
      <c r="G229" s="559" t="str">
        <f t="shared" si="18"/>
        <v/>
      </c>
      <c r="H229" s="559" t="str">
        <f t="shared" si="19"/>
        <v/>
      </c>
      <c r="I229" s="559" t="str">
        <f t="shared" si="20"/>
        <v/>
      </c>
    </row>
    <row r="230" spans="2:9">
      <c r="B230" s="555" t="str">
        <f t="shared" si="15"/>
        <v/>
      </c>
      <c r="C230" s="556" t="str">
        <f t="shared" si="16"/>
        <v/>
      </c>
      <c r="D230" s="557" t="str">
        <f t="shared" si="17"/>
        <v/>
      </c>
      <c r="E230" s="560"/>
      <c r="F230" s="559"/>
      <c r="G230" s="559" t="str">
        <f t="shared" si="18"/>
        <v/>
      </c>
      <c r="H230" s="559" t="str">
        <f t="shared" si="19"/>
        <v/>
      </c>
      <c r="I230" s="559" t="str">
        <f t="shared" si="20"/>
        <v/>
      </c>
    </row>
    <row r="231" spans="2:9">
      <c r="B231" s="555" t="str">
        <f t="shared" si="15"/>
        <v/>
      </c>
      <c r="C231" s="556" t="str">
        <f t="shared" si="16"/>
        <v/>
      </c>
      <c r="D231" s="557" t="str">
        <f t="shared" si="17"/>
        <v/>
      </c>
      <c r="E231" s="560"/>
      <c r="F231" s="559"/>
      <c r="G231" s="559" t="str">
        <f t="shared" si="18"/>
        <v/>
      </c>
      <c r="H231" s="559" t="str">
        <f t="shared" si="19"/>
        <v/>
      </c>
      <c r="I231" s="559" t="str">
        <f t="shared" si="20"/>
        <v/>
      </c>
    </row>
    <row r="232" spans="2:9">
      <c r="B232" s="555" t="str">
        <f t="shared" si="15"/>
        <v/>
      </c>
      <c r="C232" s="556" t="str">
        <f t="shared" si="16"/>
        <v/>
      </c>
      <c r="D232" s="557" t="str">
        <f t="shared" si="17"/>
        <v/>
      </c>
      <c r="E232" s="560"/>
      <c r="F232" s="559"/>
      <c r="G232" s="559" t="str">
        <f t="shared" si="18"/>
        <v/>
      </c>
      <c r="H232" s="559" t="str">
        <f t="shared" si="19"/>
        <v/>
      </c>
      <c r="I232" s="559" t="str">
        <f t="shared" si="20"/>
        <v/>
      </c>
    </row>
    <row r="233" spans="2:9">
      <c r="B233" s="555" t="str">
        <f t="shared" si="15"/>
        <v/>
      </c>
      <c r="C233" s="556" t="str">
        <f t="shared" si="16"/>
        <v/>
      </c>
      <c r="D233" s="557" t="str">
        <f t="shared" si="17"/>
        <v/>
      </c>
      <c r="E233" s="560"/>
      <c r="F233" s="559"/>
      <c r="G233" s="559" t="str">
        <f t="shared" si="18"/>
        <v/>
      </c>
      <c r="H233" s="559" t="str">
        <f t="shared" si="19"/>
        <v/>
      </c>
      <c r="I233" s="559" t="str">
        <f t="shared" si="20"/>
        <v/>
      </c>
    </row>
    <row r="234" spans="2:9">
      <c r="B234" s="555" t="str">
        <f t="shared" si="15"/>
        <v/>
      </c>
      <c r="C234" s="556" t="str">
        <f t="shared" si="16"/>
        <v/>
      </c>
      <c r="D234" s="557" t="str">
        <f t="shared" si="17"/>
        <v/>
      </c>
      <c r="E234" s="560"/>
      <c r="F234" s="559"/>
      <c r="G234" s="559" t="str">
        <f t="shared" si="18"/>
        <v/>
      </c>
      <c r="H234" s="559" t="str">
        <f t="shared" si="19"/>
        <v/>
      </c>
      <c r="I234" s="559" t="str">
        <f t="shared" si="20"/>
        <v/>
      </c>
    </row>
    <row r="235" spans="2:9">
      <c r="B235" s="555" t="str">
        <f t="shared" si="15"/>
        <v/>
      </c>
      <c r="C235" s="556" t="str">
        <f t="shared" si="16"/>
        <v/>
      </c>
      <c r="D235" s="557" t="str">
        <f t="shared" si="17"/>
        <v/>
      </c>
      <c r="E235" s="560"/>
      <c r="F235" s="559"/>
      <c r="G235" s="559" t="str">
        <f t="shared" si="18"/>
        <v/>
      </c>
      <c r="H235" s="559" t="str">
        <f t="shared" si="19"/>
        <v/>
      </c>
      <c r="I235" s="559" t="str">
        <f t="shared" si="20"/>
        <v/>
      </c>
    </row>
    <row r="236" spans="2:9">
      <c r="B236" s="555" t="str">
        <f t="shared" si="15"/>
        <v/>
      </c>
      <c r="C236" s="556" t="str">
        <f t="shared" si="16"/>
        <v/>
      </c>
      <c r="D236" s="557" t="str">
        <f t="shared" si="17"/>
        <v/>
      </c>
      <c r="E236" s="560"/>
      <c r="F236" s="559"/>
      <c r="G236" s="559" t="str">
        <f t="shared" si="18"/>
        <v/>
      </c>
      <c r="H236" s="559" t="str">
        <f t="shared" si="19"/>
        <v/>
      </c>
      <c r="I236" s="559" t="str">
        <f t="shared" si="20"/>
        <v/>
      </c>
    </row>
    <row r="237" spans="2:9">
      <c r="B237" s="555" t="str">
        <f t="shared" si="15"/>
        <v/>
      </c>
      <c r="C237" s="556" t="str">
        <f t="shared" si="16"/>
        <v/>
      </c>
      <c r="D237" s="557" t="str">
        <f t="shared" si="17"/>
        <v/>
      </c>
      <c r="E237" s="560"/>
      <c r="F237" s="559"/>
      <c r="G237" s="559" t="str">
        <f t="shared" si="18"/>
        <v/>
      </c>
      <c r="H237" s="559" t="str">
        <f t="shared" si="19"/>
        <v/>
      </c>
      <c r="I237" s="559" t="str">
        <f t="shared" si="20"/>
        <v/>
      </c>
    </row>
    <row r="238" spans="2:9">
      <c r="B238" s="555" t="str">
        <f t="shared" si="15"/>
        <v/>
      </c>
      <c r="C238" s="556" t="str">
        <f t="shared" si="16"/>
        <v/>
      </c>
      <c r="D238" s="557" t="str">
        <f t="shared" si="17"/>
        <v/>
      </c>
      <c r="E238" s="560"/>
      <c r="F238" s="559"/>
      <c r="G238" s="559" t="str">
        <f t="shared" si="18"/>
        <v/>
      </c>
      <c r="H238" s="559" t="str">
        <f t="shared" si="19"/>
        <v/>
      </c>
      <c r="I238" s="559" t="str">
        <f t="shared" si="20"/>
        <v/>
      </c>
    </row>
    <row r="239" spans="2:9">
      <c r="B239" s="555" t="str">
        <f t="shared" si="15"/>
        <v/>
      </c>
      <c r="C239" s="556" t="str">
        <f t="shared" si="16"/>
        <v/>
      </c>
      <c r="D239" s="557" t="str">
        <f t="shared" si="17"/>
        <v/>
      </c>
      <c r="E239" s="560"/>
      <c r="F239" s="559"/>
      <c r="G239" s="559" t="str">
        <f t="shared" si="18"/>
        <v/>
      </c>
      <c r="H239" s="559" t="str">
        <f t="shared" si="19"/>
        <v/>
      </c>
      <c r="I239" s="559" t="str">
        <f t="shared" si="20"/>
        <v/>
      </c>
    </row>
    <row r="240" spans="2:9">
      <c r="B240" s="555" t="str">
        <f t="shared" si="15"/>
        <v/>
      </c>
      <c r="C240" s="556" t="str">
        <f t="shared" si="16"/>
        <v/>
      </c>
      <c r="D240" s="557" t="str">
        <f t="shared" si="17"/>
        <v/>
      </c>
      <c r="E240" s="560"/>
      <c r="F240" s="559"/>
      <c r="G240" s="559" t="str">
        <f t="shared" si="18"/>
        <v/>
      </c>
      <c r="H240" s="559" t="str">
        <f t="shared" si="19"/>
        <v/>
      </c>
      <c r="I240" s="559" t="str">
        <f t="shared" si="20"/>
        <v/>
      </c>
    </row>
    <row r="241" spans="2:9">
      <c r="B241" s="555" t="str">
        <f t="shared" si="15"/>
        <v/>
      </c>
      <c r="C241" s="556" t="str">
        <f t="shared" si="16"/>
        <v/>
      </c>
      <c r="D241" s="557" t="str">
        <f t="shared" si="17"/>
        <v/>
      </c>
      <c r="E241" s="560"/>
      <c r="F241" s="559"/>
      <c r="G241" s="559" t="str">
        <f t="shared" si="18"/>
        <v/>
      </c>
      <c r="H241" s="559" t="str">
        <f t="shared" si="19"/>
        <v/>
      </c>
      <c r="I241" s="559" t="str">
        <f t="shared" si="20"/>
        <v/>
      </c>
    </row>
    <row r="242" spans="2:9">
      <c r="B242" s="555" t="str">
        <f t="shared" si="15"/>
        <v/>
      </c>
      <c r="C242" s="556" t="str">
        <f t="shared" si="16"/>
        <v/>
      </c>
      <c r="D242" s="557" t="str">
        <f t="shared" si="17"/>
        <v/>
      </c>
      <c r="E242" s="560"/>
      <c r="F242" s="559"/>
      <c r="G242" s="559" t="str">
        <f t="shared" si="18"/>
        <v/>
      </c>
      <c r="H242" s="559" t="str">
        <f t="shared" si="19"/>
        <v/>
      </c>
      <c r="I242" s="559" t="str">
        <f t="shared" si="20"/>
        <v/>
      </c>
    </row>
    <row r="243" spans="2:9">
      <c r="B243" s="555" t="str">
        <f t="shared" si="15"/>
        <v/>
      </c>
      <c r="C243" s="556" t="str">
        <f t="shared" si="16"/>
        <v/>
      </c>
      <c r="D243" s="557" t="str">
        <f t="shared" si="17"/>
        <v/>
      </c>
      <c r="E243" s="560"/>
      <c r="F243" s="559"/>
      <c r="G243" s="559" t="str">
        <f t="shared" si="18"/>
        <v/>
      </c>
      <c r="H243" s="559" t="str">
        <f t="shared" si="19"/>
        <v/>
      </c>
      <c r="I243" s="559" t="str">
        <f t="shared" si="20"/>
        <v/>
      </c>
    </row>
    <row r="244" spans="2:9">
      <c r="B244" s="555" t="str">
        <f t="shared" si="15"/>
        <v/>
      </c>
      <c r="C244" s="556" t="str">
        <f t="shared" si="16"/>
        <v/>
      </c>
      <c r="D244" s="557" t="str">
        <f t="shared" si="17"/>
        <v/>
      </c>
      <c r="E244" s="560"/>
      <c r="F244" s="559"/>
      <c r="G244" s="559" t="str">
        <f t="shared" si="18"/>
        <v/>
      </c>
      <c r="H244" s="559" t="str">
        <f t="shared" si="19"/>
        <v/>
      </c>
      <c r="I244" s="559" t="str">
        <f t="shared" si="20"/>
        <v/>
      </c>
    </row>
    <row r="245" spans="2:9">
      <c r="B245" s="555" t="str">
        <f t="shared" si="15"/>
        <v/>
      </c>
      <c r="C245" s="556" t="str">
        <f t="shared" si="16"/>
        <v/>
      </c>
      <c r="D245" s="557" t="str">
        <f t="shared" si="17"/>
        <v/>
      </c>
      <c r="E245" s="560"/>
      <c r="F245" s="559"/>
      <c r="G245" s="559" t="str">
        <f t="shared" si="18"/>
        <v/>
      </c>
      <c r="H245" s="559" t="str">
        <f t="shared" si="19"/>
        <v/>
      </c>
      <c r="I245" s="559" t="str">
        <f t="shared" si="20"/>
        <v/>
      </c>
    </row>
    <row r="246" spans="2:9">
      <c r="B246" s="555" t="str">
        <f t="shared" si="15"/>
        <v/>
      </c>
      <c r="C246" s="556" t="str">
        <f t="shared" si="16"/>
        <v/>
      </c>
      <c r="D246" s="557" t="str">
        <f t="shared" si="17"/>
        <v/>
      </c>
      <c r="E246" s="560"/>
      <c r="F246" s="559"/>
      <c r="G246" s="559" t="str">
        <f t="shared" si="18"/>
        <v/>
      </c>
      <c r="H246" s="559" t="str">
        <f t="shared" si="19"/>
        <v/>
      </c>
      <c r="I246" s="559" t="str">
        <f t="shared" si="20"/>
        <v/>
      </c>
    </row>
    <row r="247" spans="2:9">
      <c r="B247" s="555" t="str">
        <f t="shared" si="15"/>
        <v/>
      </c>
      <c r="C247" s="556" t="str">
        <f t="shared" si="16"/>
        <v/>
      </c>
      <c r="D247" s="557" t="str">
        <f t="shared" si="17"/>
        <v/>
      </c>
      <c r="E247" s="560"/>
      <c r="F247" s="559"/>
      <c r="G247" s="559" t="str">
        <f t="shared" si="18"/>
        <v/>
      </c>
      <c r="H247" s="559" t="str">
        <f t="shared" si="19"/>
        <v/>
      </c>
      <c r="I247" s="559" t="str">
        <f t="shared" si="20"/>
        <v/>
      </c>
    </row>
    <row r="248" spans="2:9">
      <c r="B248" s="555" t="str">
        <f t="shared" si="15"/>
        <v/>
      </c>
      <c r="C248" s="556" t="str">
        <f t="shared" si="16"/>
        <v/>
      </c>
      <c r="D248" s="557" t="str">
        <f t="shared" si="17"/>
        <v/>
      </c>
      <c r="E248" s="560"/>
      <c r="F248" s="559"/>
      <c r="G248" s="559" t="str">
        <f t="shared" si="18"/>
        <v/>
      </c>
      <c r="H248" s="559" t="str">
        <f t="shared" si="19"/>
        <v/>
      </c>
      <c r="I248" s="559" t="str">
        <f t="shared" si="20"/>
        <v/>
      </c>
    </row>
    <row r="249" spans="2:9">
      <c r="B249" s="555" t="str">
        <f t="shared" si="15"/>
        <v/>
      </c>
      <c r="C249" s="556" t="str">
        <f t="shared" si="16"/>
        <v/>
      </c>
      <c r="D249" s="557" t="str">
        <f t="shared" si="17"/>
        <v/>
      </c>
      <c r="E249" s="560"/>
      <c r="F249" s="559"/>
      <c r="G249" s="559" t="str">
        <f t="shared" si="18"/>
        <v/>
      </c>
      <c r="H249" s="559" t="str">
        <f t="shared" si="19"/>
        <v/>
      </c>
      <c r="I249" s="559" t="str">
        <f t="shared" si="20"/>
        <v/>
      </c>
    </row>
    <row r="250" spans="2:9">
      <c r="B250" s="555" t="str">
        <f t="shared" si="15"/>
        <v/>
      </c>
      <c r="C250" s="556" t="str">
        <f t="shared" si="16"/>
        <v/>
      </c>
      <c r="D250" s="557" t="str">
        <f t="shared" si="17"/>
        <v/>
      </c>
      <c r="E250" s="560"/>
      <c r="F250" s="559"/>
      <c r="G250" s="559" t="str">
        <f t="shared" si="18"/>
        <v/>
      </c>
      <c r="H250" s="559" t="str">
        <f t="shared" si="19"/>
        <v/>
      </c>
      <c r="I250" s="559" t="str">
        <f t="shared" si="20"/>
        <v/>
      </c>
    </row>
    <row r="251" spans="2:9">
      <c r="B251" s="555" t="str">
        <f t="shared" si="15"/>
        <v/>
      </c>
      <c r="C251" s="556" t="str">
        <f t="shared" si="16"/>
        <v/>
      </c>
      <c r="D251" s="557" t="str">
        <f t="shared" si="17"/>
        <v/>
      </c>
      <c r="E251" s="560"/>
      <c r="F251" s="559"/>
      <c r="G251" s="559" t="str">
        <f t="shared" si="18"/>
        <v/>
      </c>
      <c r="H251" s="559" t="str">
        <f t="shared" si="19"/>
        <v/>
      </c>
      <c r="I251" s="559" t="str">
        <f t="shared" si="20"/>
        <v/>
      </c>
    </row>
    <row r="252" spans="2:9">
      <c r="B252" s="555" t="str">
        <f t="shared" si="15"/>
        <v/>
      </c>
      <c r="C252" s="556" t="str">
        <f t="shared" si="16"/>
        <v/>
      </c>
      <c r="D252" s="557" t="str">
        <f t="shared" si="17"/>
        <v/>
      </c>
      <c r="E252" s="560"/>
      <c r="F252" s="559"/>
      <c r="G252" s="559" t="str">
        <f t="shared" si="18"/>
        <v/>
      </c>
      <c r="H252" s="559" t="str">
        <f t="shared" si="19"/>
        <v/>
      </c>
      <c r="I252" s="559" t="str">
        <f t="shared" si="20"/>
        <v/>
      </c>
    </row>
    <row r="253" spans="2:9">
      <c r="B253" s="555" t="str">
        <f t="shared" ref="B253:B316" si="21">IF(I252="","",IF(roundOpt,IF(OR(B252&gt;=nper,ROUND(I252,2)&lt;=0),"",B252+1),IF(OR(B252&gt;=nper,I252&lt;=0),"",B252+1)))</f>
        <v/>
      </c>
      <c r="C253" s="556" t="str">
        <f t="shared" ref="C253:C316" si="22">IF(B253="","",IF(OR(periods_per_year=26,periods_per_year=52),IF(periods_per_year=26,IF(B253=1,fpdate,C252+14),IF(periods_per_year=52,IF(B253=1,fpdate,C252+7),"n/a")),IF(periods_per_year=24,DATE(YEAR(fpdate),MONTH(fpdate)+(B253-1)/2+IF(AND(DAY(fpdate)&gt;=15,MOD(B253,2)=0),1,0),IF(MOD(B253,2)=0,IF(DAY(fpdate)&gt;=15,DAY(fpdate)-14,DAY(fpdate)+14),DAY(fpdate))),IF(DAY(DATE(YEAR(fpdate),MONTH(fpdate)+(B253-1)*months_per_period,DAY(fpdate)))&lt;&gt;DAY(fpdate),DATE(YEAR(fpdate),MONTH(fpdate)+(B253-1)*months_per_period+1,0),DATE(YEAR(fpdate),MONTH(fpdate)+(B253-1)*months_per_period,DAY(fpdate))))))</f>
        <v/>
      </c>
      <c r="D253" s="557" t="str">
        <f t="shared" ref="D253:D316" si="23">IF(B253="","",IF(roundOpt,IF(OR(B253=nper,payment&gt;ROUND((1+rate)*I252,2)),ROUND((1+rate)*I252,2),payment),IF(OR(B253=nper,payment&gt;(1+rate)*I252),(1+rate)*I252,payment)))</f>
        <v/>
      </c>
      <c r="E253" s="560"/>
      <c r="F253" s="559"/>
      <c r="G253" s="559" t="str">
        <f t="shared" ref="G253:G316" si="24">IF(B253="","",IF(AND(B253=1,pmtType=1),0,IF(roundOpt,ROUND(rate*I252,2),rate*I252)))</f>
        <v/>
      </c>
      <c r="H253" s="559" t="str">
        <f t="shared" ref="H253:H316" si="25">IF(B253="","",D253-G253+E253)</f>
        <v/>
      </c>
      <c r="I253" s="559" t="str">
        <f t="shared" ref="I253:I316" si="26">IF(B253="","",I252-H253)</f>
        <v/>
      </c>
    </row>
    <row r="254" spans="2:9">
      <c r="B254" s="555" t="str">
        <f t="shared" si="21"/>
        <v/>
      </c>
      <c r="C254" s="556" t="str">
        <f t="shared" si="22"/>
        <v/>
      </c>
      <c r="D254" s="557" t="str">
        <f t="shared" si="23"/>
        <v/>
      </c>
      <c r="E254" s="560"/>
      <c r="F254" s="559"/>
      <c r="G254" s="559" t="str">
        <f t="shared" si="24"/>
        <v/>
      </c>
      <c r="H254" s="559" t="str">
        <f t="shared" si="25"/>
        <v/>
      </c>
      <c r="I254" s="559" t="str">
        <f t="shared" si="26"/>
        <v/>
      </c>
    </row>
    <row r="255" spans="2:9">
      <c r="B255" s="555" t="str">
        <f t="shared" si="21"/>
        <v/>
      </c>
      <c r="C255" s="556" t="str">
        <f t="shared" si="22"/>
        <v/>
      </c>
      <c r="D255" s="557" t="str">
        <f t="shared" si="23"/>
        <v/>
      </c>
      <c r="E255" s="560"/>
      <c r="F255" s="559"/>
      <c r="G255" s="559" t="str">
        <f t="shared" si="24"/>
        <v/>
      </c>
      <c r="H255" s="559" t="str">
        <f t="shared" si="25"/>
        <v/>
      </c>
      <c r="I255" s="559" t="str">
        <f t="shared" si="26"/>
        <v/>
      </c>
    </row>
    <row r="256" spans="2:9">
      <c r="B256" s="555" t="str">
        <f t="shared" si="21"/>
        <v/>
      </c>
      <c r="C256" s="556" t="str">
        <f t="shared" si="22"/>
        <v/>
      </c>
      <c r="D256" s="557" t="str">
        <f t="shared" si="23"/>
        <v/>
      </c>
      <c r="E256" s="560"/>
      <c r="F256" s="559"/>
      <c r="G256" s="559" t="str">
        <f t="shared" si="24"/>
        <v/>
      </c>
      <c r="H256" s="559" t="str">
        <f t="shared" si="25"/>
        <v/>
      </c>
      <c r="I256" s="559" t="str">
        <f t="shared" si="26"/>
        <v/>
      </c>
    </row>
    <row r="257" spans="2:9">
      <c r="B257" s="555" t="str">
        <f t="shared" si="21"/>
        <v/>
      </c>
      <c r="C257" s="556" t="str">
        <f t="shared" si="22"/>
        <v/>
      </c>
      <c r="D257" s="557" t="str">
        <f t="shared" si="23"/>
        <v/>
      </c>
      <c r="E257" s="560"/>
      <c r="F257" s="559"/>
      <c r="G257" s="559" t="str">
        <f t="shared" si="24"/>
        <v/>
      </c>
      <c r="H257" s="559" t="str">
        <f t="shared" si="25"/>
        <v/>
      </c>
      <c r="I257" s="559" t="str">
        <f t="shared" si="26"/>
        <v/>
      </c>
    </row>
    <row r="258" spans="2:9">
      <c r="B258" s="555" t="str">
        <f t="shared" si="21"/>
        <v/>
      </c>
      <c r="C258" s="556" t="str">
        <f t="shared" si="22"/>
        <v/>
      </c>
      <c r="D258" s="557" t="str">
        <f t="shared" si="23"/>
        <v/>
      </c>
      <c r="E258" s="560"/>
      <c r="F258" s="559"/>
      <c r="G258" s="559" t="str">
        <f t="shared" si="24"/>
        <v/>
      </c>
      <c r="H258" s="559" t="str">
        <f t="shared" si="25"/>
        <v/>
      </c>
      <c r="I258" s="559" t="str">
        <f t="shared" si="26"/>
        <v/>
      </c>
    </row>
    <row r="259" spans="2:9">
      <c r="B259" s="555" t="str">
        <f t="shared" si="21"/>
        <v/>
      </c>
      <c r="C259" s="556" t="str">
        <f t="shared" si="22"/>
        <v/>
      </c>
      <c r="D259" s="557" t="str">
        <f t="shared" si="23"/>
        <v/>
      </c>
      <c r="E259" s="560"/>
      <c r="F259" s="559"/>
      <c r="G259" s="559" t="str">
        <f t="shared" si="24"/>
        <v/>
      </c>
      <c r="H259" s="559" t="str">
        <f t="shared" si="25"/>
        <v/>
      </c>
      <c r="I259" s="559" t="str">
        <f t="shared" si="26"/>
        <v/>
      </c>
    </row>
    <row r="260" spans="2:9">
      <c r="B260" s="555" t="str">
        <f t="shared" si="21"/>
        <v/>
      </c>
      <c r="C260" s="556" t="str">
        <f t="shared" si="22"/>
        <v/>
      </c>
      <c r="D260" s="557" t="str">
        <f t="shared" si="23"/>
        <v/>
      </c>
      <c r="E260" s="560"/>
      <c r="F260" s="559"/>
      <c r="G260" s="559" t="str">
        <f t="shared" si="24"/>
        <v/>
      </c>
      <c r="H260" s="559" t="str">
        <f t="shared" si="25"/>
        <v/>
      </c>
      <c r="I260" s="559" t="str">
        <f t="shared" si="26"/>
        <v/>
      </c>
    </row>
    <row r="261" spans="2:9">
      <c r="B261" s="555" t="str">
        <f t="shared" si="21"/>
        <v/>
      </c>
      <c r="C261" s="556" t="str">
        <f t="shared" si="22"/>
        <v/>
      </c>
      <c r="D261" s="557" t="str">
        <f t="shared" si="23"/>
        <v/>
      </c>
      <c r="E261" s="560"/>
      <c r="F261" s="559"/>
      <c r="G261" s="559" t="str">
        <f t="shared" si="24"/>
        <v/>
      </c>
      <c r="H261" s="559" t="str">
        <f t="shared" si="25"/>
        <v/>
      </c>
      <c r="I261" s="559" t="str">
        <f t="shared" si="26"/>
        <v/>
      </c>
    </row>
    <row r="262" spans="2:9">
      <c r="B262" s="555" t="str">
        <f t="shared" si="21"/>
        <v/>
      </c>
      <c r="C262" s="556" t="str">
        <f t="shared" si="22"/>
        <v/>
      </c>
      <c r="D262" s="557" t="str">
        <f t="shared" si="23"/>
        <v/>
      </c>
      <c r="E262" s="560"/>
      <c r="F262" s="559"/>
      <c r="G262" s="559" t="str">
        <f t="shared" si="24"/>
        <v/>
      </c>
      <c r="H262" s="559" t="str">
        <f t="shared" si="25"/>
        <v/>
      </c>
      <c r="I262" s="559" t="str">
        <f t="shared" si="26"/>
        <v/>
      </c>
    </row>
    <row r="263" spans="2:9">
      <c r="B263" s="555" t="str">
        <f t="shared" si="21"/>
        <v/>
      </c>
      <c r="C263" s="556" t="str">
        <f t="shared" si="22"/>
        <v/>
      </c>
      <c r="D263" s="557" t="str">
        <f t="shared" si="23"/>
        <v/>
      </c>
      <c r="E263" s="560"/>
      <c r="F263" s="559"/>
      <c r="G263" s="559" t="str">
        <f t="shared" si="24"/>
        <v/>
      </c>
      <c r="H263" s="559" t="str">
        <f t="shared" si="25"/>
        <v/>
      </c>
      <c r="I263" s="559" t="str">
        <f t="shared" si="26"/>
        <v/>
      </c>
    </row>
    <row r="264" spans="2:9">
      <c r="B264" s="555" t="str">
        <f t="shared" si="21"/>
        <v/>
      </c>
      <c r="C264" s="556" t="str">
        <f t="shared" si="22"/>
        <v/>
      </c>
      <c r="D264" s="557" t="str">
        <f t="shared" si="23"/>
        <v/>
      </c>
      <c r="E264" s="560"/>
      <c r="F264" s="559"/>
      <c r="G264" s="559" t="str">
        <f t="shared" si="24"/>
        <v/>
      </c>
      <c r="H264" s="559" t="str">
        <f t="shared" si="25"/>
        <v/>
      </c>
      <c r="I264" s="559" t="str">
        <f t="shared" si="26"/>
        <v/>
      </c>
    </row>
    <row r="265" spans="2:9">
      <c r="B265" s="555" t="str">
        <f t="shared" si="21"/>
        <v/>
      </c>
      <c r="C265" s="556" t="str">
        <f t="shared" si="22"/>
        <v/>
      </c>
      <c r="D265" s="557" t="str">
        <f t="shared" si="23"/>
        <v/>
      </c>
      <c r="E265" s="560"/>
      <c r="F265" s="559"/>
      <c r="G265" s="559" t="str">
        <f t="shared" si="24"/>
        <v/>
      </c>
      <c r="H265" s="559" t="str">
        <f t="shared" si="25"/>
        <v/>
      </c>
      <c r="I265" s="559" t="str">
        <f t="shared" si="26"/>
        <v/>
      </c>
    </row>
    <row r="266" spans="2:9">
      <c r="B266" s="555" t="str">
        <f t="shared" si="21"/>
        <v/>
      </c>
      <c r="C266" s="556" t="str">
        <f t="shared" si="22"/>
        <v/>
      </c>
      <c r="D266" s="557" t="str">
        <f t="shared" si="23"/>
        <v/>
      </c>
      <c r="E266" s="560"/>
      <c r="F266" s="559"/>
      <c r="G266" s="559" t="str">
        <f t="shared" si="24"/>
        <v/>
      </c>
      <c r="H266" s="559" t="str">
        <f t="shared" si="25"/>
        <v/>
      </c>
      <c r="I266" s="559" t="str">
        <f t="shared" si="26"/>
        <v/>
      </c>
    </row>
    <row r="267" spans="2:9">
      <c r="B267" s="555" t="str">
        <f t="shared" si="21"/>
        <v/>
      </c>
      <c r="C267" s="556" t="str">
        <f t="shared" si="22"/>
        <v/>
      </c>
      <c r="D267" s="557" t="str">
        <f t="shared" si="23"/>
        <v/>
      </c>
      <c r="E267" s="560"/>
      <c r="F267" s="559"/>
      <c r="G267" s="559" t="str">
        <f t="shared" si="24"/>
        <v/>
      </c>
      <c r="H267" s="559" t="str">
        <f t="shared" si="25"/>
        <v/>
      </c>
      <c r="I267" s="559" t="str">
        <f t="shared" si="26"/>
        <v/>
      </c>
    </row>
    <row r="268" spans="2:9">
      <c r="B268" s="555" t="str">
        <f t="shared" si="21"/>
        <v/>
      </c>
      <c r="C268" s="556" t="str">
        <f t="shared" si="22"/>
        <v/>
      </c>
      <c r="D268" s="557" t="str">
        <f t="shared" si="23"/>
        <v/>
      </c>
      <c r="E268" s="560"/>
      <c r="F268" s="559"/>
      <c r="G268" s="559" t="str">
        <f t="shared" si="24"/>
        <v/>
      </c>
      <c r="H268" s="559" t="str">
        <f t="shared" si="25"/>
        <v/>
      </c>
      <c r="I268" s="559" t="str">
        <f t="shared" si="26"/>
        <v/>
      </c>
    </row>
    <row r="269" spans="2:9">
      <c r="B269" s="555" t="str">
        <f t="shared" si="21"/>
        <v/>
      </c>
      <c r="C269" s="556" t="str">
        <f t="shared" si="22"/>
        <v/>
      </c>
      <c r="D269" s="557" t="str">
        <f t="shared" si="23"/>
        <v/>
      </c>
      <c r="E269" s="560"/>
      <c r="F269" s="559"/>
      <c r="G269" s="559" t="str">
        <f t="shared" si="24"/>
        <v/>
      </c>
      <c r="H269" s="559" t="str">
        <f t="shared" si="25"/>
        <v/>
      </c>
      <c r="I269" s="559" t="str">
        <f t="shared" si="26"/>
        <v/>
      </c>
    </row>
    <row r="270" spans="2:9">
      <c r="B270" s="555" t="str">
        <f t="shared" si="21"/>
        <v/>
      </c>
      <c r="C270" s="556" t="str">
        <f t="shared" si="22"/>
        <v/>
      </c>
      <c r="D270" s="557" t="str">
        <f t="shared" si="23"/>
        <v/>
      </c>
      <c r="E270" s="560"/>
      <c r="F270" s="559"/>
      <c r="G270" s="559" t="str">
        <f t="shared" si="24"/>
        <v/>
      </c>
      <c r="H270" s="559" t="str">
        <f t="shared" si="25"/>
        <v/>
      </c>
      <c r="I270" s="559" t="str">
        <f t="shared" si="26"/>
        <v/>
      </c>
    </row>
    <row r="271" spans="2:9">
      <c r="B271" s="555" t="str">
        <f t="shared" si="21"/>
        <v/>
      </c>
      <c r="C271" s="556" t="str">
        <f t="shared" si="22"/>
        <v/>
      </c>
      <c r="D271" s="557" t="str">
        <f t="shared" si="23"/>
        <v/>
      </c>
      <c r="E271" s="560"/>
      <c r="F271" s="559"/>
      <c r="G271" s="559" t="str">
        <f t="shared" si="24"/>
        <v/>
      </c>
      <c r="H271" s="559" t="str">
        <f t="shared" si="25"/>
        <v/>
      </c>
      <c r="I271" s="559" t="str">
        <f t="shared" si="26"/>
        <v/>
      </c>
    </row>
    <row r="272" spans="2:9">
      <c r="B272" s="555" t="str">
        <f t="shared" si="21"/>
        <v/>
      </c>
      <c r="C272" s="556" t="str">
        <f t="shared" si="22"/>
        <v/>
      </c>
      <c r="D272" s="557" t="str">
        <f t="shared" si="23"/>
        <v/>
      </c>
      <c r="E272" s="560"/>
      <c r="F272" s="559"/>
      <c r="G272" s="559" t="str">
        <f t="shared" si="24"/>
        <v/>
      </c>
      <c r="H272" s="559" t="str">
        <f t="shared" si="25"/>
        <v/>
      </c>
      <c r="I272" s="559" t="str">
        <f t="shared" si="26"/>
        <v/>
      </c>
    </row>
    <row r="273" spans="2:9">
      <c r="B273" s="555" t="str">
        <f t="shared" si="21"/>
        <v/>
      </c>
      <c r="C273" s="556" t="str">
        <f t="shared" si="22"/>
        <v/>
      </c>
      <c r="D273" s="557" t="str">
        <f t="shared" si="23"/>
        <v/>
      </c>
      <c r="E273" s="560"/>
      <c r="F273" s="559"/>
      <c r="G273" s="559" t="str">
        <f t="shared" si="24"/>
        <v/>
      </c>
      <c r="H273" s="559" t="str">
        <f t="shared" si="25"/>
        <v/>
      </c>
      <c r="I273" s="559" t="str">
        <f t="shared" si="26"/>
        <v/>
      </c>
    </row>
    <row r="274" spans="2:9">
      <c r="B274" s="555" t="str">
        <f t="shared" si="21"/>
        <v/>
      </c>
      <c r="C274" s="556" t="str">
        <f t="shared" si="22"/>
        <v/>
      </c>
      <c r="D274" s="557" t="str">
        <f t="shared" si="23"/>
        <v/>
      </c>
      <c r="E274" s="560"/>
      <c r="F274" s="559"/>
      <c r="G274" s="559" t="str">
        <f t="shared" si="24"/>
        <v/>
      </c>
      <c r="H274" s="559" t="str">
        <f t="shared" si="25"/>
        <v/>
      </c>
      <c r="I274" s="559" t="str">
        <f t="shared" si="26"/>
        <v/>
      </c>
    </row>
    <row r="275" spans="2:9">
      <c r="B275" s="555" t="str">
        <f t="shared" si="21"/>
        <v/>
      </c>
      <c r="C275" s="556" t="str">
        <f t="shared" si="22"/>
        <v/>
      </c>
      <c r="D275" s="557" t="str">
        <f t="shared" si="23"/>
        <v/>
      </c>
      <c r="E275" s="560"/>
      <c r="F275" s="559"/>
      <c r="G275" s="559" t="str">
        <f t="shared" si="24"/>
        <v/>
      </c>
      <c r="H275" s="559" t="str">
        <f t="shared" si="25"/>
        <v/>
      </c>
      <c r="I275" s="559" t="str">
        <f t="shared" si="26"/>
        <v/>
      </c>
    </row>
    <row r="276" spans="2:9">
      <c r="B276" s="555" t="str">
        <f t="shared" si="21"/>
        <v/>
      </c>
      <c r="C276" s="556" t="str">
        <f t="shared" si="22"/>
        <v/>
      </c>
      <c r="D276" s="557" t="str">
        <f t="shared" si="23"/>
        <v/>
      </c>
      <c r="E276" s="560"/>
      <c r="F276" s="559"/>
      <c r="G276" s="559" t="str">
        <f t="shared" si="24"/>
        <v/>
      </c>
      <c r="H276" s="559" t="str">
        <f t="shared" si="25"/>
        <v/>
      </c>
      <c r="I276" s="559" t="str">
        <f t="shared" si="26"/>
        <v/>
      </c>
    </row>
    <row r="277" spans="2:9">
      <c r="B277" s="555" t="str">
        <f t="shared" si="21"/>
        <v/>
      </c>
      <c r="C277" s="556" t="str">
        <f t="shared" si="22"/>
        <v/>
      </c>
      <c r="D277" s="557" t="str">
        <f t="shared" si="23"/>
        <v/>
      </c>
      <c r="E277" s="560"/>
      <c r="F277" s="559"/>
      <c r="G277" s="559" t="str">
        <f t="shared" si="24"/>
        <v/>
      </c>
      <c r="H277" s="559" t="str">
        <f t="shared" si="25"/>
        <v/>
      </c>
      <c r="I277" s="559" t="str">
        <f t="shared" si="26"/>
        <v/>
      </c>
    </row>
    <row r="278" spans="2:9">
      <c r="B278" s="555" t="str">
        <f t="shared" si="21"/>
        <v/>
      </c>
      <c r="C278" s="556" t="str">
        <f t="shared" si="22"/>
        <v/>
      </c>
      <c r="D278" s="557" t="str">
        <f t="shared" si="23"/>
        <v/>
      </c>
      <c r="E278" s="560"/>
      <c r="F278" s="559"/>
      <c r="G278" s="559" t="str">
        <f t="shared" si="24"/>
        <v/>
      </c>
      <c r="H278" s="559" t="str">
        <f t="shared" si="25"/>
        <v/>
      </c>
      <c r="I278" s="559" t="str">
        <f t="shared" si="26"/>
        <v/>
      </c>
    </row>
    <row r="279" spans="2:9">
      <c r="B279" s="555" t="str">
        <f t="shared" si="21"/>
        <v/>
      </c>
      <c r="C279" s="556" t="str">
        <f t="shared" si="22"/>
        <v/>
      </c>
      <c r="D279" s="557" t="str">
        <f t="shared" si="23"/>
        <v/>
      </c>
      <c r="E279" s="560"/>
      <c r="F279" s="559"/>
      <c r="G279" s="559" t="str">
        <f t="shared" si="24"/>
        <v/>
      </c>
      <c r="H279" s="559" t="str">
        <f t="shared" si="25"/>
        <v/>
      </c>
      <c r="I279" s="559" t="str">
        <f t="shared" si="26"/>
        <v/>
      </c>
    </row>
    <row r="280" spans="2:9">
      <c r="B280" s="555" t="str">
        <f t="shared" si="21"/>
        <v/>
      </c>
      <c r="C280" s="556" t="str">
        <f t="shared" si="22"/>
        <v/>
      </c>
      <c r="D280" s="557" t="str">
        <f t="shared" si="23"/>
        <v/>
      </c>
      <c r="E280" s="560"/>
      <c r="F280" s="559"/>
      <c r="G280" s="559" t="str">
        <f t="shared" si="24"/>
        <v/>
      </c>
      <c r="H280" s="559" t="str">
        <f t="shared" si="25"/>
        <v/>
      </c>
      <c r="I280" s="559" t="str">
        <f t="shared" si="26"/>
        <v/>
      </c>
    </row>
    <row r="281" spans="2:9">
      <c r="B281" s="555" t="str">
        <f t="shared" si="21"/>
        <v/>
      </c>
      <c r="C281" s="556" t="str">
        <f t="shared" si="22"/>
        <v/>
      </c>
      <c r="D281" s="557" t="str">
        <f t="shared" si="23"/>
        <v/>
      </c>
      <c r="E281" s="560"/>
      <c r="F281" s="559"/>
      <c r="G281" s="559" t="str">
        <f t="shared" si="24"/>
        <v/>
      </c>
      <c r="H281" s="559" t="str">
        <f t="shared" si="25"/>
        <v/>
      </c>
      <c r="I281" s="559" t="str">
        <f t="shared" si="26"/>
        <v/>
      </c>
    </row>
    <row r="282" spans="2:9">
      <c r="B282" s="555" t="str">
        <f t="shared" si="21"/>
        <v/>
      </c>
      <c r="C282" s="556" t="str">
        <f t="shared" si="22"/>
        <v/>
      </c>
      <c r="D282" s="557" t="str">
        <f t="shared" si="23"/>
        <v/>
      </c>
      <c r="E282" s="560"/>
      <c r="F282" s="559"/>
      <c r="G282" s="559" t="str">
        <f t="shared" si="24"/>
        <v/>
      </c>
      <c r="H282" s="559" t="str">
        <f t="shared" si="25"/>
        <v/>
      </c>
      <c r="I282" s="559" t="str">
        <f t="shared" si="26"/>
        <v/>
      </c>
    </row>
    <row r="283" spans="2:9">
      <c r="B283" s="555" t="str">
        <f t="shared" si="21"/>
        <v/>
      </c>
      <c r="C283" s="556" t="str">
        <f t="shared" si="22"/>
        <v/>
      </c>
      <c r="D283" s="557" t="str">
        <f t="shared" si="23"/>
        <v/>
      </c>
      <c r="E283" s="560"/>
      <c r="F283" s="559"/>
      <c r="G283" s="559" t="str">
        <f t="shared" si="24"/>
        <v/>
      </c>
      <c r="H283" s="559" t="str">
        <f t="shared" si="25"/>
        <v/>
      </c>
      <c r="I283" s="559" t="str">
        <f t="shared" si="26"/>
        <v/>
      </c>
    </row>
    <row r="284" spans="2:9">
      <c r="B284" s="555" t="str">
        <f t="shared" si="21"/>
        <v/>
      </c>
      <c r="C284" s="556" t="str">
        <f t="shared" si="22"/>
        <v/>
      </c>
      <c r="D284" s="557" t="str">
        <f t="shared" si="23"/>
        <v/>
      </c>
      <c r="E284" s="560"/>
      <c r="F284" s="559"/>
      <c r="G284" s="559" t="str">
        <f t="shared" si="24"/>
        <v/>
      </c>
      <c r="H284" s="559" t="str">
        <f t="shared" si="25"/>
        <v/>
      </c>
      <c r="I284" s="559" t="str">
        <f t="shared" si="26"/>
        <v/>
      </c>
    </row>
    <row r="285" spans="2:9">
      <c r="B285" s="555" t="str">
        <f t="shared" si="21"/>
        <v/>
      </c>
      <c r="C285" s="556" t="str">
        <f t="shared" si="22"/>
        <v/>
      </c>
      <c r="D285" s="557" t="str">
        <f t="shared" si="23"/>
        <v/>
      </c>
      <c r="E285" s="560"/>
      <c r="F285" s="559"/>
      <c r="G285" s="559" t="str">
        <f t="shared" si="24"/>
        <v/>
      </c>
      <c r="H285" s="559" t="str">
        <f t="shared" si="25"/>
        <v/>
      </c>
      <c r="I285" s="559" t="str">
        <f t="shared" si="26"/>
        <v/>
      </c>
    </row>
    <row r="286" spans="2:9">
      <c r="B286" s="555" t="str">
        <f t="shared" si="21"/>
        <v/>
      </c>
      <c r="C286" s="556" t="str">
        <f t="shared" si="22"/>
        <v/>
      </c>
      <c r="D286" s="557" t="str">
        <f t="shared" si="23"/>
        <v/>
      </c>
      <c r="E286" s="560"/>
      <c r="F286" s="559"/>
      <c r="G286" s="559" t="str">
        <f t="shared" si="24"/>
        <v/>
      </c>
      <c r="H286" s="559" t="str">
        <f t="shared" si="25"/>
        <v/>
      </c>
      <c r="I286" s="559" t="str">
        <f t="shared" si="26"/>
        <v/>
      </c>
    </row>
    <row r="287" spans="2:9">
      <c r="B287" s="555" t="str">
        <f t="shared" si="21"/>
        <v/>
      </c>
      <c r="C287" s="556" t="str">
        <f t="shared" si="22"/>
        <v/>
      </c>
      <c r="D287" s="557" t="str">
        <f t="shared" si="23"/>
        <v/>
      </c>
      <c r="E287" s="560"/>
      <c r="F287" s="559"/>
      <c r="G287" s="559" t="str">
        <f t="shared" si="24"/>
        <v/>
      </c>
      <c r="H287" s="559" t="str">
        <f t="shared" si="25"/>
        <v/>
      </c>
      <c r="I287" s="559" t="str">
        <f t="shared" si="26"/>
        <v/>
      </c>
    </row>
    <row r="288" spans="2:9">
      <c r="B288" s="555" t="str">
        <f t="shared" si="21"/>
        <v/>
      </c>
      <c r="C288" s="556" t="str">
        <f t="shared" si="22"/>
        <v/>
      </c>
      <c r="D288" s="557" t="str">
        <f t="shared" si="23"/>
        <v/>
      </c>
      <c r="E288" s="560"/>
      <c r="F288" s="559"/>
      <c r="G288" s="559" t="str">
        <f t="shared" si="24"/>
        <v/>
      </c>
      <c r="H288" s="559" t="str">
        <f t="shared" si="25"/>
        <v/>
      </c>
      <c r="I288" s="559" t="str">
        <f t="shared" si="26"/>
        <v/>
      </c>
    </row>
    <row r="289" spans="2:9">
      <c r="B289" s="555" t="str">
        <f t="shared" si="21"/>
        <v/>
      </c>
      <c r="C289" s="556" t="str">
        <f t="shared" si="22"/>
        <v/>
      </c>
      <c r="D289" s="557" t="str">
        <f t="shared" si="23"/>
        <v/>
      </c>
      <c r="E289" s="560"/>
      <c r="F289" s="559"/>
      <c r="G289" s="559" t="str">
        <f t="shared" si="24"/>
        <v/>
      </c>
      <c r="H289" s="559" t="str">
        <f t="shared" si="25"/>
        <v/>
      </c>
      <c r="I289" s="559" t="str">
        <f t="shared" si="26"/>
        <v/>
      </c>
    </row>
    <row r="290" spans="2:9">
      <c r="B290" s="555" t="str">
        <f t="shared" si="21"/>
        <v/>
      </c>
      <c r="C290" s="556" t="str">
        <f t="shared" si="22"/>
        <v/>
      </c>
      <c r="D290" s="557" t="str">
        <f t="shared" si="23"/>
        <v/>
      </c>
      <c r="E290" s="560"/>
      <c r="F290" s="559"/>
      <c r="G290" s="559" t="str">
        <f t="shared" si="24"/>
        <v/>
      </c>
      <c r="H290" s="559" t="str">
        <f t="shared" si="25"/>
        <v/>
      </c>
      <c r="I290" s="559" t="str">
        <f t="shared" si="26"/>
        <v/>
      </c>
    </row>
    <row r="291" spans="2:9">
      <c r="B291" s="555" t="str">
        <f t="shared" si="21"/>
        <v/>
      </c>
      <c r="C291" s="556" t="str">
        <f t="shared" si="22"/>
        <v/>
      </c>
      <c r="D291" s="557" t="str">
        <f t="shared" si="23"/>
        <v/>
      </c>
      <c r="E291" s="560"/>
      <c r="F291" s="559"/>
      <c r="G291" s="559" t="str">
        <f t="shared" si="24"/>
        <v/>
      </c>
      <c r="H291" s="559" t="str">
        <f t="shared" si="25"/>
        <v/>
      </c>
      <c r="I291" s="559" t="str">
        <f t="shared" si="26"/>
        <v/>
      </c>
    </row>
    <row r="292" spans="2:9">
      <c r="B292" s="555" t="str">
        <f t="shared" si="21"/>
        <v/>
      </c>
      <c r="C292" s="556" t="str">
        <f t="shared" si="22"/>
        <v/>
      </c>
      <c r="D292" s="557" t="str">
        <f t="shared" si="23"/>
        <v/>
      </c>
      <c r="E292" s="560"/>
      <c r="F292" s="559"/>
      <c r="G292" s="559" t="str">
        <f t="shared" si="24"/>
        <v/>
      </c>
      <c r="H292" s="559" t="str">
        <f t="shared" si="25"/>
        <v/>
      </c>
      <c r="I292" s="559" t="str">
        <f t="shared" si="26"/>
        <v/>
      </c>
    </row>
    <row r="293" spans="2:9">
      <c r="B293" s="555" t="str">
        <f t="shared" si="21"/>
        <v/>
      </c>
      <c r="C293" s="556" t="str">
        <f t="shared" si="22"/>
        <v/>
      </c>
      <c r="D293" s="557" t="str">
        <f t="shared" si="23"/>
        <v/>
      </c>
      <c r="E293" s="560"/>
      <c r="F293" s="559"/>
      <c r="G293" s="559" t="str">
        <f t="shared" si="24"/>
        <v/>
      </c>
      <c r="H293" s="559" t="str">
        <f t="shared" si="25"/>
        <v/>
      </c>
      <c r="I293" s="559" t="str">
        <f t="shared" si="26"/>
        <v/>
      </c>
    </row>
    <row r="294" spans="2:9">
      <c r="B294" s="555" t="str">
        <f t="shared" si="21"/>
        <v/>
      </c>
      <c r="C294" s="556" t="str">
        <f t="shared" si="22"/>
        <v/>
      </c>
      <c r="D294" s="557" t="str">
        <f t="shared" si="23"/>
        <v/>
      </c>
      <c r="E294" s="560"/>
      <c r="F294" s="559"/>
      <c r="G294" s="559" t="str">
        <f t="shared" si="24"/>
        <v/>
      </c>
      <c r="H294" s="559" t="str">
        <f t="shared" si="25"/>
        <v/>
      </c>
      <c r="I294" s="559" t="str">
        <f t="shared" si="26"/>
        <v/>
      </c>
    </row>
    <row r="295" spans="2:9">
      <c r="B295" s="555" t="str">
        <f t="shared" si="21"/>
        <v/>
      </c>
      <c r="C295" s="556" t="str">
        <f t="shared" si="22"/>
        <v/>
      </c>
      <c r="D295" s="557" t="str">
        <f t="shared" si="23"/>
        <v/>
      </c>
      <c r="E295" s="560"/>
      <c r="F295" s="559"/>
      <c r="G295" s="559" t="str">
        <f t="shared" si="24"/>
        <v/>
      </c>
      <c r="H295" s="559" t="str">
        <f t="shared" si="25"/>
        <v/>
      </c>
      <c r="I295" s="559" t="str">
        <f t="shared" si="26"/>
        <v/>
      </c>
    </row>
    <row r="296" spans="2:9">
      <c r="B296" s="555" t="str">
        <f t="shared" si="21"/>
        <v/>
      </c>
      <c r="C296" s="556" t="str">
        <f t="shared" si="22"/>
        <v/>
      </c>
      <c r="D296" s="557" t="str">
        <f t="shared" si="23"/>
        <v/>
      </c>
      <c r="E296" s="560"/>
      <c r="F296" s="559"/>
      <c r="G296" s="559" t="str">
        <f t="shared" si="24"/>
        <v/>
      </c>
      <c r="H296" s="559" t="str">
        <f t="shared" si="25"/>
        <v/>
      </c>
      <c r="I296" s="559" t="str">
        <f t="shared" si="26"/>
        <v/>
      </c>
    </row>
    <row r="297" spans="2:9">
      <c r="B297" s="555" t="str">
        <f t="shared" si="21"/>
        <v/>
      </c>
      <c r="C297" s="556" t="str">
        <f t="shared" si="22"/>
        <v/>
      </c>
      <c r="D297" s="557" t="str">
        <f t="shared" si="23"/>
        <v/>
      </c>
      <c r="E297" s="560"/>
      <c r="F297" s="559"/>
      <c r="G297" s="559" t="str">
        <f t="shared" si="24"/>
        <v/>
      </c>
      <c r="H297" s="559" t="str">
        <f t="shared" si="25"/>
        <v/>
      </c>
      <c r="I297" s="559" t="str">
        <f t="shared" si="26"/>
        <v/>
      </c>
    </row>
    <row r="298" spans="2:9">
      <c r="B298" s="555" t="str">
        <f t="shared" si="21"/>
        <v/>
      </c>
      <c r="C298" s="556" t="str">
        <f t="shared" si="22"/>
        <v/>
      </c>
      <c r="D298" s="557" t="str">
        <f t="shared" si="23"/>
        <v/>
      </c>
      <c r="E298" s="560"/>
      <c r="F298" s="559"/>
      <c r="G298" s="559" t="str">
        <f t="shared" si="24"/>
        <v/>
      </c>
      <c r="H298" s="559" t="str">
        <f t="shared" si="25"/>
        <v/>
      </c>
      <c r="I298" s="559" t="str">
        <f t="shared" si="26"/>
        <v/>
      </c>
    </row>
    <row r="299" spans="2:9">
      <c r="B299" s="555" t="str">
        <f t="shared" si="21"/>
        <v/>
      </c>
      <c r="C299" s="556" t="str">
        <f t="shared" si="22"/>
        <v/>
      </c>
      <c r="D299" s="557" t="str">
        <f t="shared" si="23"/>
        <v/>
      </c>
      <c r="E299" s="560"/>
      <c r="F299" s="559"/>
      <c r="G299" s="559" t="str">
        <f t="shared" si="24"/>
        <v/>
      </c>
      <c r="H299" s="559" t="str">
        <f t="shared" si="25"/>
        <v/>
      </c>
      <c r="I299" s="559" t="str">
        <f t="shared" si="26"/>
        <v/>
      </c>
    </row>
    <row r="300" spans="2:9">
      <c r="B300" s="555" t="str">
        <f t="shared" si="21"/>
        <v/>
      </c>
      <c r="C300" s="556" t="str">
        <f t="shared" si="22"/>
        <v/>
      </c>
      <c r="D300" s="557" t="str">
        <f t="shared" si="23"/>
        <v/>
      </c>
      <c r="E300" s="560"/>
      <c r="F300" s="559"/>
      <c r="G300" s="559" t="str">
        <f t="shared" si="24"/>
        <v/>
      </c>
      <c r="H300" s="559" t="str">
        <f t="shared" si="25"/>
        <v/>
      </c>
      <c r="I300" s="559" t="str">
        <f t="shared" si="26"/>
        <v/>
      </c>
    </row>
    <row r="301" spans="2:9">
      <c r="B301" s="555" t="str">
        <f t="shared" si="21"/>
        <v/>
      </c>
      <c r="C301" s="556" t="str">
        <f t="shared" si="22"/>
        <v/>
      </c>
      <c r="D301" s="557" t="str">
        <f t="shared" si="23"/>
        <v/>
      </c>
      <c r="E301" s="560"/>
      <c r="F301" s="559"/>
      <c r="G301" s="559" t="str">
        <f t="shared" si="24"/>
        <v/>
      </c>
      <c r="H301" s="559" t="str">
        <f t="shared" si="25"/>
        <v/>
      </c>
      <c r="I301" s="559" t="str">
        <f t="shared" si="26"/>
        <v/>
      </c>
    </row>
    <row r="302" spans="2:9">
      <c r="B302" s="555" t="str">
        <f t="shared" si="21"/>
        <v/>
      </c>
      <c r="C302" s="556" t="str">
        <f t="shared" si="22"/>
        <v/>
      </c>
      <c r="D302" s="557" t="str">
        <f t="shared" si="23"/>
        <v/>
      </c>
      <c r="E302" s="560"/>
      <c r="F302" s="559"/>
      <c r="G302" s="559" t="str">
        <f t="shared" si="24"/>
        <v/>
      </c>
      <c r="H302" s="559" t="str">
        <f t="shared" si="25"/>
        <v/>
      </c>
      <c r="I302" s="559" t="str">
        <f t="shared" si="26"/>
        <v/>
      </c>
    </row>
    <row r="303" spans="2:9">
      <c r="B303" s="555" t="str">
        <f t="shared" si="21"/>
        <v/>
      </c>
      <c r="C303" s="556" t="str">
        <f t="shared" si="22"/>
        <v/>
      </c>
      <c r="D303" s="557" t="str">
        <f t="shared" si="23"/>
        <v/>
      </c>
      <c r="E303" s="560"/>
      <c r="F303" s="559"/>
      <c r="G303" s="559" t="str">
        <f t="shared" si="24"/>
        <v/>
      </c>
      <c r="H303" s="559" t="str">
        <f t="shared" si="25"/>
        <v/>
      </c>
      <c r="I303" s="559" t="str">
        <f t="shared" si="26"/>
        <v/>
      </c>
    </row>
    <row r="304" spans="2:9">
      <c r="B304" s="555" t="str">
        <f t="shared" si="21"/>
        <v/>
      </c>
      <c r="C304" s="556" t="str">
        <f t="shared" si="22"/>
        <v/>
      </c>
      <c r="D304" s="557" t="str">
        <f t="shared" si="23"/>
        <v/>
      </c>
      <c r="E304" s="560"/>
      <c r="F304" s="559"/>
      <c r="G304" s="559" t="str">
        <f t="shared" si="24"/>
        <v/>
      </c>
      <c r="H304" s="559" t="str">
        <f t="shared" si="25"/>
        <v/>
      </c>
      <c r="I304" s="559" t="str">
        <f t="shared" si="26"/>
        <v/>
      </c>
    </row>
    <row r="305" spans="2:9">
      <c r="B305" s="555" t="str">
        <f t="shared" si="21"/>
        <v/>
      </c>
      <c r="C305" s="556" t="str">
        <f t="shared" si="22"/>
        <v/>
      </c>
      <c r="D305" s="557" t="str">
        <f t="shared" si="23"/>
        <v/>
      </c>
      <c r="E305" s="560"/>
      <c r="F305" s="559"/>
      <c r="G305" s="559" t="str">
        <f t="shared" si="24"/>
        <v/>
      </c>
      <c r="H305" s="559" t="str">
        <f t="shared" si="25"/>
        <v/>
      </c>
      <c r="I305" s="559" t="str">
        <f t="shared" si="26"/>
        <v/>
      </c>
    </row>
    <row r="306" spans="2:9">
      <c r="B306" s="555" t="str">
        <f t="shared" si="21"/>
        <v/>
      </c>
      <c r="C306" s="556" t="str">
        <f t="shared" si="22"/>
        <v/>
      </c>
      <c r="D306" s="557" t="str">
        <f t="shared" si="23"/>
        <v/>
      </c>
      <c r="E306" s="560"/>
      <c r="F306" s="559"/>
      <c r="G306" s="559" t="str">
        <f t="shared" si="24"/>
        <v/>
      </c>
      <c r="H306" s="559" t="str">
        <f t="shared" si="25"/>
        <v/>
      </c>
      <c r="I306" s="559" t="str">
        <f t="shared" si="26"/>
        <v/>
      </c>
    </row>
    <row r="307" spans="2:9">
      <c r="B307" s="555" t="str">
        <f t="shared" si="21"/>
        <v/>
      </c>
      <c r="C307" s="556" t="str">
        <f t="shared" si="22"/>
        <v/>
      </c>
      <c r="D307" s="557" t="str">
        <f t="shared" si="23"/>
        <v/>
      </c>
      <c r="E307" s="560"/>
      <c r="F307" s="559"/>
      <c r="G307" s="559" t="str">
        <f t="shared" si="24"/>
        <v/>
      </c>
      <c r="H307" s="559" t="str">
        <f t="shared" si="25"/>
        <v/>
      </c>
      <c r="I307" s="559" t="str">
        <f t="shared" si="26"/>
        <v/>
      </c>
    </row>
    <row r="308" spans="2:9">
      <c r="B308" s="555" t="str">
        <f t="shared" si="21"/>
        <v/>
      </c>
      <c r="C308" s="556" t="str">
        <f t="shared" si="22"/>
        <v/>
      </c>
      <c r="D308" s="557" t="str">
        <f t="shared" si="23"/>
        <v/>
      </c>
      <c r="E308" s="560"/>
      <c r="F308" s="559"/>
      <c r="G308" s="559" t="str">
        <f t="shared" si="24"/>
        <v/>
      </c>
      <c r="H308" s="559" t="str">
        <f t="shared" si="25"/>
        <v/>
      </c>
      <c r="I308" s="559" t="str">
        <f t="shared" si="26"/>
        <v/>
      </c>
    </row>
    <row r="309" spans="2:9">
      <c r="B309" s="555" t="str">
        <f t="shared" si="21"/>
        <v/>
      </c>
      <c r="C309" s="556" t="str">
        <f t="shared" si="22"/>
        <v/>
      </c>
      <c r="D309" s="557" t="str">
        <f t="shared" si="23"/>
        <v/>
      </c>
      <c r="E309" s="560"/>
      <c r="F309" s="559"/>
      <c r="G309" s="559" t="str">
        <f t="shared" si="24"/>
        <v/>
      </c>
      <c r="H309" s="559" t="str">
        <f t="shared" si="25"/>
        <v/>
      </c>
      <c r="I309" s="559" t="str">
        <f t="shared" si="26"/>
        <v/>
      </c>
    </row>
    <row r="310" spans="2:9">
      <c r="B310" s="555" t="str">
        <f t="shared" si="21"/>
        <v/>
      </c>
      <c r="C310" s="556" t="str">
        <f t="shared" si="22"/>
        <v/>
      </c>
      <c r="D310" s="557" t="str">
        <f t="shared" si="23"/>
        <v/>
      </c>
      <c r="E310" s="560"/>
      <c r="F310" s="559"/>
      <c r="G310" s="559" t="str">
        <f t="shared" si="24"/>
        <v/>
      </c>
      <c r="H310" s="559" t="str">
        <f t="shared" si="25"/>
        <v/>
      </c>
      <c r="I310" s="559" t="str">
        <f t="shared" si="26"/>
        <v/>
      </c>
    </row>
    <row r="311" spans="2:9">
      <c r="B311" s="555" t="str">
        <f t="shared" si="21"/>
        <v/>
      </c>
      <c r="C311" s="556" t="str">
        <f t="shared" si="22"/>
        <v/>
      </c>
      <c r="D311" s="557" t="str">
        <f t="shared" si="23"/>
        <v/>
      </c>
      <c r="E311" s="560"/>
      <c r="F311" s="559"/>
      <c r="G311" s="559" t="str">
        <f t="shared" si="24"/>
        <v/>
      </c>
      <c r="H311" s="559" t="str">
        <f t="shared" si="25"/>
        <v/>
      </c>
      <c r="I311" s="559" t="str">
        <f t="shared" si="26"/>
        <v/>
      </c>
    </row>
    <row r="312" spans="2:9">
      <c r="B312" s="555" t="str">
        <f t="shared" si="21"/>
        <v/>
      </c>
      <c r="C312" s="556" t="str">
        <f t="shared" si="22"/>
        <v/>
      </c>
      <c r="D312" s="557" t="str">
        <f t="shared" si="23"/>
        <v/>
      </c>
      <c r="E312" s="560"/>
      <c r="F312" s="559"/>
      <c r="G312" s="559" t="str">
        <f t="shared" si="24"/>
        <v/>
      </c>
      <c r="H312" s="559" t="str">
        <f t="shared" si="25"/>
        <v/>
      </c>
      <c r="I312" s="559" t="str">
        <f t="shared" si="26"/>
        <v/>
      </c>
    </row>
    <row r="313" spans="2:9">
      <c r="B313" s="555" t="str">
        <f t="shared" si="21"/>
        <v/>
      </c>
      <c r="C313" s="556" t="str">
        <f t="shared" si="22"/>
        <v/>
      </c>
      <c r="D313" s="557" t="str">
        <f t="shared" si="23"/>
        <v/>
      </c>
      <c r="E313" s="560"/>
      <c r="F313" s="559"/>
      <c r="G313" s="559" t="str">
        <f t="shared" si="24"/>
        <v/>
      </c>
      <c r="H313" s="559" t="str">
        <f t="shared" si="25"/>
        <v/>
      </c>
      <c r="I313" s="559" t="str">
        <f t="shared" si="26"/>
        <v/>
      </c>
    </row>
    <row r="314" spans="2:9">
      <c r="B314" s="555" t="str">
        <f t="shared" si="21"/>
        <v/>
      </c>
      <c r="C314" s="556" t="str">
        <f t="shared" si="22"/>
        <v/>
      </c>
      <c r="D314" s="557" t="str">
        <f t="shared" si="23"/>
        <v/>
      </c>
      <c r="E314" s="560"/>
      <c r="F314" s="559"/>
      <c r="G314" s="559" t="str">
        <f t="shared" si="24"/>
        <v/>
      </c>
      <c r="H314" s="559" t="str">
        <f t="shared" si="25"/>
        <v/>
      </c>
      <c r="I314" s="559" t="str">
        <f t="shared" si="26"/>
        <v/>
      </c>
    </row>
    <row r="315" spans="2:9">
      <c r="B315" s="555" t="str">
        <f t="shared" si="21"/>
        <v/>
      </c>
      <c r="C315" s="556" t="str">
        <f t="shared" si="22"/>
        <v/>
      </c>
      <c r="D315" s="557" t="str">
        <f t="shared" si="23"/>
        <v/>
      </c>
      <c r="E315" s="560"/>
      <c r="F315" s="559"/>
      <c r="G315" s="559" t="str">
        <f t="shared" si="24"/>
        <v/>
      </c>
      <c r="H315" s="559" t="str">
        <f t="shared" si="25"/>
        <v/>
      </c>
      <c r="I315" s="559" t="str">
        <f t="shared" si="26"/>
        <v/>
      </c>
    </row>
    <row r="316" spans="2:9">
      <c r="B316" s="555" t="str">
        <f t="shared" si="21"/>
        <v/>
      </c>
      <c r="C316" s="556" t="str">
        <f t="shared" si="22"/>
        <v/>
      </c>
      <c r="D316" s="557" t="str">
        <f t="shared" si="23"/>
        <v/>
      </c>
      <c r="E316" s="560"/>
      <c r="F316" s="559"/>
      <c r="G316" s="559" t="str">
        <f t="shared" si="24"/>
        <v/>
      </c>
      <c r="H316" s="559" t="str">
        <f t="shared" si="25"/>
        <v/>
      </c>
      <c r="I316" s="559" t="str">
        <f t="shared" si="26"/>
        <v/>
      </c>
    </row>
    <row r="317" spans="2:9">
      <c r="B317" s="555" t="str">
        <f t="shared" ref="B317:B380" si="27">IF(I316="","",IF(roundOpt,IF(OR(B316&gt;=nper,ROUND(I316,2)&lt;=0),"",B316+1),IF(OR(B316&gt;=nper,I316&lt;=0),"",B316+1)))</f>
        <v/>
      </c>
      <c r="C317" s="556" t="str">
        <f t="shared" ref="C317:C380" si="28">IF(B317="","",IF(OR(periods_per_year=26,periods_per_year=52),IF(periods_per_year=26,IF(B317=1,fpdate,C316+14),IF(periods_per_year=52,IF(B317=1,fpdate,C316+7),"n/a")),IF(periods_per_year=24,DATE(YEAR(fpdate),MONTH(fpdate)+(B317-1)/2+IF(AND(DAY(fpdate)&gt;=15,MOD(B317,2)=0),1,0),IF(MOD(B317,2)=0,IF(DAY(fpdate)&gt;=15,DAY(fpdate)-14,DAY(fpdate)+14),DAY(fpdate))),IF(DAY(DATE(YEAR(fpdate),MONTH(fpdate)+(B317-1)*months_per_period,DAY(fpdate)))&lt;&gt;DAY(fpdate),DATE(YEAR(fpdate),MONTH(fpdate)+(B317-1)*months_per_period+1,0),DATE(YEAR(fpdate),MONTH(fpdate)+(B317-1)*months_per_period,DAY(fpdate))))))</f>
        <v/>
      </c>
      <c r="D317" s="557" t="str">
        <f t="shared" ref="D317:D380" si="29">IF(B317="","",IF(roundOpt,IF(OR(B317=nper,payment&gt;ROUND((1+rate)*I316,2)),ROUND((1+rate)*I316,2),payment),IF(OR(B317=nper,payment&gt;(1+rate)*I316),(1+rate)*I316,payment)))</f>
        <v/>
      </c>
      <c r="E317" s="560"/>
      <c r="F317" s="559"/>
      <c r="G317" s="559" t="str">
        <f t="shared" ref="G317:G380" si="30">IF(B317="","",IF(AND(B317=1,pmtType=1),0,IF(roundOpt,ROUND(rate*I316,2),rate*I316)))</f>
        <v/>
      </c>
      <c r="H317" s="559" t="str">
        <f t="shared" ref="H317:H380" si="31">IF(B317="","",D317-G317+E317)</f>
        <v/>
      </c>
      <c r="I317" s="559" t="str">
        <f t="shared" ref="I317:I380" si="32">IF(B317="","",I316-H317)</f>
        <v/>
      </c>
    </row>
    <row r="318" spans="2:9">
      <c r="B318" s="555" t="str">
        <f t="shared" si="27"/>
        <v/>
      </c>
      <c r="C318" s="556" t="str">
        <f t="shared" si="28"/>
        <v/>
      </c>
      <c r="D318" s="557" t="str">
        <f t="shared" si="29"/>
        <v/>
      </c>
      <c r="E318" s="560"/>
      <c r="F318" s="559"/>
      <c r="G318" s="559" t="str">
        <f t="shared" si="30"/>
        <v/>
      </c>
      <c r="H318" s="559" t="str">
        <f t="shared" si="31"/>
        <v/>
      </c>
      <c r="I318" s="559" t="str">
        <f t="shared" si="32"/>
        <v/>
      </c>
    </row>
    <row r="319" spans="2:9">
      <c r="B319" s="555" t="str">
        <f t="shared" si="27"/>
        <v/>
      </c>
      <c r="C319" s="556" t="str">
        <f t="shared" si="28"/>
        <v/>
      </c>
      <c r="D319" s="557" t="str">
        <f t="shared" si="29"/>
        <v/>
      </c>
      <c r="E319" s="560"/>
      <c r="F319" s="559"/>
      <c r="G319" s="559" t="str">
        <f t="shared" si="30"/>
        <v/>
      </c>
      <c r="H319" s="559" t="str">
        <f t="shared" si="31"/>
        <v/>
      </c>
      <c r="I319" s="559" t="str">
        <f t="shared" si="32"/>
        <v/>
      </c>
    </row>
    <row r="320" spans="2:9">
      <c r="B320" s="555" t="str">
        <f t="shared" si="27"/>
        <v/>
      </c>
      <c r="C320" s="556" t="str">
        <f t="shared" si="28"/>
        <v/>
      </c>
      <c r="D320" s="557" t="str">
        <f t="shared" si="29"/>
        <v/>
      </c>
      <c r="E320" s="560"/>
      <c r="F320" s="559"/>
      <c r="G320" s="559" t="str">
        <f t="shared" si="30"/>
        <v/>
      </c>
      <c r="H320" s="559" t="str">
        <f t="shared" si="31"/>
        <v/>
      </c>
      <c r="I320" s="559" t="str">
        <f t="shared" si="32"/>
        <v/>
      </c>
    </row>
    <row r="321" spans="2:9">
      <c r="B321" s="555" t="str">
        <f t="shared" si="27"/>
        <v/>
      </c>
      <c r="C321" s="556" t="str">
        <f t="shared" si="28"/>
        <v/>
      </c>
      <c r="D321" s="557" t="str">
        <f t="shared" si="29"/>
        <v/>
      </c>
      <c r="E321" s="560"/>
      <c r="F321" s="559"/>
      <c r="G321" s="559" t="str">
        <f t="shared" si="30"/>
        <v/>
      </c>
      <c r="H321" s="559" t="str">
        <f t="shared" si="31"/>
        <v/>
      </c>
      <c r="I321" s="559" t="str">
        <f t="shared" si="32"/>
        <v/>
      </c>
    </row>
    <row r="322" spans="2:9">
      <c r="B322" s="555" t="str">
        <f t="shared" si="27"/>
        <v/>
      </c>
      <c r="C322" s="556" t="str">
        <f t="shared" si="28"/>
        <v/>
      </c>
      <c r="D322" s="557" t="str">
        <f t="shared" si="29"/>
        <v/>
      </c>
      <c r="E322" s="560"/>
      <c r="F322" s="559"/>
      <c r="G322" s="559" t="str">
        <f t="shared" si="30"/>
        <v/>
      </c>
      <c r="H322" s="559" t="str">
        <f t="shared" si="31"/>
        <v/>
      </c>
      <c r="I322" s="559" t="str">
        <f t="shared" si="32"/>
        <v/>
      </c>
    </row>
    <row r="323" spans="2:9">
      <c r="B323" s="555" t="str">
        <f t="shared" si="27"/>
        <v/>
      </c>
      <c r="C323" s="556" t="str">
        <f t="shared" si="28"/>
        <v/>
      </c>
      <c r="D323" s="557" t="str">
        <f t="shared" si="29"/>
        <v/>
      </c>
      <c r="E323" s="560"/>
      <c r="F323" s="559"/>
      <c r="G323" s="559" t="str">
        <f t="shared" si="30"/>
        <v/>
      </c>
      <c r="H323" s="559" t="str">
        <f t="shared" si="31"/>
        <v/>
      </c>
      <c r="I323" s="559" t="str">
        <f t="shared" si="32"/>
        <v/>
      </c>
    </row>
    <row r="324" spans="2:9">
      <c r="B324" s="555" t="str">
        <f t="shared" si="27"/>
        <v/>
      </c>
      <c r="C324" s="556" t="str">
        <f t="shared" si="28"/>
        <v/>
      </c>
      <c r="D324" s="557" t="str">
        <f t="shared" si="29"/>
        <v/>
      </c>
      <c r="E324" s="560"/>
      <c r="F324" s="559"/>
      <c r="G324" s="559" t="str">
        <f t="shared" si="30"/>
        <v/>
      </c>
      <c r="H324" s="559" t="str">
        <f t="shared" si="31"/>
        <v/>
      </c>
      <c r="I324" s="559" t="str">
        <f t="shared" si="32"/>
        <v/>
      </c>
    </row>
    <row r="325" spans="2:9">
      <c r="B325" s="555" t="str">
        <f t="shared" si="27"/>
        <v/>
      </c>
      <c r="C325" s="556" t="str">
        <f t="shared" si="28"/>
        <v/>
      </c>
      <c r="D325" s="557" t="str">
        <f t="shared" si="29"/>
        <v/>
      </c>
      <c r="E325" s="560"/>
      <c r="F325" s="559"/>
      <c r="G325" s="559" t="str">
        <f t="shared" si="30"/>
        <v/>
      </c>
      <c r="H325" s="559" t="str">
        <f t="shared" si="31"/>
        <v/>
      </c>
      <c r="I325" s="559" t="str">
        <f t="shared" si="32"/>
        <v/>
      </c>
    </row>
    <row r="326" spans="2:9">
      <c r="B326" s="555" t="str">
        <f t="shared" si="27"/>
        <v/>
      </c>
      <c r="C326" s="556" t="str">
        <f t="shared" si="28"/>
        <v/>
      </c>
      <c r="D326" s="557" t="str">
        <f t="shared" si="29"/>
        <v/>
      </c>
      <c r="E326" s="560"/>
      <c r="F326" s="559"/>
      <c r="G326" s="559" t="str">
        <f t="shared" si="30"/>
        <v/>
      </c>
      <c r="H326" s="559" t="str">
        <f t="shared" si="31"/>
        <v/>
      </c>
      <c r="I326" s="559" t="str">
        <f t="shared" si="32"/>
        <v/>
      </c>
    </row>
    <row r="327" spans="2:9">
      <c r="B327" s="555" t="str">
        <f t="shared" si="27"/>
        <v/>
      </c>
      <c r="C327" s="556" t="str">
        <f t="shared" si="28"/>
        <v/>
      </c>
      <c r="D327" s="557" t="str">
        <f t="shared" si="29"/>
        <v/>
      </c>
      <c r="E327" s="560"/>
      <c r="F327" s="559"/>
      <c r="G327" s="559" t="str">
        <f t="shared" si="30"/>
        <v/>
      </c>
      <c r="H327" s="559" t="str">
        <f t="shared" si="31"/>
        <v/>
      </c>
      <c r="I327" s="559" t="str">
        <f t="shared" si="32"/>
        <v/>
      </c>
    </row>
    <row r="328" spans="2:9">
      <c r="B328" s="555" t="str">
        <f t="shared" si="27"/>
        <v/>
      </c>
      <c r="C328" s="556" t="str">
        <f t="shared" si="28"/>
        <v/>
      </c>
      <c r="D328" s="557" t="str">
        <f t="shared" si="29"/>
        <v/>
      </c>
      <c r="E328" s="560"/>
      <c r="F328" s="559"/>
      <c r="G328" s="559" t="str">
        <f t="shared" si="30"/>
        <v/>
      </c>
      <c r="H328" s="559" t="str">
        <f t="shared" si="31"/>
        <v/>
      </c>
      <c r="I328" s="559" t="str">
        <f t="shared" si="32"/>
        <v/>
      </c>
    </row>
    <row r="329" spans="2:9">
      <c r="B329" s="555" t="str">
        <f t="shared" si="27"/>
        <v/>
      </c>
      <c r="C329" s="556" t="str">
        <f t="shared" si="28"/>
        <v/>
      </c>
      <c r="D329" s="557" t="str">
        <f t="shared" si="29"/>
        <v/>
      </c>
      <c r="E329" s="560"/>
      <c r="F329" s="559"/>
      <c r="G329" s="559" t="str">
        <f t="shared" si="30"/>
        <v/>
      </c>
      <c r="H329" s="559" t="str">
        <f t="shared" si="31"/>
        <v/>
      </c>
      <c r="I329" s="559" t="str">
        <f t="shared" si="32"/>
        <v/>
      </c>
    </row>
    <row r="330" spans="2:9">
      <c r="B330" s="555" t="str">
        <f t="shared" si="27"/>
        <v/>
      </c>
      <c r="C330" s="556" t="str">
        <f t="shared" si="28"/>
        <v/>
      </c>
      <c r="D330" s="557" t="str">
        <f t="shared" si="29"/>
        <v/>
      </c>
      <c r="E330" s="560"/>
      <c r="F330" s="559"/>
      <c r="G330" s="559" t="str">
        <f t="shared" si="30"/>
        <v/>
      </c>
      <c r="H330" s="559" t="str">
        <f t="shared" si="31"/>
        <v/>
      </c>
      <c r="I330" s="559" t="str">
        <f t="shared" si="32"/>
        <v/>
      </c>
    </row>
    <row r="331" spans="2:9">
      <c r="B331" s="555" t="str">
        <f t="shared" si="27"/>
        <v/>
      </c>
      <c r="C331" s="556" t="str">
        <f t="shared" si="28"/>
        <v/>
      </c>
      <c r="D331" s="557" t="str">
        <f t="shared" si="29"/>
        <v/>
      </c>
      <c r="E331" s="560"/>
      <c r="F331" s="559"/>
      <c r="G331" s="559" t="str">
        <f t="shared" si="30"/>
        <v/>
      </c>
      <c r="H331" s="559" t="str">
        <f t="shared" si="31"/>
        <v/>
      </c>
      <c r="I331" s="559" t="str">
        <f t="shared" si="32"/>
        <v/>
      </c>
    </row>
    <row r="332" spans="2:9">
      <c r="B332" s="555" t="str">
        <f t="shared" si="27"/>
        <v/>
      </c>
      <c r="C332" s="556" t="str">
        <f t="shared" si="28"/>
        <v/>
      </c>
      <c r="D332" s="557" t="str">
        <f t="shared" si="29"/>
        <v/>
      </c>
      <c r="E332" s="560"/>
      <c r="F332" s="559"/>
      <c r="G332" s="559" t="str">
        <f t="shared" si="30"/>
        <v/>
      </c>
      <c r="H332" s="559" t="str">
        <f t="shared" si="31"/>
        <v/>
      </c>
      <c r="I332" s="559" t="str">
        <f t="shared" si="32"/>
        <v/>
      </c>
    </row>
    <row r="333" spans="2:9">
      <c r="B333" s="555" t="str">
        <f t="shared" si="27"/>
        <v/>
      </c>
      <c r="C333" s="556" t="str">
        <f t="shared" si="28"/>
        <v/>
      </c>
      <c r="D333" s="557" t="str">
        <f t="shared" si="29"/>
        <v/>
      </c>
      <c r="E333" s="560"/>
      <c r="F333" s="559"/>
      <c r="G333" s="559" t="str">
        <f t="shared" si="30"/>
        <v/>
      </c>
      <c r="H333" s="559" t="str">
        <f t="shared" si="31"/>
        <v/>
      </c>
      <c r="I333" s="559" t="str">
        <f t="shared" si="32"/>
        <v/>
      </c>
    </row>
    <row r="334" spans="2:9">
      <c r="B334" s="555" t="str">
        <f t="shared" si="27"/>
        <v/>
      </c>
      <c r="C334" s="556" t="str">
        <f t="shared" si="28"/>
        <v/>
      </c>
      <c r="D334" s="557" t="str">
        <f t="shared" si="29"/>
        <v/>
      </c>
      <c r="E334" s="560"/>
      <c r="F334" s="559"/>
      <c r="G334" s="559" t="str">
        <f t="shared" si="30"/>
        <v/>
      </c>
      <c r="H334" s="559" t="str">
        <f t="shared" si="31"/>
        <v/>
      </c>
      <c r="I334" s="559" t="str">
        <f t="shared" si="32"/>
        <v/>
      </c>
    </row>
    <row r="335" spans="2:9">
      <c r="B335" s="555" t="str">
        <f t="shared" si="27"/>
        <v/>
      </c>
      <c r="C335" s="556" t="str">
        <f t="shared" si="28"/>
        <v/>
      </c>
      <c r="D335" s="557" t="str">
        <f t="shared" si="29"/>
        <v/>
      </c>
      <c r="E335" s="560"/>
      <c r="F335" s="559"/>
      <c r="G335" s="559" t="str">
        <f t="shared" si="30"/>
        <v/>
      </c>
      <c r="H335" s="559" t="str">
        <f t="shared" si="31"/>
        <v/>
      </c>
      <c r="I335" s="559" t="str">
        <f t="shared" si="32"/>
        <v/>
      </c>
    </row>
    <row r="336" spans="2:9">
      <c r="B336" s="555" t="str">
        <f t="shared" si="27"/>
        <v/>
      </c>
      <c r="C336" s="556" t="str">
        <f t="shared" si="28"/>
        <v/>
      </c>
      <c r="D336" s="557" t="str">
        <f t="shared" si="29"/>
        <v/>
      </c>
      <c r="E336" s="560"/>
      <c r="F336" s="559"/>
      <c r="G336" s="559" t="str">
        <f t="shared" si="30"/>
        <v/>
      </c>
      <c r="H336" s="559" t="str">
        <f t="shared" si="31"/>
        <v/>
      </c>
      <c r="I336" s="559" t="str">
        <f t="shared" si="32"/>
        <v/>
      </c>
    </row>
    <row r="337" spans="2:9">
      <c r="B337" s="555" t="str">
        <f t="shared" si="27"/>
        <v/>
      </c>
      <c r="C337" s="556" t="str">
        <f t="shared" si="28"/>
        <v/>
      </c>
      <c r="D337" s="557" t="str">
        <f t="shared" si="29"/>
        <v/>
      </c>
      <c r="E337" s="560"/>
      <c r="F337" s="559"/>
      <c r="G337" s="559" t="str">
        <f t="shared" si="30"/>
        <v/>
      </c>
      <c r="H337" s="559" t="str">
        <f t="shared" si="31"/>
        <v/>
      </c>
      <c r="I337" s="559" t="str">
        <f t="shared" si="32"/>
        <v/>
      </c>
    </row>
    <row r="338" spans="2:9">
      <c r="B338" s="555" t="str">
        <f t="shared" si="27"/>
        <v/>
      </c>
      <c r="C338" s="556" t="str">
        <f t="shared" si="28"/>
        <v/>
      </c>
      <c r="D338" s="557" t="str">
        <f t="shared" si="29"/>
        <v/>
      </c>
      <c r="E338" s="560"/>
      <c r="F338" s="559"/>
      <c r="G338" s="559" t="str">
        <f t="shared" si="30"/>
        <v/>
      </c>
      <c r="H338" s="559" t="str">
        <f t="shared" si="31"/>
        <v/>
      </c>
      <c r="I338" s="559" t="str">
        <f t="shared" si="32"/>
        <v/>
      </c>
    </row>
    <row r="339" spans="2:9">
      <c r="B339" s="555" t="str">
        <f t="shared" si="27"/>
        <v/>
      </c>
      <c r="C339" s="556" t="str">
        <f t="shared" si="28"/>
        <v/>
      </c>
      <c r="D339" s="557" t="str">
        <f t="shared" si="29"/>
        <v/>
      </c>
      <c r="E339" s="560"/>
      <c r="F339" s="559"/>
      <c r="G339" s="559" t="str">
        <f t="shared" si="30"/>
        <v/>
      </c>
      <c r="H339" s="559" t="str">
        <f t="shared" si="31"/>
        <v/>
      </c>
      <c r="I339" s="559" t="str">
        <f t="shared" si="32"/>
        <v/>
      </c>
    </row>
    <row r="340" spans="2:9">
      <c r="B340" s="555" t="str">
        <f t="shared" si="27"/>
        <v/>
      </c>
      <c r="C340" s="556" t="str">
        <f t="shared" si="28"/>
        <v/>
      </c>
      <c r="D340" s="557" t="str">
        <f t="shared" si="29"/>
        <v/>
      </c>
      <c r="E340" s="560"/>
      <c r="F340" s="559"/>
      <c r="G340" s="559" t="str">
        <f t="shared" si="30"/>
        <v/>
      </c>
      <c r="H340" s="559" t="str">
        <f t="shared" si="31"/>
        <v/>
      </c>
      <c r="I340" s="559" t="str">
        <f t="shared" si="32"/>
        <v/>
      </c>
    </row>
    <row r="341" spans="2:9">
      <c r="B341" s="555" t="str">
        <f t="shared" si="27"/>
        <v/>
      </c>
      <c r="C341" s="556" t="str">
        <f t="shared" si="28"/>
        <v/>
      </c>
      <c r="D341" s="557" t="str">
        <f t="shared" si="29"/>
        <v/>
      </c>
      <c r="E341" s="560"/>
      <c r="F341" s="559"/>
      <c r="G341" s="559" t="str">
        <f t="shared" si="30"/>
        <v/>
      </c>
      <c r="H341" s="559" t="str">
        <f t="shared" si="31"/>
        <v/>
      </c>
      <c r="I341" s="559" t="str">
        <f t="shared" si="32"/>
        <v/>
      </c>
    </row>
    <row r="342" spans="2:9">
      <c r="B342" s="555" t="str">
        <f t="shared" si="27"/>
        <v/>
      </c>
      <c r="C342" s="556" t="str">
        <f t="shared" si="28"/>
        <v/>
      </c>
      <c r="D342" s="557" t="str">
        <f t="shared" si="29"/>
        <v/>
      </c>
      <c r="E342" s="560"/>
      <c r="F342" s="559"/>
      <c r="G342" s="559" t="str">
        <f t="shared" si="30"/>
        <v/>
      </c>
      <c r="H342" s="559" t="str">
        <f t="shared" si="31"/>
        <v/>
      </c>
      <c r="I342" s="559" t="str">
        <f t="shared" si="32"/>
        <v/>
      </c>
    </row>
    <row r="343" spans="2:9">
      <c r="B343" s="555" t="str">
        <f t="shared" si="27"/>
        <v/>
      </c>
      <c r="C343" s="556" t="str">
        <f t="shared" si="28"/>
        <v/>
      </c>
      <c r="D343" s="557" t="str">
        <f t="shared" si="29"/>
        <v/>
      </c>
      <c r="E343" s="560"/>
      <c r="F343" s="559"/>
      <c r="G343" s="559" t="str">
        <f t="shared" si="30"/>
        <v/>
      </c>
      <c r="H343" s="559" t="str">
        <f t="shared" si="31"/>
        <v/>
      </c>
      <c r="I343" s="559" t="str">
        <f t="shared" si="32"/>
        <v/>
      </c>
    </row>
    <row r="344" spans="2:9">
      <c r="B344" s="555" t="str">
        <f t="shared" si="27"/>
        <v/>
      </c>
      <c r="C344" s="556" t="str">
        <f t="shared" si="28"/>
        <v/>
      </c>
      <c r="D344" s="557" t="str">
        <f t="shared" si="29"/>
        <v/>
      </c>
      <c r="E344" s="560"/>
      <c r="F344" s="559"/>
      <c r="G344" s="559" t="str">
        <f t="shared" si="30"/>
        <v/>
      </c>
      <c r="H344" s="559" t="str">
        <f t="shared" si="31"/>
        <v/>
      </c>
      <c r="I344" s="559" t="str">
        <f t="shared" si="32"/>
        <v/>
      </c>
    </row>
    <row r="345" spans="2:9">
      <c r="B345" s="555" t="str">
        <f t="shared" si="27"/>
        <v/>
      </c>
      <c r="C345" s="556" t="str">
        <f t="shared" si="28"/>
        <v/>
      </c>
      <c r="D345" s="557" t="str">
        <f t="shared" si="29"/>
        <v/>
      </c>
      <c r="E345" s="560"/>
      <c r="F345" s="559"/>
      <c r="G345" s="559" t="str">
        <f t="shared" si="30"/>
        <v/>
      </c>
      <c r="H345" s="559" t="str">
        <f t="shared" si="31"/>
        <v/>
      </c>
      <c r="I345" s="559" t="str">
        <f t="shared" si="32"/>
        <v/>
      </c>
    </row>
    <row r="346" spans="2:9">
      <c r="B346" s="555" t="str">
        <f t="shared" si="27"/>
        <v/>
      </c>
      <c r="C346" s="556" t="str">
        <f t="shared" si="28"/>
        <v/>
      </c>
      <c r="D346" s="557" t="str">
        <f t="shared" si="29"/>
        <v/>
      </c>
      <c r="E346" s="560"/>
      <c r="F346" s="559"/>
      <c r="G346" s="559" t="str">
        <f t="shared" si="30"/>
        <v/>
      </c>
      <c r="H346" s="559" t="str">
        <f t="shared" si="31"/>
        <v/>
      </c>
      <c r="I346" s="559" t="str">
        <f t="shared" si="32"/>
        <v/>
      </c>
    </row>
    <row r="347" spans="2:9">
      <c r="B347" s="555" t="str">
        <f t="shared" si="27"/>
        <v/>
      </c>
      <c r="C347" s="556" t="str">
        <f t="shared" si="28"/>
        <v/>
      </c>
      <c r="D347" s="557" t="str">
        <f t="shared" si="29"/>
        <v/>
      </c>
      <c r="E347" s="560"/>
      <c r="F347" s="559"/>
      <c r="G347" s="559" t="str">
        <f t="shared" si="30"/>
        <v/>
      </c>
      <c r="H347" s="559" t="str">
        <f t="shared" si="31"/>
        <v/>
      </c>
      <c r="I347" s="559" t="str">
        <f t="shared" si="32"/>
        <v/>
      </c>
    </row>
    <row r="348" spans="2:9">
      <c r="B348" s="555" t="str">
        <f t="shared" si="27"/>
        <v/>
      </c>
      <c r="C348" s="556" t="str">
        <f t="shared" si="28"/>
        <v/>
      </c>
      <c r="D348" s="557" t="str">
        <f t="shared" si="29"/>
        <v/>
      </c>
      <c r="E348" s="560"/>
      <c r="F348" s="559"/>
      <c r="G348" s="559" t="str">
        <f t="shared" si="30"/>
        <v/>
      </c>
      <c r="H348" s="559" t="str">
        <f t="shared" si="31"/>
        <v/>
      </c>
      <c r="I348" s="559" t="str">
        <f t="shared" si="32"/>
        <v/>
      </c>
    </row>
    <row r="349" spans="2:9">
      <c r="B349" s="555" t="str">
        <f t="shared" si="27"/>
        <v/>
      </c>
      <c r="C349" s="556" t="str">
        <f t="shared" si="28"/>
        <v/>
      </c>
      <c r="D349" s="557" t="str">
        <f t="shared" si="29"/>
        <v/>
      </c>
      <c r="E349" s="560"/>
      <c r="F349" s="559"/>
      <c r="G349" s="559" t="str">
        <f t="shared" si="30"/>
        <v/>
      </c>
      <c r="H349" s="559" t="str">
        <f t="shared" si="31"/>
        <v/>
      </c>
      <c r="I349" s="559" t="str">
        <f t="shared" si="32"/>
        <v/>
      </c>
    </row>
    <row r="350" spans="2:9">
      <c r="B350" s="555" t="str">
        <f t="shared" si="27"/>
        <v/>
      </c>
      <c r="C350" s="556" t="str">
        <f t="shared" si="28"/>
        <v/>
      </c>
      <c r="D350" s="557" t="str">
        <f t="shared" si="29"/>
        <v/>
      </c>
      <c r="E350" s="560"/>
      <c r="F350" s="559"/>
      <c r="G350" s="559" t="str">
        <f t="shared" si="30"/>
        <v/>
      </c>
      <c r="H350" s="559" t="str">
        <f t="shared" si="31"/>
        <v/>
      </c>
      <c r="I350" s="559" t="str">
        <f t="shared" si="32"/>
        <v/>
      </c>
    </row>
    <row r="351" spans="2:9">
      <c r="B351" s="555" t="str">
        <f t="shared" si="27"/>
        <v/>
      </c>
      <c r="C351" s="556" t="str">
        <f t="shared" si="28"/>
        <v/>
      </c>
      <c r="D351" s="557" t="str">
        <f t="shared" si="29"/>
        <v/>
      </c>
      <c r="E351" s="560"/>
      <c r="F351" s="559"/>
      <c r="G351" s="559" t="str">
        <f t="shared" si="30"/>
        <v/>
      </c>
      <c r="H351" s="559" t="str">
        <f t="shared" si="31"/>
        <v/>
      </c>
      <c r="I351" s="559" t="str">
        <f t="shared" si="32"/>
        <v/>
      </c>
    </row>
    <row r="352" spans="2:9">
      <c r="B352" s="555" t="str">
        <f t="shared" si="27"/>
        <v/>
      </c>
      <c r="C352" s="556" t="str">
        <f t="shared" si="28"/>
        <v/>
      </c>
      <c r="D352" s="557" t="str">
        <f t="shared" si="29"/>
        <v/>
      </c>
      <c r="E352" s="560"/>
      <c r="F352" s="559"/>
      <c r="G352" s="559" t="str">
        <f t="shared" si="30"/>
        <v/>
      </c>
      <c r="H352" s="559" t="str">
        <f t="shared" si="31"/>
        <v/>
      </c>
      <c r="I352" s="559" t="str">
        <f t="shared" si="32"/>
        <v/>
      </c>
    </row>
    <row r="353" spans="2:9">
      <c r="B353" s="555" t="str">
        <f t="shared" si="27"/>
        <v/>
      </c>
      <c r="C353" s="556" t="str">
        <f t="shared" si="28"/>
        <v/>
      </c>
      <c r="D353" s="557" t="str">
        <f t="shared" si="29"/>
        <v/>
      </c>
      <c r="E353" s="560"/>
      <c r="F353" s="559"/>
      <c r="G353" s="559" t="str">
        <f t="shared" si="30"/>
        <v/>
      </c>
      <c r="H353" s="559" t="str">
        <f t="shared" si="31"/>
        <v/>
      </c>
      <c r="I353" s="559" t="str">
        <f t="shared" si="32"/>
        <v/>
      </c>
    </row>
    <row r="354" spans="2:9">
      <c r="B354" s="555" t="str">
        <f t="shared" si="27"/>
        <v/>
      </c>
      <c r="C354" s="556" t="str">
        <f t="shared" si="28"/>
        <v/>
      </c>
      <c r="D354" s="557" t="str">
        <f t="shared" si="29"/>
        <v/>
      </c>
      <c r="E354" s="560"/>
      <c r="F354" s="559"/>
      <c r="G354" s="559" t="str">
        <f t="shared" si="30"/>
        <v/>
      </c>
      <c r="H354" s="559" t="str">
        <f t="shared" si="31"/>
        <v/>
      </c>
      <c r="I354" s="559" t="str">
        <f t="shared" si="32"/>
        <v/>
      </c>
    </row>
    <row r="355" spans="2:9">
      <c r="B355" s="555" t="str">
        <f t="shared" si="27"/>
        <v/>
      </c>
      <c r="C355" s="556" t="str">
        <f t="shared" si="28"/>
        <v/>
      </c>
      <c r="D355" s="557" t="str">
        <f t="shared" si="29"/>
        <v/>
      </c>
      <c r="E355" s="560"/>
      <c r="F355" s="559"/>
      <c r="G355" s="559" t="str">
        <f t="shared" si="30"/>
        <v/>
      </c>
      <c r="H355" s="559" t="str">
        <f t="shared" si="31"/>
        <v/>
      </c>
      <c r="I355" s="559" t="str">
        <f t="shared" si="32"/>
        <v/>
      </c>
    </row>
    <row r="356" spans="2:9">
      <c r="B356" s="555" t="str">
        <f t="shared" si="27"/>
        <v/>
      </c>
      <c r="C356" s="556" t="str">
        <f t="shared" si="28"/>
        <v/>
      </c>
      <c r="D356" s="557" t="str">
        <f t="shared" si="29"/>
        <v/>
      </c>
      <c r="E356" s="560"/>
      <c r="F356" s="559"/>
      <c r="G356" s="559" t="str">
        <f t="shared" si="30"/>
        <v/>
      </c>
      <c r="H356" s="559" t="str">
        <f t="shared" si="31"/>
        <v/>
      </c>
      <c r="I356" s="559" t="str">
        <f t="shared" si="32"/>
        <v/>
      </c>
    </row>
    <row r="357" spans="2:9">
      <c r="B357" s="555" t="str">
        <f t="shared" si="27"/>
        <v/>
      </c>
      <c r="C357" s="556" t="str">
        <f t="shared" si="28"/>
        <v/>
      </c>
      <c r="D357" s="557" t="str">
        <f t="shared" si="29"/>
        <v/>
      </c>
      <c r="E357" s="560"/>
      <c r="F357" s="559"/>
      <c r="G357" s="559" t="str">
        <f t="shared" si="30"/>
        <v/>
      </c>
      <c r="H357" s="559" t="str">
        <f t="shared" si="31"/>
        <v/>
      </c>
      <c r="I357" s="559" t="str">
        <f t="shared" si="32"/>
        <v/>
      </c>
    </row>
    <row r="358" spans="2:9">
      <c r="B358" s="555" t="str">
        <f t="shared" si="27"/>
        <v/>
      </c>
      <c r="C358" s="556" t="str">
        <f t="shared" si="28"/>
        <v/>
      </c>
      <c r="D358" s="557" t="str">
        <f t="shared" si="29"/>
        <v/>
      </c>
      <c r="E358" s="560"/>
      <c r="F358" s="559"/>
      <c r="G358" s="559" t="str">
        <f t="shared" si="30"/>
        <v/>
      </c>
      <c r="H358" s="559" t="str">
        <f t="shared" si="31"/>
        <v/>
      </c>
      <c r="I358" s="559" t="str">
        <f t="shared" si="32"/>
        <v/>
      </c>
    </row>
    <row r="359" spans="2:9">
      <c r="B359" s="555" t="str">
        <f t="shared" si="27"/>
        <v/>
      </c>
      <c r="C359" s="556" t="str">
        <f t="shared" si="28"/>
        <v/>
      </c>
      <c r="D359" s="557" t="str">
        <f t="shared" si="29"/>
        <v/>
      </c>
      <c r="E359" s="560"/>
      <c r="F359" s="559"/>
      <c r="G359" s="559" t="str">
        <f t="shared" si="30"/>
        <v/>
      </c>
      <c r="H359" s="559" t="str">
        <f t="shared" si="31"/>
        <v/>
      </c>
      <c r="I359" s="559" t="str">
        <f t="shared" si="32"/>
        <v/>
      </c>
    </row>
    <row r="360" spans="2:9">
      <c r="B360" s="555" t="str">
        <f t="shared" si="27"/>
        <v/>
      </c>
      <c r="C360" s="556" t="str">
        <f t="shared" si="28"/>
        <v/>
      </c>
      <c r="D360" s="557" t="str">
        <f t="shared" si="29"/>
        <v/>
      </c>
      <c r="E360" s="560"/>
      <c r="F360" s="559"/>
      <c r="G360" s="559" t="str">
        <f t="shared" si="30"/>
        <v/>
      </c>
      <c r="H360" s="559" t="str">
        <f t="shared" si="31"/>
        <v/>
      </c>
      <c r="I360" s="559" t="str">
        <f t="shared" si="32"/>
        <v/>
      </c>
    </row>
    <row r="361" spans="2:9">
      <c r="B361" s="555" t="str">
        <f t="shared" si="27"/>
        <v/>
      </c>
      <c r="C361" s="556" t="str">
        <f t="shared" si="28"/>
        <v/>
      </c>
      <c r="D361" s="557" t="str">
        <f t="shared" si="29"/>
        <v/>
      </c>
      <c r="E361" s="560"/>
      <c r="F361" s="559"/>
      <c r="G361" s="559" t="str">
        <f t="shared" si="30"/>
        <v/>
      </c>
      <c r="H361" s="559" t="str">
        <f t="shared" si="31"/>
        <v/>
      </c>
      <c r="I361" s="559" t="str">
        <f t="shared" si="32"/>
        <v/>
      </c>
    </row>
    <row r="362" spans="2:9">
      <c r="B362" s="555" t="str">
        <f t="shared" si="27"/>
        <v/>
      </c>
      <c r="C362" s="556" t="str">
        <f t="shared" si="28"/>
        <v/>
      </c>
      <c r="D362" s="557" t="str">
        <f t="shared" si="29"/>
        <v/>
      </c>
      <c r="E362" s="560"/>
      <c r="F362" s="559"/>
      <c r="G362" s="559" t="str">
        <f t="shared" si="30"/>
        <v/>
      </c>
      <c r="H362" s="559" t="str">
        <f t="shared" si="31"/>
        <v/>
      </c>
      <c r="I362" s="559" t="str">
        <f t="shared" si="32"/>
        <v/>
      </c>
    </row>
    <row r="363" spans="2:9">
      <c r="B363" s="555" t="str">
        <f t="shared" si="27"/>
        <v/>
      </c>
      <c r="C363" s="556" t="str">
        <f t="shared" si="28"/>
        <v/>
      </c>
      <c r="D363" s="557" t="str">
        <f t="shared" si="29"/>
        <v/>
      </c>
      <c r="E363" s="560"/>
      <c r="F363" s="559"/>
      <c r="G363" s="559" t="str">
        <f t="shared" si="30"/>
        <v/>
      </c>
      <c r="H363" s="559" t="str">
        <f t="shared" si="31"/>
        <v/>
      </c>
      <c r="I363" s="559" t="str">
        <f t="shared" si="32"/>
        <v/>
      </c>
    </row>
    <row r="364" spans="2:9">
      <c r="B364" s="555" t="str">
        <f t="shared" si="27"/>
        <v/>
      </c>
      <c r="C364" s="556" t="str">
        <f t="shared" si="28"/>
        <v/>
      </c>
      <c r="D364" s="557" t="str">
        <f t="shared" si="29"/>
        <v/>
      </c>
      <c r="E364" s="560"/>
      <c r="F364" s="559"/>
      <c r="G364" s="559" t="str">
        <f t="shared" si="30"/>
        <v/>
      </c>
      <c r="H364" s="559" t="str">
        <f t="shared" si="31"/>
        <v/>
      </c>
      <c r="I364" s="559" t="str">
        <f t="shared" si="32"/>
        <v/>
      </c>
    </row>
    <row r="365" spans="2:9">
      <c r="B365" s="555" t="str">
        <f t="shared" si="27"/>
        <v/>
      </c>
      <c r="C365" s="556" t="str">
        <f t="shared" si="28"/>
        <v/>
      </c>
      <c r="D365" s="557" t="str">
        <f t="shared" si="29"/>
        <v/>
      </c>
      <c r="E365" s="560"/>
      <c r="F365" s="559"/>
      <c r="G365" s="559" t="str">
        <f t="shared" si="30"/>
        <v/>
      </c>
      <c r="H365" s="559" t="str">
        <f t="shared" si="31"/>
        <v/>
      </c>
      <c r="I365" s="559" t="str">
        <f t="shared" si="32"/>
        <v/>
      </c>
    </row>
    <row r="366" spans="2:9">
      <c r="B366" s="555" t="str">
        <f t="shared" si="27"/>
        <v/>
      </c>
      <c r="C366" s="556" t="str">
        <f t="shared" si="28"/>
        <v/>
      </c>
      <c r="D366" s="557" t="str">
        <f t="shared" si="29"/>
        <v/>
      </c>
      <c r="E366" s="560"/>
      <c r="F366" s="559"/>
      <c r="G366" s="559" t="str">
        <f t="shared" si="30"/>
        <v/>
      </c>
      <c r="H366" s="559" t="str">
        <f t="shared" si="31"/>
        <v/>
      </c>
      <c r="I366" s="559" t="str">
        <f t="shared" si="32"/>
        <v/>
      </c>
    </row>
    <row r="367" spans="2:9">
      <c r="B367" s="555" t="str">
        <f t="shared" si="27"/>
        <v/>
      </c>
      <c r="C367" s="556" t="str">
        <f t="shared" si="28"/>
        <v/>
      </c>
      <c r="D367" s="557" t="str">
        <f t="shared" si="29"/>
        <v/>
      </c>
      <c r="E367" s="560"/>
      <c r="F367" s="559"/>
      <c r="G367" s="559" t="str">
        <f t="shared" si="30"/>
        <v/>
      </c>
      <c r="H367" s="559" t="str">
        <f t="shared" si="31"/>
        <v/>
      </c>
      <c r="I367" s="559" t="str">
        <f t="shared" si="32"/>
        <v/>
      </c>
    </row>
    <row r="368" spans="2:9">
      <c r="B368" s="555" t="str">
        <f t="shared" si="27"/>
        <v/>
      </c>
      <c r="C368" s="556" t="str">
        <f t="shared" si="28"/>
        <v/>
      </c>
      <c r="D368" s="557" t="str">
        <f t="shared" si="29"/>
        <v/>
      </c>
      <c r="E368" s="560"/>
      <c r="F368" s="559"/>
      <c r="G368" s="559" t="str">
        <f t="shared" si="30"/>
        <v/>
      </c>
      <c r="H368" s="559" t="str">
        <f t="shared" si="31"/>
        <v/>
      </c>
      <c r="I368" s="559" t="str">
        <f t="shared" si="32"/>
        <v/>
      </c>
    </row>
    <row r="369" spans="2:9">
      <c r="B369" s="555" t="str">
        <f t="shared" si="27"/>
        <v/>
      </c>
      <c r="C369" s="556" t="str">
        <f t="shared" si="28"/>
        <v/>
      </c>
      <c r="D369" s="557" t="str">
        <f t="shared" si="29"/>
        <v/>
      </c>
      <c r="E369" s="560"/>
      <c r="F369" s="559"/>
      <c r="G369" s="559" t="str">
        <f t="shared" si="30"/>
        <v/>
      </c>
      <c r="H369" s="559" t="str">
        <f t="shared" si="31"/>
        <v/>
      </c>
      <c r="I369" s="559" t="str">
        <f t="shared" si="32"/>
        <v/>
      </c>
    </row>
    <row r="370" spans="2:9">
      <c r="B370" s="555" t="str">
        <f t="shared" si="27"/>
        <v/>
      </c>
      <c r="C370" s="556" t="str">
        <f t="shared" si="28"/>
        <v/>
      </c>
      <c r="D370" s="557" t="str">
        <f t="shared" si="29"/>
        <v/>
      </c>
      <c r="E370" s="560"/>
      <c r="F370" s="559"/>
      <c r="G370" s="559" t="str">
        <f t="shared" si="30"/>
        <v/>
      </c>
      <c r="H370" s="559" t="str">
        <f t="shared" si="31"/>
        <v/>
      </c>
      <c r="I370" s="559" t="str">
        <f t="shared" si="32"/>
        <v/>
      </c>
    </row>
    <row r="371" spans="2:9">
      <c r="B371" s="555" t="str">
        <f t="shared" si="27"/>
        <v/>
      </c>
      <c r="C371" s="556" t="str">
        <f t="shared" si="28"/>
        <v/>
      </c>
      <c r="D371" s="557" t="str">
        <f t="shared" si="29"/>
        <v/>
      </c>
      <c r="E371" s="560"/>
      <c r="F371" s="559"/>
      <c r="G371" s="559" t="str">
        <f t="shared" si="30"/>
        <v/>
      </c>
      <c r="H371" s="559" t="str">
        <f t="shared" si="31"/>
        <v/>
      </c>
      <c r="I371" s="559" t="str">
        <f t="shared" si="32"/>
        <v/>
      </c>
    </row>
    <row r="372" spans="2:9">
      <c r="B372" s="555" t="str">
        <f t="shared" si="27"/>
        <v/>
      </c>
      <c r="C372" s="556" t="str">
        <f t="shared" si="28"/>
        <v/>
      </c>
      <c r="D372" s="557" t="str">
        <f t="shared" si="29"/>
        <v/>
      </c>
      <c r="E372" s="560"/>
      <c r="F372" s="559"/>
      <c r="G372" s="559" t="str">
        <f t="shared" si="30"/>
        <v/>
      </c>
      <c r="H372" s="559" t="str">
        <f t="shared" si="31"/>
        <v/>
      </c>
      <c r="I372" s="559" t="str">
        <f t="shared" si="32"/>
        <v/>
      </c>
    </row>
    <row r="373" spans="2:9">
      <c r="B373" s="555" t="str">
        <f t="shared" si="27"/>
        <v/>
      </c>
      <c r="C373" s="556" t="str">
        <f t="shared" si="28"/>
        <v/>
      </c>
      <c r="D373" s="557" t="str">
        <f t="shared" si="29"/>
        <v/>
      </c>
      <c r="E373" s="560"/>
      <c r="F373" s="559"/>
      <c r="G373" s="559" t="str">
        <f t="shared" si="30"/>
        <v/>
      </c>
      <c r="H373" s="559" t="str">
        <f t="shared" si="31"/>
        <v/>
      </c>
      <c r="I373" s="559" t="str">
        <f t="shared" si="32"/>
        <v/>
      </c>
    </row>
    <row r="374" spans="2:9">
      <c r="B374" s="555" t="str">
        <f t="shared" si="27"/>
        <v/>
      </c>
      <c r="C374" s="556" t="str">
        <f t="shared" si="28"/>
        <v/>
      </c>
      <c r="D374" s="557" t="str">
        <f t="shared" si="29"/>
        <v/>
      </c>
      <c r="E374" s="560"/>
      <c r="F374" s="559"/>
      <c r="G374" s="559" t="str">
        <f t="shared" si="30"/>
        <v/>
      </c>
      <c r="H374" s="559" t="str">
        <f t="shared" si="31"/>
        <v/>
      </c>
      <c r="I374" s="559" t="str">
        <f t="shared" si="32"/>
        <v/>
      </c>
    </row>
    <row r="375" spans="2:9">
      <c r="B375" s="555" t="str">
        <f t="shared" si="27"/>
        <v/>
      </c>
      <c r="C375" s="556" t="str">
        <f t="shared" si="28"/>
        <v/>
      </c>
      <c r="D375" s="557" t="str">
        <f t="shared" si="29"/>
        <v/>
      </c>
      <c r="E375" s="560"/>
      <c r="F375" s="559"/>
      <c r="G375" s="559" t="str">
        <f t="shared" si="30"/>
        <v/>
      </c>
      <c r="H375" s="559" t="str">
        <f t="shared" si="31"/>
        <v/>
      </c>
      <c r="I375" s="559" t="str">
        <f t="shared" si="32"/>
        <v/>
      </c>
    </row>
    <row r="376" spans="2:9">
      <c r="B376" s="555" t="str">
        <f t="shared" si="27"/>
        <v/>
      </c>
      <c r="C376" s="556" t="str">
        <f t="shared" si="28"/>
        <v/>
      </c>
      <c r="D376" s="557" t="str">
        <f t="shared" si="29"/>
        <v/>
      </c>
      <c r="E376" s="560"/>
      <c r="F376" s="559"/>
      <c r="G376" s="559" t="str">
        <f t="shared" si="30"/>
        <v/>
      </c>
      <c r="H376" s="559" t="str">
        <f t="shared" si="31"/>
        <v/>
      </c>
      <c r="I376" s="559" t="str">
        <f t="shared" si="32"/>
        <v/>
      </c>
    </row>
    <row r="377" spans="2:9">
      <c r="B377" s="555" t="str">
        <f t="shared" si="27"/>
        <v/>
      </c>
      <c r="C377" s="556" t="str">
        <f t="shared" si="28"/>
        <v/>
      </c>
      <c r="D377" s="557" t="str">
        <f t="shared" si="29"/>
        <v/>
      </c>
      <c r="E377" s="560"/>
      <c r="F377" s="559"/>
      <c r="G377" s="559" t="str">
        <f t="shared" si="30"/>
        <v/>
      </c>
      <c r="H377" s="559" t="str">
        <f t="shared" si="31"/>
        <v/>
      </c>
      <c r="I377" s="559" t="str">
        <f t="shared" si="32"/>
        <v/>
      </c>
    </row>
    <row r="378" spans="2:9">
      <c r="B378" s="555" t="str">
        <f t="shared" si="27"/>
        <v/>
      </c>
      <c r="C378" s="556" t="str">
        <f t="shared" si="28"/>
        <v/>
      </c>
      <c r="D378" s="557" t="str">
        <f t="shared" si="29"/>
        <v/>
      </c>
      <c r="E378" s="560"/>
      <c r="F378" s="559"/>
      <c r="G378" s="559" t="str">
        <f t="shared" si="30"/>
        <v/>
      </c>
      <c r="H378" s="559" t="str">
        <f t="shared" si="31"/>
        <v/>
      </c>
      <c r="I378" s="559" t="str">
        <f t="shared" si="32"/>
        <v/>
      </c>
    </row>
    <row r="379" spans="2:9">
      <c r="B379" s="555" t="str">
        <f t="shared" si="27"/>
        <v/>
      </c>
      <c r="C379" s="556" t="str">
        <f t="shared" si="28"/>
        <v/>
      </c>
      <c r="D379" s="557" t="str">
        <f t="shared" si="29"/>
        <v/>
      </c>
      <c r="E379" s="560"/>
      <c r="F379" s="559"/>
      <c r="G379" s="559" t="str">
        <f t="shared" si="30"/>
        <v/>
      </c>
      <c r="H379" s="559" t="str">
        <f t="shared" si="31"/>
        <v/>
      </c>
      <c r="I379" s="559" t="str">
        <f t="shared" si="32"/>
        <v/>
      </c>
    </row>
    <row r="380" spans="2:9">
      <c r="B380" s="555" t="str">
        <f t="shared" si="27"/>
        <v/>
      </c>
      <c r="C380" s="556" t="str">
        <f t="shared" si="28"/>
        <v/>
      </c>
      <c r="D380" s="557" t="str">
        <f t="shared" si="29"/>
        <v/>
      </c>
      <c r="E380" s="560"/>
      <c r="F380" s="559"/>
      <c r="G380" s="559" t="str">
        <f t="shared" si="30"/>
        <v/>
      </c>
      <c r="H380" s="559" t="str">
        <f t="shared" si="31"/>
        <v/>
      </c>
      <c r="I380" s="559" t="str">
        <f t="shared" si="32"/>
        <v/>
      </c>
    </row>
    <row r="381" spans="2:9">
      <c r="B381" s="555" t="str">
        <f t="shared" ref="B381:B444" si="33">IF(I380="","",IF(roundOpt,IF(OR(B380&gt;=nper,ROUND(I380,2)&lt;=0),"",B380+1),IF(OR(B380&gt;=nper,I380&lt;=0),"",B380+1)))</f>
        <v/>
      </c>
      <c r="C381" s="556" t="str">
        <f t="shared" ref="C381:C444" si="34">IF(B381="","",IF(OR(periods_per_year=26,periods_per_year=52),IF(periods_per_year=26,IF(B381=1,fpdate,C380+14),IF(periods_per_year=52,IF(B381=1,fpdate,C380+7),"n/a")),IF(periods_per_year=24,DATE(YEAR(fpdate),MONTH(fpdate)+(B381-1)/2+IF(AND(DAY(fpdate)&gt;=15,MOD(B381,2)=0),1,0),IF(MOD(B381,2)=0,IF(DAY(fpdate)&gt;=15,DAY(fpdate)-14,DAY(fpdate)+14),DAY(fpdate))),IF(DAY(DATE(YEAR(fpdate),MONTH(fpdate)+(B381-1)*months_per_period,DAY(fpdate)))&lt;&gt;DAY(fpdate),DATE(YEAR(fpdate),MONTH(fpdate)+(B381-1)*months_per_period+1,0),DATE(YEAR(fpdate),MONTH(fpdate)+(B381-1)*months_per_period,DAY(fpdate))))))</f>
        <v/>
      </c>
      <c r="D381" s="557" t="str">
        <f t="shared" ref="D381:D444" si="35">IF(B381="","",IF(roundOpt,IF(OR(B381=nper,payment&gt;ROUND((1+rate)*I380,2)),ROUND((1+rate)*I380,2),payment),IF(OR(B381=nper,payment&gt;(1+rate)*I380),(1+rate)*I380,payment)))</f>
        <v/>
      </c>
      <c r="E381" s="560"/>
      <c r="F381" s="559"/>
      <c r="G381" s="559" t="str">
        <f t="shared" ref="G381:G444" si="36">IF(B381="","",IF(AND(B381=1,pmtType=1),0,IF(roundOpt,ROUND(rate*I380,2),rate*I380)))</f>
        <v/>
      </c>
      <c r="H381" s="559" t="str">
        <f t="shared" ref="H381:H444" si="37">IF(B381="","",D381-G381+E381)</f>
        <v/>
      </c>
      <c r="I381" s="559" t="str">
        <f t="shared" ref="I381:I444" si="38">IF(B381="","",I380-H381)</f>
        <v/>
      </c>
    </row>
    <row r="382" spans="2:9">
      <c r="B382" s="555" t="str">
        <f t="shared" si="33"/>
        <v/>
      </c>
      <c r="C382" s="556" t="str">
        <f t="shared" si="34"/>
        <v/>
      </c>
      <c r="D382" s="557" t="str">
        <f t="shared" si="35"/>
        <v/>
      </c>
      <c r="E382" s="560"/>
      <c r="F382" s="559"/>
      <c r="G382" s="559" t="str">
        <f t="shared" si="36"/>
        <v/>
      </c>
      <c r="H382" s="559" t="str">
        <f t="shared" si="37"/>
        <v/>
      </c>
      <c r="I382" s="559" t="str">
        <f t="shared" si="38"/>
        <v/>
      </c>
    </row>
    <row r="383" spans="2:9">
      <c r="B383" s="555" t="str">
        <f t="shared" si="33"/>
        <v/>
      </c>
      <c r="C383" s="556" t="str">
        <f t="shared" si="34"/>
        <v/>
      </c>
      <c r="D383" s="557" t="str">
        <f t="shared" si="35"/>
        <v/>
      </c>
      <c r="E383" s="560"/>
      <c r="F383" s="559"/>
      <c r="G383" s="559" t="str">
        <f t="shared" si="36"/>
        <v/>
      </c>
      <c r="H383" s="559" t="str">
        <f t="shared" si="37"/>
        <v/>
      </c>
      <c r="I383" s="559" t="str">
        <f t="shared" si="38"/>
        <v/>
      </c>
    </row>
    <row r="384" spans="2:9">
      <c r="B384" s="555" t="str">
        <f t="shared" si="33"/>
        <v/>
      </c>
      <c r="C384" s="556" t="str">
        <f t="shared" si="34"/>
        <v/>
      </c>
      <c r="D384" s="557" t="str">
        <f t="shared" si="35"/>
        <v/>
      </c>
      <c r="E384" s="560"/>
      <c r="F384" s="559"/>
      <c r="G384" s="559" t="str">
        <f t="shared" si="36"/>
        <v/>
      </c>
      <c r="H384" s="559" t="str">
        <f t="shared" si="37"/>
        <v/>
      </c>
      <c r="I384" s="559" t="str">
        <f t="shared" si="38"/>
        <v/>
      </c>
    </row>
    <row r="385" spans="2:9">
      <c r="B385" s="555" t="str">
        <f t="shared" si="33"/>
        <v/>
      </c>
      <c r="C385" s="556" t="str">
        <f t="shared" si="34"/>
        <v/>
      </c>
      <c r="D385" s="557" t="str">
        <f t="shared" si="35"/>
        <v/>
      </c>
      <c r="E385" s="560"/>
      <c r="F385" s="559"/>
      <c r="G385" s="559" t="str">
        <f t="shared" si="36"/>
        <v/>
      </c>
      <c r="H385" s="559" t="str">
        <f t="shared" si="37"/>
        <v/>
      </c>
      <c r="I385" s="559" t="str">
        <f t="shared" si="38"/>
        <v/>
      </c>
    </row>
    <row r="386" spans="2:9">
      <c r="B386" s="555" t="str">
        <f t="shared" si="33"/>
        <v/>
      </c>
      <c r="C386" s="556" t="str">
        <f t="shared" si="34"/>
        <v/>
      </c>
      <c r="D386" s="557" t="str">
        <f t="shared" si="35"/>
        <v/>
      </c>
      <c r="E386" s="560"/>
      <c r="F386" s="559"/>
      <c r="G386" s="559" t="str">
        <f t="shared" si="36"/>
        <v/>
      </c>
      <c r="H386" s="559" t="str">
        <f t="shared" si="37"/>
        <v/>
      </c>
      <c r="I386" s="559" t="str">
        <f t="shared" si="38"/>
        <v/>
      </c>
    </row>
    <row r="387" spans="2:9">
      <c r="B387" s="555" t="str">
        <f t="shared" si="33"/>
        <v/>
      </c>
      <c r="C387" s="556" t="str">
        <f t="shared" si="34"/>
        <v/>
      </c>
      <c r="D387" s="557" t="str">
        <f t="shared" si="35"/>
        <v/>
      </c>
      <c r="E387" s="560"/>
      <c r="F387" s="559"/>
      <c r="G387" s="559" t="str">
        <f t="shared" si="36"/>
        <v/>
      </c>
      <c r="H387" s="559" t="str">
        <f t="shared" si="37"/>
        <v/>
      </c>
      <c r="I387" s="559" t="str">
        <f t="shared" si="38"/>
        <v/>
      </c>
    </row>
    <row r="388" spans="2:9">
      <c r="B388" s="555" t="str">
        <f t="shared" si="33"/>
        <v/>
      </c>
      <c r="C388" s="556" t="str">
        <f t="shared" si="34"/>
        <v/>
      </c>
      <c r="D388" s="557" t="str">
        <f t="shared" si="35"/>
        <v/>
      </c>
      <c r="E388" s="560"/>
      <c r="F388" s="559"/>
      <c r="G388" s="559" t="str">
        <f t="shared" si="36"/>
        <v/>
      </c>
      <c r="H388" s="559" t="str">
        <f t="shared" si="37"/>
        <v/>
      </c>
      <c r="I388" s="559" t="str">
        <f t="shared" si="38"/>
        <v/>
      </c>
    </row>
    <row r="389" spans="2:9">
      <c r="B389" s="555" t="str">
        <f t="shared" si="33"/>
        <v/>
      </c>
      <c r="C389" s="556" t="str">
        <f t="shared" si="34"/>
        <v/>
      </c>
      <c r="D389" s="557" t="str">
        <f t="shared" si="35"/>
        <v/>
      </c>
      <c r="E389" s="560"/>
      <c r="F389" s="559"/>
      <c r="G389" s="559" t="str">
        <f t="shared" si="36"/>
        <v/>
      </c>
      <c r="H389" s="559" t="str">
        <f t="shared" si="37"/>
        <v/>
      </c>
      <c r="I389" s="559" t="str">
        <f t="shared" si="38"/>
        <v/>
      </c>
    </row>
    <row r="390" spans="2:9">
      <c r="B390" s="555" t="str">
        <f t="shared" si="33"/>
        <v/>
      </c>
      <c r="C390" s="556" t="str">
        <f t="shared" si="34"/>
        <v/>
      </c>
      <c r="D390" s="557" t="str">
        <f t="shared" si="35"/>
        <v/>
      </c>
      <c r="E390" s="560"/>
      <c r="F390" s="559"/>
      <c r="G390" s="559" t="str">
        <f t="shared" si="36"/>
        <v/>
      </c>
      <c r="H390" s="559" t="str">
        <f t="shared" si="37"/>
        <v/>
      </c>
      <c r="I390" s="559" t="str">
        <f t="shared" si="38"/>
        <v/>
      </c>
    </row>
    <row r="391" spans="2:9">
      <c r="B391" s="555" t="str">
        <f t="shared" si="33"/>
        <v/>
      </c>
      <c r="C391" s="556" t="str">
        <f t="shared" si="34"/>
        <v/>
      </c>
      <c r="D391" s="557" t="str">
        <f t="shared" si="35"/>
        <v/>
      </c>
      <c r="E391" s="560"/>
      <c r="F391" s="559"/>
      <c r="G391" s="559" t="str">
        <f t="shared" si="36"/>
        <v/>
      </c>
      <c r="H391" s="559" t="str">
        <f t="shared" si="37"/>
        <v/>
      </c>
      <c r="I391" s="559" t="str">
        <f t="shared" si="38"/>
        <v/>
      </c>
    </row>
    <row r="392" spans="2:9">
      <c r="B392" s="555" t="str">
        <f t="shared" si="33"/>
        <v/>
      </c>
      <c r="C392" s="556" t="str">
        <f t="shared" si="34"/>
        <v/>
      </c>
      <c r="D392" s="557" t="str">
        <f t="shared" si="35"/>
        <v/>
      </c>
      <c r="E392" s="560"/>
      <c r="F392" s="559"/>
      <c r="G392" s="559" t="str">
        <f t="shared" si="36"/>
        <v/>
      </c>
      <c r="H392" s="559" t="str">
        <f t="shared" si="37"/>
        <v/>
      </c>
      <c r="I392" s="559" t="str">
        <f t="shared" si="38"/>
        <v/>
      </c>
    </row>
    <row r="393" spans="2:9">
      <c r="B393" s="555" t="str">
        <f t="shared" si="33"/>
        <v/>
      </c>
      <c r="C393" s="556" t="str">
        <f t="shared" si="34"/>
        <v/>
      </c>
      <c r="D393" s="557" t="str">
        <f t="shared" si="35"/>
        <v/>
      </c>
      <c r="E393" s="560"/>
      <c r="F393" s="559"/>
      <c r="G393" s="559" t="str">
        <f t="shared" si="36"/>
        <v/>
      </c>
      <c r="H393" s="559" t="str">
        <f t="shared" si="37"/>
        <v/>
      </c>
      <c r="I393" s="559" t="str">
        <f t="shared" si="38"/>
        <v/>
      </c>
    </row>
    <row r="394" spans="2:9">
      <c r="B394" s="555" t="str">
        <f t="shared" si="33"/>
        <v/>
      </c>
      <c r="C394" s="556" t="str">
        <f t="shared" si="34"/>
        <v/>
      </c>
      <c r="D394" s="557" t="str">
        <f t="shared" si="35"/>
        <v/>
      </c>
      <c r="E394" s="560"/>
      <c r="F394" s="559"/>
      <c r="G394" s="559" t="str">
        <f t="shared" si="36"/>
        <v/>
      </c>
      <c r="H394" s="559" t="str">
        <f t="shared" si="37"/>
        <v/>
      </c>
      <c r="I394" s="559" t="str">
        <f t="shared" si="38"/>
        <v/>
      </c>
    </row>
    <row r="395" spans="2:9">
      <c r="B395" s="555" t="str">
        <f t="shared" si="33"/>
        <v/>
      </c>
      <c r="C395" s="556" t="str">
        <f t="shared" si="34"/>
        <v/>
      </c>
      <c r="D395" s="557" t="str">
        <f t="shared" si="35"/>
        <v/>
      </c>
      <c r="E395" s="560"/>
      <c r="F395" s="559"/>
      <c r="G395" s="559" t="str">
        <f t="shared" si="36"/>
        <v/>
      </c>
      <c r="H395" s="559" t="str">
        <f t="shared" si="37"/>
        <v/>
      </c>
      <c r="I395" s="559" t="str">
        <f t="shared" si="38"/>
        <v/>
      </c>
    </row>
    <row r="396" spans="2:9">
      <c r="B396" s="555" t="str">
        <f t="shared" si="33"/>
        <v/>
      </c>
      <c r="C396" s="556" t="str">
        <f t="shared" si="34"/>
        <v/>
      </c>
      <c r="D396" s="557" t="str">
        <f t="shared" si="35"/>
        <v/>
      </c>
      <c r="E396" s="560"/>
      <c r="F396" s="559"/>
      <c r="G396" s="559" t="str">
        <f t="shared" si="36"/>
        <v/>
      </c>
      <c r="H396" s="559" t="str">
        <f t="shared" si="37"/>
        <v/>
      </c>
      <c r="I396" s="559" t="str">
        <f t="shared" si="38"/>
        <v/>
      </c>
    </row>
    <row r="397" spans="2:9">
      <c r="B397" s="555" t="str">
        <f t="shared" si="33"/>
        <v/>
      </c>
      <c r="C397" s="556" t="str">
        <f t="shared" si="34"/>
        <v/>
      </c>
      <c r="D397" s="557" t="str">
        <f t="shared" si="35"/>
        <v/>
      </c>
      <c r="E397" s="560"/>
      <c r="F397" s="559"/>
      <c r="G397" s="559" t="str">
        <f t="shared" si="36"/>
        <v/>
      </c>
      <c r="H397" s="559" t="str">
        <f t="shared" si="37"/>
        <v/>
      </c>
      <c r="I397" s="559" t="str">
        <f t="shared" si="38"/>
        <v/>
      </c>
    </row>
    <row r="398" spans="2:9">
      <c r="B398" s="555" t="str">
        <f t="shared" si="33"/>
        <v/>
      </c>
      <c r="C398" s="556" t="str">
        <f t="shared" si="34"/>
        <v/>
      </c>
      <c r="D398" s="557" t="str">
        <f t="shared" si="35"/>
        <v/>
      </c>
      <c r="E398" s="560"/>
      <c r="F398" s="559"/>
      <c r="G398" s="559" t="str">
        <f t="shared" si="36"/>
        <v/>
      </c>
      <c r="H398" s="559" t="str">
        <f t="shared" si="37"/>
        <v/>
      </c>
      <c r="I398" s="559" t="str">
        <f t="shared" si="38"/>
        <v/>
      </c>
    </row>
    <row r="399" spans="2:9">
      <c r="B399" s="555" t="str">
        <f t="shared" si="33"/>
        <v/>
      </c>
      <c r="C399" s="556" t="str">
        <f t="shared" si="34"/>
        <v/>
      </c>
      <c r="D399" s="557" t="str">
        <f t="shared" si="35"/>
        <v/>
      </c>
      <c r="E399" s="560"/>
      <c r="F399" s="559"/>
      <c r="G399" s="559" t="str">
        <f t="shared" si="36"/>
        <v/>
      </c>
      <c r="H399" s="559" t="str">
        <f t="shared" si="37"/>
        <v/>
      </c>
      <c r="I399" s="559" t="str">
        <f t="shared" si="38"/>
        <v/>
      </c>
    </row>
    <row r="400" spans="2:9">
      <c r="B400" s="555" t="str">
        <f t="shared" si="33"/>
        <v/>
      </c>
      <c r="C400" s="556" t="str">
        <f t="shared" si="34"/>
        <v/>
      </c>
      <c r="D400" s="557" t="str">
        <f t="shared" si="35"/>
        <v/>
      </c>
      <c r="E400" s="560"/>
      <c r="F400" s="559"/>
      <c r="G400" s="559" t="str">
        <f t="shared" si="36"/>
        <v/>
      </c>
      <c r="H400" s="559" t="str">
        <f t="shared" si="37"/>
        <v/>
      </c>
      <c r="I400" s="559" t="str">
        <f t="shared" si="38"/>
        <v/>
      </c>
    </row>
    <row r="401" spans="2:9">
      <c r="B401" s="555" t="str">
        <f t="shared" si="33"/>
        <v/>
      </c>
      <c r="C401" s="556" t="str">
        <f t="shared" si="34"/>
        <v/>
      </c>
      <c r="D401" s="557" t="str">
        <f t="shared" si="35"/>
        <v/>
      </c>
      <c r="E401" s="560"/>
      <c r="F401" s="559"/>
      <c r="G401" s="559" t="str">
        <f t="shared" si="36"/>
        <v/>
      </c>
      <c r="H401" s="559" t="str">
        <f t="shared" si="37"/>
        <v/>
      </c>
      <c r="I401" s="559" t="str">
        <f t="shared" si="38"/>
        <v/>
      </c>
    </row>
    <row r="402" spans="2:9">
      <c r="B402" s="555" t="str">
        <f t="shared" si="33"/>
        <v/>
      </c>
      <c r="C402" s="556" t="str">
        <f t="shared" si="34"/>
        <v/>
      </c>
      <c r="D402" s="557" t="str">
        <f t="shared" si="35"/>
        <v/>
      </c>
      <c r="E402" s="560"/>
      <c r="F402" s="559"/>
      <c r="G402" s="559" t="str">
        <f t="shared" si="36"/>
        <v/>
      </c>
      <c r="H402" s="559" t="str">
        <f t="shared" si="37"/>
        <v/>
      </c>
      <c r="I402" s="559" t="str">
        <f t="shared" si="38"/>
        <v/>
      </c>
    </row>
    <row r="403" spans="2:9">
      <c r="B403" s="555" t="str">
        <f t="shared" si="33"/>
        <v/>
      </c>
      <c r="C403" s="556" t="str">
        <f t="shared" si="34"/>
        <v/>
      </c>
      <c r="D403" s="557" t="str">
        <f t="shared" si="35"/>
        <v/>
      </c>
      <c r="E403" s="560"/>
      <c r="F403" s="559"/>
      <c r="G403" s="559" t="str">
        <f t="shared" si="36"/>
        <v/>
      </c>
      <c r="H403" s="559" t="str">
        <f t="shared" si="37"/>
        <v/>
      </c>
      <c r="I403" s="559" t="str">
        <f t="shared" si="38"/>
        <v/>
      </c>
    </row>
    <row r="404" spans="2:9">
      <c r="B404" s="555" t="str">
        <f t="shared" si="33"/>
        <v/>
      </c>
      <c r="C404" s="556" t="str">
        <f t="shared" si="34"/>
        <v/>
      </c>
      <c r="D404" s="557" t="str">
        <f t="shared" si="35"/>
        <v/>
      </c>
      <c r="E404" s="560"/>
      <c r="F404" s="559"/>
      <c r="G404" s="559" t="str">
        <f t="shared" si="36"/>
        <v/>
      </c>
      <c r="H404" s="559" t="str">
        <f t="shared" si="37"/>
        <v/>
      </c>
      <c r="I404" s="559" t="str">
        <f t="shared" si="38"/>
        <v/>
      </c>
    </row>
    <row r="405" spans="2:9">
      <c r="B405" s="555" t="str">
        <f t="shared" si="33"/>
        <v/>
      </c>
      <c r="C405" s="556" t="str">
        <f t="shared" si="34"/>
        <v/>
      </c>
      <c r="D405" s="557" t="str">
        <f t="shared" si="35"/>
        <v/>
      </c>
      <c r="E405" s="560"/>
      <c r="F405" s="559"/>
      <c r="G405" s="559" t="str">
        <f t="shared" si="36"/>
        <v/>
      </c>
      <c r="H405" s="559" t="str">
        <f t="shared" si="37"/>
        <v/>
      </c>
      <c r="I405" s="559" t="str">
        <f t="shared" si="38"/>
        <v/>
      </c>
    </row>
    <row r="406" spans="2:9">
      <c r="B406" s="555" t="str">
        <f t="shared" si="33"/>
        <v/>
      </c>
      <c r="C406" s="556" t="str">
        <f t="shared" si="34"/>
        <v/>
      </c>
      <c r="D406" s="557" t="str">
        <f t="shared" si="35"/>
        <v/>
      </c>
      <c r="E406" s="560"/>
      <c r="F406" s="559"/>
      <c r="G406" s="559" t="str">
        <f t="shared" si="36"/>
        <v/>
      </c>
      <c r="H406" s="559" t="str">
        <f t="shared" si="37"/>
        <v/>
      </c>
      <c r="I406" s="559" t="str">
        <f t="shared" si="38"/>
        <v/>
      </c>
    </row>
    <row r="407" spans="2:9">
      <c r="B407" s="555" t="str">
        <f t="shared" si="33"/>
        <v/>
      </c>
      <c r="C407" s="556" t="str">
        <f t="shared" si="34"/>
        <v/>
      </c>
      <c r="D407" s="557" t="str">
        <f t="shared" si="35"/>
        <v/>
      </c>
      <c r="E407" s="560"/>
      <c r="F407" s="559"/>
      <c r="G407" s="559" t="str">
        <f t="shared" si="36"/>
        <v/>
      </c>
      <c r="H407" s="559" t="str">
        <f t="shared" si="37"/>
        <v/>
      </c>
      <c r="I407" s="559" t="str">
        <f t="shared" si="38"/>
        <v/>
      </c>
    </row>
    <row r="408" spans="2:9">
      <c r="B408" s="555" t="str">
        <f t="shared" si="33"/>
        <v/>
      </c>
      <c r="C408" s="556" t="str">
        <f t="shared" si="34"/>
        <v/>
      </c>
      <c r="D408" s="557" t="str">
        <f t="shared" si="35"/>
        <v/>
      </c>
      <c r="E408" s="560"/>
      <c r="F408" s="559"/>
      <c r="G408" s="559" t="str">
        <f t="shared" si="36"/>
        <v/>
      </c>
      <c r="H408" s="559" t="str">
        <f t="shared" si="37"/>
        <v/>
      </c>
      <c r="I408" s="559" t="str">
        <f t="shared" si="38"/>
        <v/>
      </c>
    </row>
    <row r="409" spans="2:9">
      <c r="B409" s="555" t="str">
        <f t="shared" si="33"/>
        <v/>
      </c>
      <c r="C409" s="556" t="str">
        <f t="shared" si="34"/>
        <v/>
      </c>
      <c r="D409" s="557" t="str">
        <f t="shared" si="35"/>
        <v/>
      </c>
      <c r="E409" s="560"/>
      <c r="F409" s="559"/>
      <c r="G409" s="559" t="str">
        <f t="shared" si="36"/>
        <v/>
      </c>
      <c r="H409" s="559" t="str">
        <f t="shared" si="37"/>
        <v/>
      </c>
      <c r="I409" s="559" t="str">
        <f t="shared" si="38"/>
        <v/>
      </c>
    </row>
    <row r="410" spans="2:9">
      <c r="B410" s="555" t="str">
        <f t="shared" si="33"/>
        <v/>
      </c>
      <c r="C410" s="556" t="str">
        <f t="shared" si="34"/>
        <v/>
      </c>
      <c r="D410" s="557" t="str">
        <f t="shared" si="35"/>
        <v/>
      </c>
      <c r="E410" s="560"/>
      <c r="F410" s="559"/>
      <c r="G410" s="559" t="str">
        <f t="shared" si="36"/>
        <v/>
      </c>
      <c r="H410" s="559" t="str">
        <f t="shared" si="37"/>
        <v/>
      </c>
      <c r="I410" s="559" t="str">
        <f t="shared" si="38"/>
        <v/>
      </c>
    </row>
    <row r="411" spans="2:9">
      <c r="B411" s="555" t="str">
        <f t="shared" si="33"/>
        <v/>
      </c>
      <c r="C411" s="556" t="str">
        <f t="shared" si="34"/>
        <v/>
      </c>
      <c r="D411" s="557" t="str">
        <f t="shared" si="35"/>
        <v/>
      </c>
      <c r="E411" s="560"/>
      <c r="F411" s="559"/>
      <c r="G411" s="559" t="str">
        <f t="shared" si="36"/>
        <v/>
      </c>
      <c r="H411" s="559" t="str">
        <f t="shared" si="37"/>
        <v/>
      </c>
      <c r="I411" s="559" t="str">
        <f t="shared" si="38"/>
        <v/>
      </c>
    </row>
    <row r="412" spans="2:9">
      <c r="B412" s="555" t="str">
        <f t="shared" si="33"/>
        <v/>
      </c>
      <c r="C412" s="556" t="str">
        <f t="shared" si="34"/>
        <v/>
      </c>
      <c r="D412" s="557" t="str">
        <f t="shared" si="35"/>
        <v/>
      </c>
      <c r="E412" s="560"/>
      <c r="F412" s="559"/>
      <c r="G412" s="559" t="str">
        <f t="shared" si="36"/>
        <v/>
      </c>
      <c r="H412" s="559" t="str">
        <f t="shared" si="37"/>
        <v/>
      </c>
      <c r="I412" s="559" t="str">
        <f t="shared" si="38"/>
        <v/>
      </c>
    </row>
    <row r="413" spans="2:9">
      <c r="B413" s="555" t="str">
        <f t="shared" si="33"/>
        <v/>
      </c>
      <c r="C413" s="556" t="str">
        <f t="shared" si="34"/>
        <v/>
      </c>
      <c r="D413" s="557" t="str">
        <f t="shared" si="35"/>
        <v/>
      </c>
      <c r="E413" s="560"/>
      <c r="F413" s="559"/>
      <c r="G413" s="559" t="str">
        <f t="shared" si="36"/>
        <v/>
      </c>
      <c r="H413" s="559" t="str">
        <f t="shared" si="37"/>
        <v/>
      </c>
      <c r="I413" s="559" t="str">
        <f t="shared" si="38"/>
        <v/>
      </c>
    </row>
    <row r="414" spans="2:9">
      <c r="B414" s="555" t="str">
        <f t="shared" si="33"/>
        <v/>
      </c>
      <c r="C414" s="556" t="str">
        <f t="shared" si="34"/>
        <v/>
      </c>
      <c r="D414" s="557" t="str">
        <f t="shared" si="35"/>
        <v/>
      </c>
      <c r="E414" s="560"/>
      <c r="F414" s="559"/>
      <c r="G414" s="559" t="str">
        <f t="shared" si="36"/>
        <v/>
      </c>
      <c r="H414" s="559" t="str">
        <f t="shared" si="37"/>
        <v/>
      </c>
      <c r="I414" s="559" t="str">
        <f t="shared" si="38"/>
        <v/>
      </c>
    </row>
    <row r="415" spans="2:9">
      <c r="B415" s="555" t="str">
        <f t="shared" si="33"/>
        <v/>
      </c>
      <c r="C415" s="556" t="str">
        <f t="shared" si="34"/>
        <v/>
      </c>
      <c r="D415" s="557" t="str">
        <f t="shared" si="35"/>
        <v/>
      </c>
      <c r="E415" s="560"/>
      <c r="F415" s="559"/>
      <c r="G415" s="559" t="str">
        <f t="shared" si="36"/>
        <v/>
      </c>
      <c r="H415" s="559" t="str">
        <f t="shared" si="37"/>
        <v/>
      </c>
      <c r="I415" s="559" t="str">
        <f t="shared" si="38"/>
        <v/>
      </c>
    </row>
    <row r="416" spans="2:9">
      <c r="B416" s="555" t="str">
        <f t="shared" si="33"/>
        <v/>
      </c>
      <c r="C416" s="556" t="str">
        <f t="shared" si="34"/>
        <v/>
      </c>
      <c r="D416" s="557" t="str">
        <f t="shared" si="35"/>
        <v/>
      </c>
      <c r="E416" s="560"/>
      <c r="F416" s="559"/>
      <c r="G416" s="559" t="str">
        <f t="shared" si="36"/>
        <v/>
      </c>
      <c r="H416" s="559" t="str">
        <f t="shared" si="37"/>
        <v/>
      </c>
      <c r="I416" s="559" t="str">
        <f t="shared" si="38"/>
        <v/>
      </c>
    </row>
    <row r="417" spans="2:9">
      <c r="B417" s="555" t="str">
        <f t="shared" si="33"/>
        <v/>
      </c>
      <c r="C417" s="556" t="str">
        <f t="shared" si="34"/>
        <v/>
      </c>
      <c r="D417" s="557" t="str">
        <f t="shared" si="35"/>
        <v/>
      </c>
      <c r="E417" s="560"/>
      <c r="F417" s="559"/>
      <c r="G417" s="559" t="str">
        <f t="shared" si="36"/>
        <v/>
      </c>
      <c r="H417" s="559" t="str">
        <f t="shared" si="37"/>
        <v/>
      </c>
      <c r="I417" s="559" t="str">
        <f t="shared" si="38"/>
        <v/>
      </c>
    </row>
    <row r="418" spans="2:9">
      <c r="B418" s="555" t="str">
        <f t="shared" si="33"/>
        <v/>
      </c>
      <c r="C418" s="556" t="str">
        <f t="shared" si="34"/>
        <v/>
      </c>
      <c r="D418" s="557" t="str">
        <f t="shared" si="35"/>
        <v/>
      </c>
      <c r="E418" s="560"/>
      <c r="F418" s="559"/>
      <c r="G418" s="559" t="str">
        <f t="shared" si="36"/>
        <v/>
      </c>
      <c r="H418" s="559" t="str">
        <f t="shared" si="37"/>
        <v/>
      </c>
      <c r="I418" s="559" t="str">
        <f t="shared" si="38"/>
        <v/>
      </c>
    </row>
    <row r="419" spans="2:9">
      <c r="B419" s="555" t="str">
        <f t="shared" si="33"/>
        <v/>
      </c>
      <c r="C419" s="556" t="str">
        <f t="shared" si="34"/>
        <v/>
      </c>
      <c r="D419" s="557" t="str">
        <f t="shared" si="35"/>
        <v/>
      </c>
      <c r="E419" s="560"/>
      <c r="F419" s="559"/>
      <c r="G419" s="559" t="str">
        <f t="shared" si="36"/>
        <v/>
      </c>
      <c r="H419" s="559" t="str">
        <f t="shared" si="37"/>
        <v/>
      </c>
      <c r="I419" s="559" t="str">
        <f t="shared" si="38"/>
        <v/>
      </c>
    </row>
    <row r="420" spans="2:9">
      <c r="B420" s="555" t="str">
        <f t="shared" si="33"/>
        <v/>
      </c>
      <c r="C420" s="556" t="str">
        <f t="shared" si="34"/>
        <v/>
      </c>
      <c r="D420" s="557" t="str">
        <f t="shared" si="35"/>
        <v/>
      </c>
      <c r="E420" s="560"/>
      <c r="F420" s="559"/>
      <c r="G420" s="559" t="str">
        <f t="shared" si="36"/>
        <v/>
      </c>
      <c r="H420" s="559" t="str">
        <f t="shared" si="37"/>
        <v/>
      </c>
      <c r="I420" s="559" t="str">
        <f t="shared" si="38"/>
        <v/>
      </c>
    </row>
    <row r="421" spans="2:9">
      <c r="B421" s="555" t="str">
        <f t="shared" si="33"/>
        <v/>
      </c>
      <c r="C421" s="556" t="str">
        <f t="shared" si="34"/>
        <v/>
      </c>
      <c r="D421" s="557" t="str">
        <f t="shared" si="35"/>
        <v/>
      </c>
      <c r="E421" s="560"/>
      <c r="F421" s="559"/>
      <c r="G421" s="559" t="str">
        <f t="shared" si="36"/>
        <v/>
      </c>
      <c r="H421" s="559" t="str">
        <f t="shared" si="37"/>
        <v/>
      </c>
      <c r="I421" s="559" t="str">
        <f t="shared" si="38"/>
        <v/>
      </c>
    </row>
    <row r="422" spans="2:9">
      <c r="B422" s="555" t="str">
        <f t="shared" si="33"/>
        <v/>
      </c>
      <c r="C422" s="556" t="str">
        <f t="shared" si="34"/>
        <v/>
      </c>
      <c r="D422" s="557" t="str">
        <f t="shared" si="35"/>
        <v/>
      </c>
      <c r="E422" s="560"/>
      <c r="F422" s="559"/>
      <c r="G422" s="559" t="str">
        <f t="shared" si="36"/>
        <v/>
      </c>
      <c r="H422" s="559" t="str">
        <f t="shared" si="37"/>
        <v/>
      </c>
      <c r="I422" s="559" t="str">
        <f t="shared" si="38"/>
        <v/>
      </c>
    </row>
    <row r="423" spans="2:9">
      <c r="B423" s="555" t="str">
        <f t="shared" si="33"/>
        <v/>
      </c>
      <c r="C423" s="556" t="str">
        <f t="shared" si="34"/>
        <v/>
      </c>
      <c r="D423" s="557" t="str">
        <f t="shared" si="35"/>
        <v/>
      </c>
      <c r="E423" s="560"/>
      <c r="F423" s="559"/>
      <c r="G423" s="559" t="str">
        <f t="shared" si="36"/>
        <v/>
      </c>
      <c r="H423" s="559" t="str">
        <f t="shared" si="37"/>
        <v/>
      </c>
      <c r="I423" s="559" t="str">
        <f t="shared" si="38"/>
        <v/>
      </c>
    </row>
    <row r="424" spans="2:9">
      <c r="B424" s="555" t="str">
        <f t="shared" si="33"/>
        <v/>
      </c>
      <c r="C424" s="556" t="str">
        <f t="shared" si="34"/>
        <v/>
      </c>
      <c r="D424" s="557" t="str">
        <f t="shared" si="35"/>
        <v/>
      </c>
      <c r="E424" s="560"/>
      <c r="F424" s="559"/>
      <c r="G424" s="559" t="str">
        <f t="shared" si="36"/>
        <v/>
      </c>
      <c r="H424" s="559" t="str">
        <f t="shared" si="37"/>
        <v/>
      </c>
      <c r="I424" s="559" t="str">
        <f t="shared" si="38"/>
        <v/>
      </c>
    </row>
    <row r="425" spans="2:9">
      <c r="B425" s="555" t="str">
        <f t="shared" si="33"/>
        <v/>
      </c>
      <c r="C425" s="556" t="str">
        <f t="shared" si="34"/>
        <v/>
      </c>
      <c r="D425" s="557" t="str">
        <f t="shared" si="35"/>
        <v/>
      </c>
      <c r="E425" s="560"/>
      <c r="F425" s="559"/>
      <c r="G425" s="559" t="str">
        <f t="shared" si="36"/>
        <v/>
      </c>
      <c r="H425" s="559" t="str">
        <f t="shared" si="37"/>
        <v/>
      </c>
      <c r="I425" s="559" t="str">
        <f t="shared" si="38"/>
        <v/>
      </c>
    </row>
    <row r="426" spans="2:9">
      <c r="B426" s="555" t="str">
        <f t="shared" si="33"/>
        <v/>
      </c>
      <c r="C426" s="556" t="str">
        <f t="shared" si="34"/>
        <v/>
      </c>
      <c r="D426" s="557" t="str">
        <f t="shared" si="35"/>
        <v/>
      </c>
      <c r="E426" s="560"/>
      <c r="F426" s="559"/>
      <c r="G426" s="559" t="str">
        <f t="shared" si="36"/>
        <v/>
      </c>
      <c r="H426" s="559" t="str">
        <f t="shared" si="37"/>
        <v/>
      </c>
      <c r="I426" s="559" t="str">
        <f t="shared" si="38"/>
        <v/>
      </c>
    </row>
    <row r="427" spans="2:9">
      <c r="B427" s="555" t="str">
        <f t="shared" si="33"/>
        <v/>
      </c>
      <c r="C427" s="556" t="str">
        <f t="shared" si="34"/>
        <v/>
      </c>
      <c r="D427" s="557" t="str">
        <f t="shared" si="35"/>
        <v/>
      </c>
      <c r="E427" s="560"/>
      <c r="F427" s="559"/>
      <c r="G427" s="559" t="str">
        <f t="shared" si="36"/>
        <v/>
      </c>
      <c r="H427" s="559" t="str">
        <f t="shared" si="37"/>
        <v/>
      </c>
      <c r="I427" s="559" t="str">
        <f t="shared" si="38"/>
        <v/>
      </c>
    </row>
    <row r="428" spans="2:9">
      <c r="B428" s="555" t="str">
        <f t="shared" si="33"/>
        <v/>
      </c>
      <c r="C428" s="556" t="str">
        <f t="shared" si="34"/>
        <v/>
      </c>
      <c r="D428" s="557" t="str">
        <f t="shared" si="35"/>
        <v/>
      </c>
      <c r="E428" s="560"/>
      <c r="F428" s="559"/>
      <c r="G428" s="559" t="str">
        <f t="shared" si="36"/>
        <v/>
      </c>
      <c r="H428" s="559" t="str">
        <f t="shared" si="37"/>
        <v/>
      </c>
      <c r="I428" s="559" t="str">
        <f t="shared" si="38"/>
        <v/>
      </c>
    </row>
    <row r="429" spans="2:9">
      <c r="B429" s="555" t="str">
        <f t="shared" si="33"/>
        <v/>
      </c>
      <c r="C429" s="556" t="str">
        <f t="shared" si="34"/>
        <v/>
      </c>
      <c r="D429" s="557" t="str">
        <f t="shared" si="35"/>
        <v/>
      </c>
      <c r="E429" s="560"/>
      <c r="F429" s="559"/>
      <c r="G429" s="559" t="str">
        <f t="shared" si="36"/>
        <v/>
      </c>
      <c r="H429" s="559" t="str">
        <f t="shared" si="37"/>
        <v/>
      </c>
      <c r="I429" s="559" t="str">
        <f t="shared" si="38"/>
        <v/>
      </c>
    </row>
    <row r="430" spans="2:9">
      <c r="B430" s="555" t="str">
        <f t="shared" si="33"/>
        <v/>
      </c>
      <c r="C430" s="556" t="str">
        <f t="shared" si="34"/>
        <v/>
      </c>
      <c r="D430" s="557" t="str">
        <f t="shared" si="35"/>
        <v/>
      </c>
      <c r="E430" s="560"/>
      <c r="F430" s="559"/>
      <c r="G430" s="559" t="str">
        <f t="shared" si="36"/>
        <v/>
      </c>
      <c r="H430" s="559" t="str">
        <f t="shared" si="37"/>
        <v/>
      </c>
      <c r="I430" s="559" t="str">
        <f t="shared" si="38"/>
        <v/>
      </c>
    </row>
    <row r="431" spans="2:9">
      <c r="B431" s="555" t="str">
        <f t="shared" si="33"/>
        <v/>
      </c>
      <c r="C431" s="556" t="str">
        <f t="shared" si="34"/>
        <v/>
      </c>
      <c r="D431" s="557" t="str">
        <f t="shared" si="35"/>
        <v/>
      </c>
      <c r="E431" s="560"/>
      <c r="F431" s="559"/>
      <c r="G431" s="559" t="str">
        <f t="shared" si="36"/>
        <v/>
      </c>
      <c r="H431" s="559" t="str">
        <f t="shared" si="37"/>
        <v/>
      </c>
      <c r="I431" s="559" t="str">
        <f t="shared" si="38"/>
        <v/>
      </c>
    </row>
    <row r="432" spans="2:9">
      <c r="B432" s="555" t="str">
        <f t="shared" si="33"/>
        <v/>
      </c>
      <c r="C432" s="556" t="str">
        <f t="shared" si="34"/>
        <v/>
      </c>
      <c r="D432" s="557" t="str">
        <f t="shared" si="35"/>
        <v/>
      </c>
      <c r="E432" s="560"/>
      <c r="F432" s="559"/>
      <c r="G432" s="559" t="str">
        <f t="shared" si="36"/>
        <v/>
      </c>
      <c r="H432" s="559" t="str">
        <f t="shared" si="37"/>
        <v/>
      </c>
      <c r="I432" s="559" t="str">
        <f t="shared" si="38"/>
        <v/>
      </c>
    </row>
    <row r="433" spans="2:9">
      <c r="B433" s="555" t="str">
        <f t="shared" si="33"/>
        <v/>
      </c>
      <c r="C433" s="556" t="str">
        <f t="shared" si="34"/>
        <v/>
      </c>
      <c r="D433" s="557" t="str">
        <f t="shared" si="35"/>
        <v/>
      </c>
      <c r="E433" s="560"/>
      <c r="F433" s="559"/>
      <c r="G433" s="559" t="str">
        <f t="shared" si="36"/>
        <v/>
      </c>
      <c r="H433" s="559" t="str">
        <f t="shared" si="37"/>
        <v/>
      </c>
      <c r="I433" s="559" t="str">
        <f t="shared" si="38"/>
        <v/>
      </c>
    </row>
    <row r="434" spans="2:9">
      <c r="B434" s="555" t="str">
        <f t="shared" si="33"/>
        <v/>
      </c>
      <c r="C434" s="556" t="str">
        <f t="shared" si="34"/>
        <v/>
      </c>
      <c r="D434" s="557" t="str">
        <f t="shared" si="35"/>
        <v/>
      </c>
      <c r="E434" s="560"/>
      <c r="F434" s="559"/>
      <c r="G434" s="559" t="str">
        <f t="shared" si="36"/>
        <v/>
      </c>
      <c r="H434" s="559" t="str">
        <f t="shared" si="37"/>
        <v/>
      </c>
      <c r="I434" s="559" t="str">
        <f t="shared" si="38"/>
        <v/>
      </c>
    </row>
    <row r="435" spans="2:9">
      <c r="B435" s="555" t="str">
        <f t="shared" si="33"/>
        <v/>
      </c>
      <c r="C435" s="556" t="str">
        <f t="shared" si="34"/>
        <v/>
      </c>
      <c r="D435" s="557" t="str">
        <f t="shared" si="35"/>
        <v/>
      </c>
      <c r="E435" s="560"/>
      <c r="F435" s="559"/>
      <c r="G435" s="559" t="str">
        <f t="shared" si="36"/>
        <v/>
      </c>
      <c r="H435" s="559" t="str">
        <f t="shared" si="37"/>
        <v/>
      </c>
      <c r="I435" s="559" t="str">
        <f t="shared" si="38"/>
        <v/>
      </c>
    </row>
    <row r="436" spans="2:9">
      <c r="B436" s="555" t="str">
        <f t="shared" si="33"/>
        <v/>
      </c>
      <c r="C436" s="556" t="str">
        <f t="shared" si="34"/>
        <v/>
      </c>
      <c r="D436" s="557" t="str">
        <f t="shared" si="35"/>
        <v/>
      </c>
      <c r="E436" s="560"/>
      <c r="F436" s="559"/>
      <c r="G436" s="559" t="str">
        <f t="shared" si="36"/>
        <v/>
      </c>
      <c r="H436" s="559" t="str">
        <f t="shared" si="37"/>
        <v/>
      </c>
      <c r="I436" s="559" t="str">
        <f t="shared" si="38"/>
        <v/>
      </c>
    </row>
    <row r="437" spans="2:9">
      <c r="B437" s="555" t="str">
        <f t="shared" si="33"/>
        <v/>
      </c>
      <c r="C437" s="556" t="str">
        <f t="shared" si="34"/>
        <v/>
      </c>
      <c r="D437" s="557" t="str">
        <f t="shared" si="35"/>
        <v/>
      </c>
      <c r="E437" s="560"/>
      <c r="F437" s="559"/>
      <c r="G437" s="559" t="str">
        <f t="shared" si="36"/>
        <v/>
      </c>
      <c r="H437" s="559" t="str">
        <f t="shared" si="37"/>
        <v/>
      </c>
      <c r="I437" s="559" t="str">
        <f t="shared" si="38"/>
        <v/>
      </c>
    </row>
    <row r="438" spans="2:9">
      <c r="B438" s="555" t="str">
        <f t="shared" si="33"/>
        <v/>
      </c>
      <c r="C438" s="556" t="str">
        <f t="shared" si="34"/>
        <v/>
      </c>
      <c r="D438" s="557" t="str">
        <f t="shared" si="35"/>
        <v/>
      </c>
      <c r="E438" s="560"/>
      <c r="F438" s="559"/>
      <c r="G438" s="559" t="str">
        <f t="shared" si="36"/>
        <v/>
      </c>
      <c r="H438" s="559" t="str">
        <f t="shared" si="37"/>
        <v/>
      </c>
      <c r="I438" s="559" t="str">
        <f t="shared" si="38"/>
        <v/>
      </c>
    </row>
    <row r="439" spans="2:9">
      <c r="B439" s="555" t="str">
        <f t="shared" si="33"/>
        <v/>
      </c>
      <c r="C439" s="556" t="str">
        <f t="shared" si="34"/>
        <v/>
      </c>
      <c r="D439" s="557" t="str">
        <f t="shared" si="35"/>
        <v/>
      </c>
      <c r="E439" s="560"/>
      <c r="F439" s="559"/>
      <c r="G439" s="559" t="str">
        <f t="shared" si="36"/>
        <v/>
      </c>
      <c r="H439" s="559" t="str">
        <f t="shared" si="37"/>
        <v/>
      </c>
      <c r="I439" s="559" t="str">
        <f t="shared" si="38"/>
        <v/>
      </c>
    </row>
    <row r="440" spans="2:9">
      <c r="B440" s="555" t="str">
        <f t="shared" si="33"/>
        <v/>
      </c>
      <c r="C440" s="556" t="str">
        <f t="shared" si="34"/>
        <v/>
      </c>
      <c r="D440" s="557" t="str">
        <f t="shared" si="35"/>
        <v/>
      </c>
      <c r="E440" s="560"/>
      <c r="F440" s="559"/>
      <c r="G440" s="559" t="str">
        <f t="shared" si="36"/>
        <v/>
      </c>
      <c r="H440" s="559" t="str">
        <f t="shared" si="37"/>
        <v/>
      </c>
      <c r="I440" s="559" t="str">
        <f t="shared" si="38"/>
        <v/>
      </c>
    </row>
    <row r="441" spans="2:9">
      <c r="B441" s="555" t="str">
        <f t="shared" si="33"/>
        <v/>
      </c>
      <c r="C441" s="556" t="str">
        <f t="shared" si="34"/>
        <v/>
      </c>
      <c r="D441" s="557" t="str">
        <f t="shared" si="35"/>
        <v/>
      </c>
      <c r="E441" s="560"/>
      <c r="F441" s="559"/>
      <c r="G441" s="559" t="str">
        <f t="shared" si="36"/>
        <v/>
      </c>
      <c r="H441" s="559" t="str">
        <f t="shared" si="37"/>
        <v/>
      </c>
      <c r="I441" s="559" t="str">
        <f t="shared" si="38"/>
        <v/>
      </c>
    </row>
    <row r="442" spans="2:9">
      <c r="B442" s="555" t="str">
        <f t="shared" si="33"/>
        <v/>
      </c>
      <c r="C442" s="556" t="str">
        <f t="shared" si="34"/>
        <v/>
      </c>
      <c r="D442" s="557" t="str">
        <f t="shared" si="35"/>
        <v/>
      </c>
      <c r="E442" s="560"/>
      <c r="F442" s="559"/>
      <c r="G442" s="559" t="str">
        <f t="shared" si="36"/>
        <v/>
      </c>
      <c r="H442" s="559" t="str">
        <f t="shared" si="37"/>
        <v/>
      </c>
      <c r="I442" s="559" t="str">
        <f t="shared" si="38"/>
        <v/>
      </c>
    </row>
    <row r="443" spans="2:9">
      <c r="B443" s="555" t="str">
        <f t="shared" si="33"/>
        <v/>
      </c>
      <c r="C443" s="556" t="str">
        <f t="shared" si="34"/>
        <v/>
      </c>
      <c r="D443" s="557" t="str">
        <f t="shared" si="35"/>
        <v/>
      </c>
      <c r="E443" s="560"/>
      <c r="F443" s="559"/>
      <c r="G443" s="559" t="str">
        <f t="shared" si="36"/>
        <v/>
      </c>
      <c r="H443" s="559" t="str">
        <f t="shared" si="37"/>
        <v/>
      </c>
      <c r="I443" s="559" t="str">
        <f t="shared" si="38"/>
        <v/>
      </c>
    </row>
    <row r="444" spans="2:9">
      <c r="B444" s="555" t="str">
        <f t="shared" si="33"/>
        <v/>
      </c>
      <c r="C444" s="556" t="str">
        <f t="shared" si="34"/>
        <v/>
      </c>
      <c r="D444" s="557" t="str">
        <f t="shared" si="35"/>
        <v/>
      </c>
      <c r="E444" s="560"/>
      <c r="F444" s="559"/>
      <c r="G444" s="559" t="str">
        <f t="shared" si="36"/>
        <v/>
      </c>
      <c r="H444" s="559" t="str">
        <f t="shared" si="37"/>
        <v/>
      </c>
      <c r="I444" s="559" t="str">
        <f t="shared" si="38"/>
        <v/>
      </c>
    </row>
    <row r="445" spans="2:9">
      <c r="B445" s="555" t="str">
        <f t="shared" ref="B445:B508" si="39">IF(I444="","",IF(roundOpt,IF(OR(B444&gt;=nper,ROUND(I444,2)&lt;=0),"",B444+1),IF(OR(B444&gt;=nper,I444&lt;=0),"",B444+1)))</f>
        <v/>
      </c>
      <c r="C445" s="556" t="str">
        <f t="shared" ref="C445:C508" si="40">IF(B445="","",IF(OR(periods_per_year=26,periods_per_year=52),IF(periods_per_year=26,IF(B445=1,fpdate,C444+14),IF(periods_per_year=52,IF(B445=1,fpdate,C444+7),"n/a")),IF(periods_per_year=24,DATE(YEAR(fpdate),MONTH(fpdate)+(B445-1)/2+IF(AND(DAY(fpdate)&gt;=15,MOD(B445,2)=0),1,0),IF(MOD(B445,2)=0,IF(DAY(fpdate)&gt;=15,DAY(fpdate)-14,DAY(fpdate)+14),DAY(fpdate))),IF(DAY(DATE(YEAR(fpdate),MONTH(fpdate)+(B445-1)*months_per_period,DAY(fpdate)))&lt;&gt;DAY(fpdate),DATE(YEAR(fpdate),MONTH(fpdate)+(B445-1)*months_per_period+1,0),DATE(YEAR(fpdate),MONTH(fpdate)+(B445-1)*months_per_period,DAY(fpdate))))))</f>
        <v/>
      </c>
      <c r="D445" s="557" t="str">
        <f t="shared" ref="D445:D508" si="41">IF(B445="","",IF(roundOpt,IF(OR(B445=nper,payment&gt;ROUND((1+rate)*I444,2)),ROUND((1+rate)*I444,2),payment),IF(OR(B445=nper,payment&gt;(1+rate)*I444),(1+rate)*I444,payment)))</f>
        <v/>
      </c>
      <c r="E445" s="560"/>
      <c r="F445" s="559"/>
      <c r="G445" s="559" t="str">
        <f t="shared" ref="G445:G508" si="42">IF(B445="","",IF(AND(B445=1,pmtType=1),0,IF(roundOpt,ROUND(rate*I444,2),rate*I444)))</f>
        <v/>
      </c>
      <c r="H445" s="559" t="str">
        <f t="shared" ref="H445:H508" si="43">IF(B445="","",D445-G445+E445)</f>
        <v/>
      </c>
      <c r="I445" s="559" t="str">
        <f t="shared" ref="I445:I508" si="44">IF(B445="","",I444-H445)</f>
        <v/>
      </c>
    </row>
    <row r="446" spans="2:9">
      <c r="B446" s="555" t="str">
        <f t="shared" si="39"/>
        <v/>
      </c>
      <c r="C446" s="556" t="str">
        <f t="shared" si="40"/>
        <v/>
      </c>
      <c r="D446" s="557" t="str">
        <f t="shared" si="41"/>
        <v/>
      </c>
      <c r="E446" s="560"/>
      <c r="F446" s="559"/>
      <c r="G446" s="559" t="str">
        <f t="shared" si="42"/>
        <v/>
      </c>
      <c r="H446" s="559" t="str">
        <f t="shared" si="43"/>
        <v/>
      </c>
      <c r="I446" s="559" t="str">
        <f t="shared" si="44"/>
        <v/>
      </c>
    </row>
    <row r="447" spans="2:9">
      <c r="B447" s="555" t="str">
        <f t="shared" si="39"/>
        <v/>
      </c>
      <c r="C447" s="556" t="str">
        <f t="shared" si="40"/>
        <v/>
      </c>
      <c r="D447" s="557" t="str">
        <f t="shared" si="41"/>
        <v/>
      </c>
      <c r="E447" s="560"/>
      <c r="F447" s="559"/>
      <c r="G447" s="559" t="str">
        <f t="shared" si="42"/>
        <v/>
      </c>
      <c r="H447" s="559" t="str">
        <f t="shared" si="43"/>
        <v/>
      </c>
      <c r="I447" s="559" t="str">
        <f t="shared" si="44"/>
        <v/>
      </c>
    </row>
    <row r="448" spans="2:9">
      <c r="B448" s="555" t="str">
        <f t="shared" si="39"/>
        <v/>
      </c>
      <c r="C448" s="556" t="str">
        <f t="shared" si="40"/>
        <v/>
      </c>
      <c r="D448" s="557" t="str">
        <f t="shared" si="41"/>
        <v/>
      </c>
      <c r="E448" s="560"/>
      <c r="F448" s="559"/>
      <c r="G448" s="559" t="str">
        <f t="shared" si="42"/>
        <v/>
      </c>
      <c r="H448" s="559" t="str">
        <f t="shared" si="43"/>
        <v/>
      </c>
      <c r="I448" s="559" t="str">
        <f t="shared" si="44"/>
        <v/>
      </c>
    </row>
    <row r="449" spans="2:9">
      <c r="B449" s="555" t="str">
        <f t="shared" si="39"/>
        <v/>
      </c>
      <c r="C449" s="556" t="str">
        <f t="shared" si="40"/>
        <v/>
      </c>
      <c r="D449" s="557" t="str">
        <f t="shared" si="41"/>
        <v/>
      </c>
      <c r="E449" s="560"/>
      <c r="F449" s="559"/>
      <c r="G449" s="559" t="str">
        <f t="shared" si="42"/>
        <v/>
      </c>
      <c r="H449" s="559" t="str">
        <f t="shared" si="43"/>
        <v/>
      </c>
      <c r="I449" s="559" t="str">
        <f t="shared" si="44"/>
        <v/>
      </c>
    </row>
    <row r="450" spans="2:9">
      <c r="B450" s="555" t="str">
        <f t="shared" si="39"/>
        <v/>
      </c>
      <c r="C450" s="556" t="str">
        <f t="shared" si="40"/>
        <v/>
      </c>
      <c r="D450" s="557" t="str">
        <f t="shared" si="41"/>
        <v/>
      </c>
      <c r="E450" s="560"/>
      <c r="F450" s="559"/>
      <c r="G450" s="559" t="str">
        <f t="shared" si="42"/>
        <v/>
      </c>
      <c r="H450" s="559" t="str">
        <f t="shared" si="43"/>
        <v/>
      </c>
      <c r="I450" s="559" t="str">
        <f t="shared" si="44"/>
        <v/>
      </c>
    </row>
    <row r="451" spans="2:9">
      <c r="B451" s="555" t="str">
        <f t="shared" si="39"/>
        <v/>
      </c>
      <c r="C451" s="556" t="str">
        <f t="shared" si="40"/>
        <v/>
      </c>
      <c r="D451" s="557" t="str">
        <f t="shared" si="41"/>
        <v/>
      </c>
      <c r="E451" s="560"/>
      <c r="F451" s="559"/>
      <c r="G451" s="559" t="str">
        <f t="shared" si="42"/>
        <v/>
      </c>
      <c r="H451" s="559" t="str">
        <f t="shared" si="43"/>
        <v/>
      </c>
      <c r="I451" s="559" t="str">
        <f t="shared" si="44"/>
        <v/>
      </c>
    </row>
    <row r="452" spans="2:9">
      <c r="B452" s="555" t="str">
        <f t="shared" si="39"/>
        <v/>
      </c>
      <c r="C452" s="556" t="str">
        <f t="shared" si="40"/>
        <v/>
      </c>
      <c r="D452" s="557" t="str">
        <f t="shared" si="41"/>
        <v/>
      </c>
      <c r="E452" s="560"/>
      <c r="F452" s="559"/>
      <c r="G452" s="559" t="str">
        <f t="shared" si="42"/>
        <v/>
      </c>
      <c r="H452" s="559" t="str">
        <f t="shared" si="43"/>
        <v/>
      </c>
      <c r="I452" s="559" t="str">
        <f t="shared" si="44"/>
        <v/>
      </c>
    </row>
    <row r="453" spans="2:9">
      <c r="B453" s="555" t="str">
        <f t="shared" si="39"/>
        <v/>
      </c>
      <c r="C453" s="556" t="str">
        <f t="shared" si="40"/>
        <v/>
      </c>
      <c r="D453" s="557" t="str">
        <f t="shared" si="41"/>
        <v/>
      </c>
      <c r="E453" s="560"/>
      <c r="F453" s="559"/>
      <c r="G453" s="559" t="str">
        <f t="shared" si="42"/>
        <v/>
      </c>
      <c r="H453" s="559" t="str">
        <f t="shared" si="43"/>
        <v/>
      </c>
      <c r="I453" s="559" t="str">
        <f t="shared" si="44"/>
        <v/>
      </c>
    </row>
    <row r="454" spans="2:9">
      <c r="B454" s="555" t="str">
        <f t="shared" si="39"/>
        <v/>
      </c>
      <c r="C454" s="556" t="str">
        <f t="shared" si="40"/>
        <v/>
      </c>
      <c r="D454" s="557" t="str">
        <f t="shared" si="41"/>
        <v/>
      </c>
      <c r="E454" s="560"/>
      <c r="F454" s="559"/>
      <c r="G454" s="559" t="str">
        <f t="shared" si="42"/>
        <v/>
      </c>
      <c r="H454" s="559" t="str">
        <f t="shared" si="43"/>
        <v/>
      </c>
      <c r="I454" s="559" t="str">
        <f t="shared" si="44"/>
        <v/>
      </c>
    </row>
    <row r="455" spans="2:9">
      <c r="B455" s="555" t="str">
        <f t="shared" si="39"/>
        <v/>
      </c>
      <c r="C455" s="556" t="str">
        <f t="shared" si="40"/>
        <v/>
      </c>
      <c r="D455" s="557" t="str">
        <f t="shared" si="41"/>
        <v/>
      </c>
      <c r="E455" s="560"/>
      <c r="F455" s="559"/>
      <c r="G455" s="559" t="str">
        <f t="shared" si="42"/>
        <v/>
      </c>
      <c r="H455" s="559" t="str">
        <f t="shared" si="43"/>
        <v/>
      </c>
      <c r="I455" s="559" t="str">
        <f t="shared" si="44"/>
        <v/>
      </c>
    </row>
    <row r="456" spans="2:9">
      <c r="B456" s="555" t="str">
        <f t="shared" si="39"/>
        <v/>
      </c>
      <c r="C456" s="556" t="str">
        <f t="shared" si="40"/>
        <v/>
      </c>
      <c r="D456" s="557" t="str">
        <f t="shared" si="41"/>
        <v/>
      </c>
      <c r="E456" s="560"/>
      <c r="F456" s="559"/>
      <c r="G456" s="559" t="str">
        <f t="shared" si="42"/>
        <v/>
      </c>
      <c r="H456" s="559" t="str">
        <f t="shared" si="43"/>
        <v/>
      </c>
      <c r="I456" s="559" t="str">
        <f t="shared" si="44"/>
        <v/>
      </c>
    </row>
    <row r="457" spans="2:9">
      <c r="B457" s="555" t="str">
        <f t="shared" si="39"/>
        <v/>
      </c>
      <c r="C457" s="556" t="str">
        <f t="shared" si="40"/>
        <v/>
      </c>
      <c r="D457" s="557" t="str">
        <f t="shared" si="41"/>
        <v/>
      </c>
      <c r="E457" s="560"/>
      <c r="F457" s="559"/>
      <c r="G457" s="559" t="str">
        <f t="shared" si="42"/>
        <v/>
      </c>
      <c r="H457" s="559" t="str">
        <f t="shared" si="43"/>
        <v/>
      </c>
      <c r="I457" s="559" t="str">
        <f t="shared" si="44"/>
        <v/>
      </c>
    </row>
    <row r="458" spans="2:9">
      <c r="B458" s="555" t="str">
        <f t="shared" si="39"/>
        <v/>
      </c>
      <c r="C458" s="556" t="str">
        <f t="shared" si="40"/>
        <v/>
      </c>
      <c r="D458" s="557" t="str">
        <f t="shared" si="41"/>
        <v/>
      </c>
      <c r="E458" s="560"/>
      <c r="F458" s="559"/>
      <c r="G458" s="559" t="str">
        <f t="shared" si="42"/>
        <v/>
      </c>
      <c r="H458" s="559" t="str">
        <f t="shared" si="43"/>
        <v/>
      </c>
      <c r="I458" s="559" t="str">
        <f t="shared" si="44"/>
        <v/>
      </c>
    </row>
    <row r="459" spans="2:9">
      <c r="B459" s="555" t="str">
        <f t="shared" si="39"/>
        <v/>
      </c>
      <c r="C459" s="556" t="str">
        <f t="shared" si="40"/>
        <v/>
      </c>
      <c r="D459" s="557" t="str">
        <f t="shared" si="41"/>
        <v/>
      </c>
      <c r="E459" s="560"/>
      <c r="F459" s="559"/>
      <c r="G459" s="559" t="str">
        <f t="shared" si="42"/>
        <v/>
      </c>
      <c r="H459" s="559" t="str">
        <f t="shared" si="43"/>
        <v/>
      </c>
      <c r="I459" s="559" t="str">
        <f t="shared" si="44"/>
        <v/>
      </c>
    </row>
    <row r="460" spans="2:9">
      <c r="B460" s="555" t="str">
        <f t="shared" si="39"/>
        <v/>
      </c>
      <c r="C460" s="556" t="str">
        <f t="shared" si="40"/>
        <v/>
      </c>
      <c r="D460" s="557" t="str">
        <f t="shared" si="41"/>
        <v/>
      </c>
      <c r="E460" s="560"/>
      <c r="F460" s="559"/>
      <c r="G460" s="559" t="str">
        <f t="shared" si="42"/>
        <v/>
      </c>
      <c r="H460" s="559" t="str">
        <f t="shared" si="43"/>
        <v/>
      </c>
      <c r="I460" s="559" t="str">
        <f t="shared" si="44"/>
        <v/>
      </c>
    </row>
    <row r="461" spans="2:9">
      <c r="B461" s="555" t="str">
        <f t="shared" si="39"/>
        <v/>
      </c>
      <c r="C461" s="556" t="str">
        <f t="shared" si="40"/>
        <v/>
      </c>
      <c r="D461" s="557" t="str">
        <f t="shared" si="41"/>
        <v/>
      </c>
      <c r="E461" s="560"/>
      <c r="F461" s="559"/>
      <c r="G461" s="559" t="str">
        <f t="shared" si="42"/>
        <v/>
      </c>
      <c r="H461" s="559" t="str">
        <f t="shared" si="43"/>
        <v/>
      </c>
      <c r="I461" s="559" t="str">
        <f t="shared" si="44"/>
        <v/>
      </c>
    </row>
    <row r="462" spans="2:9">
      <c r="B462" s="555" t="str">
        <f t="shared" si="39"/>
        <v/>
      </c>
      <c r="C462" s="556" t="str">
        <f t="shared" si="40"/>
        <v/>
      </c>
      <c r="D462" s="557" t="str">
        <f t="shared" si="41"/>
        <v/>
      </c>
      <c r="E462" s="560"/>
      <c r="F462" s="559"/>
      <c r="G462" s="559" t="str">
        <f t="shared" si="42"/>
        <v/>
      </c>
      <c r="H462" s="559" t="str">
        <f t="shared" si="43"/>
        <v/>
      </c>
      <c r="I462" s="559" t="str">
        <f t="shared" si="44"/>
        <v/>
      </c>
    </row>
    <row r="463" spans="2:9">
      <c r="B463" s="555" t="str">
        <f t="shared" si="39"/>
        <v/>
      </c>
      <c r="C463" s="556" t="str">
        <f t="shared" si="40"/>
        <v/>
      </c>
      <c r="D463" s="557" t="str">
        <f t="shared" si="41"/>
        <v/>
      </c>
      <c r="E463" s="560"/>
      <c r="F463" s="559"/>
      <c r="G463" s="559" t="str">
        <f t="shared" si="42"/>
        <v/>
      </c>
      <c r="H463" s="559" t="str">
        <f t="shared" si="43"/>
        <v/>
      </c>
      <c r="I463" s="559" t="str">
        <f t="shared" si="44"/>
        <v/>
      </c>
    </row>
    <row r="464" spans="2:9">
      <c r="B464" s="555" t="str">
        <f t="shared" si="39"/>
        <v/>
      </c>
      <c r="C464" s="556" t="str">
        <f t="shared" si="40"/>
        <v/>
      </c>
      <c r="D464" s="557" t="str">
        <f t="shared" si="41"/>
        <v/>
      </c>
      <c r="E464" s="560"/>
      <c r="F464" s="559"/>
      <c r="G464" s="559" t="str">
        <f t="shared" si="42"/>
        <v/>
      </c>
      <c r="H464" s="559" t="str">
        <f t="shared" si="43"/>
        <v/>
      </c>
      <c r="I464" s="559" t="str">
        <f t="shared" si="44"/>
        <v/>
      </c>
    </row>
    <row r="465" spans="2:9">
      <c r="B465" s="555" t="str">
        <f t="shared" si="39"/>
        <v/>
      </c>
      <c r="C465" s="556" t="str">
        <f t="shared" si="40"/>
        <v/>
      </c>
      <c r="D465" s="557" t="str">
        <f t="shared" si="41"/>
        <v/>
      </c>
      <c r="E465" s="560"/>
      <c r="F465" s="559"/>
      <c r="G465" s="559" t="str">
        <f t="shared" si="42"/>
        <v/>
      </c>
      <c r="H465" s="559" t="str">
        <f t="shared" si="43"/>
        <v/>
      </c>
      <c r="I465" s="559" t="str">
        <f t="shared" si="44"/>
        <v/>
      </c>
    </row>
    <row r="466" spans="2:9">
      <c r="B466" s="555" t="str">
        <f t="shared" si="39"/>
        <v/>
      </c>
      <c r="C466" s="556" t="str">
        <f t="shared" si="40"/>
        <v/>
      </c>
      <c r="D466" s="557" t="str">
        <f t="shared" si="41"/>
        <v/>
      </c>
      <c r="E466" s="560"/>
      <c r="F466" s="559"/>
      <c r="G466" s="559" t="str">
        <f t="shared" si="42"/>
        <v/>
      </c>
      <c r="H466" s="559" t="str">
        <f t="shared" si="43"/>
        <v/>
      </c>
      <c r="I466" s="559" t="str">
        <f t="shared" si="44"/>
        <v/>
      </c>
    </row>
    <row r="467" spans="2:9">
      <c r="B467" s="555" t="str">
        <f t="shared" si="39"/>
        <v/>
      </c>
      <c r="C467" s="556" t="str">
        <f t="shared" si="40"/>
        <v/>
      </c>
      <c r="D467" s="557" t="str">
        <f t="shared" si="41"/>
        <v/>
      </c>
      <c r="E467" s="560"/>
      <c r="F467" s="559"/>
      <c r="G467" s="559" t="str">
        <f t="shared" si="42"/>
        <v/>
      </c>
      <c r="H467" s="559" t="str">
        <f t="shared" si="43"/>
        <v/>
      </c>
      <c r="I467" s="559" t="str">
        <f t="shared" si="44"/>
        <v/>
      </c>
    </row>
    <row r="468" spans="2:9">
      <c r="B468" s="555" t="str">
        <f t="shared" si="39"/>
        <v/>
      </c>
      <c r="C468" s="556" t="str">
        <f t="shared" si="40"/>
        <v/>
      </c>
      <c r="D468" s="557" t="str">
        <f t="shared" si="41"/>
        <v/>
      </c>
      <c r="E468" s="560"/>
      <c r="F468" s="559"/>
      <c r="G468" s="559" t="str">
        <f t="shared" si="42"/>
        <v/>
      </c>
      <c r="H468" s="559" t="str">
        <f t="shared" si="43"/>
        <v/>
      </c>
      <c r="I468" s="559" t="str">
        <f t="shared" si="44"/>
        <v/>
      </c>
    </row>
    <row r="469" spans="2:9">
      <c r="B469" s="555" t="str">
        <f t="shared" si="39"/>
        <v/>
      </c>
      <c r="C469" s="556" t="str">
        <f t="shared" si="40"/>
        <v/>
      </c>
      <c r="D469" s="557" t="str">
        <f t="shared" si="41"/>
        <v/>
      </c>
      <c r="E469" s="560"/>
      <c r="F469" s="559"/>
      <c r="G469" s="559" t="str">
        <f t="shared" si="42"/>
        <v/>
      </c>
      <c r="H469" s="559" t="str">
        <f t="shared" si="43"/>
        <v/>
      </c>
      <c r="I469" s="559" t="str">
        <f t="shared" si="44"/>
        <v/>
      </c>
    </row>
    <row r="470" spans="2:9">
      <c r="B470" s="555" t="str">
        <f t="shared" si="39"/>
        <v/>
      </c>
      <c r="C470" s="556" t="str">
        <f t="shared" si="40"/>
        <v/>
      </c>
      <c r="D470" s="557" t="str">
        <f t="shared" si="41"/>
        <v/>
      </c>
      <c r="E470" s="560"/>
      <c r="F470" s="559"/>
      <c r="G470" s="559" t="str">
        <f t="shared" si="42"/>
        <v/>
      </c>
      <c r="H470" s="559" t="str">
        <f t="shared" si="43"/>
        <v/>
      </c>
      <c r="I470" s="559" t="str">
        <f t="shared" si="44"/>
        <v/>
      </c>
    </row>
    <row r="471" spans="2:9">
      <c r="B471" s="555" t="str">
        <f t="shared" si="39"/>
        <v/>
      </c>
      <c r="C471" s="556" t="str">
        <f t="shared" si="40"/>
        <v/>
      </c>
      <c r="D471" s="557" t="str">
        <f t="shared" si="41"/>
        <v/>
      </c>
      <c r="E471" s="560"/>
      <c r="F471" s="559"/>
      <c r="G471" s="559" t="str">
        <f t="shared" si="42"/>
        <v/>
      </c>
      <c r="H471" s="559" t="str">
        <f t="shared" si="43"/>
        <v/>
      </c>
      <c r="I471" s="559" t="str">
        <f t="shared" si="44"/>
        <v/>
      </c>
    </row>
    <row r="472" spans="2:9">
      <c r="B472" s="555" t="str">
        <f t="shared" si="39"/>
        <v/>
      </c>
      <c r="C472" s="556" t="str">
        <f t="shared" si="40"/>
        <v/>
      </c>
      <c r="D472" s="557" t="str">
        <f t="shared" si="41"/>
        <v/>
      </c>
      <c r="E472" s="560"/>
      <c r="F472" s="559"/>
      <c r="G472" s="559" t="str">
        <f t="shared" si="42"/>
        <v/>
      </c>
      <c r="H472" s="559" t="str">
        <f t="shared" si="43"/>
        <v/>
      </c>
      <c r="I472" s="559" t="str">
        <f t="shared" si="44"/>
        <v/>
      </c>
    </row>
    <row r="473" spans="2:9">
      <c r="B473" s="555" t="str">
        <f t="shared" si="39"/>
        <v/>
      </c>
      <c r="C473" s="556" t="str">
        <f t="shared" si="40"/>
        <v/>
      </c>
      <c r="D473" s="557" t="str">
        <f t="shared" si="41"/>
        <v/>
      </c>
      <c r="E473" s="560"/>
      <c r="F473" s="559"/>
      <c r="G473" s="559" t="str">
        <f t="shared" si="42"/>
        <v/>
      </c>
      <c r="H473" s="559" t="str">
        <f t="shared" si="43"/>
        <v/>
      </c>
      <c r="I473" s="559" t="str">
        <f t="shared" si="44"/>
        <v/>
      </c>
    </row>
    <row r="474" spans="2:9">
      <c r="B474" s="555" t="str">
        <f t="shared" si="39"/>
        <v/>
      </c>
      <c r="C474" s="556" t="str">
        <f t="shared" si="40"/>
        <v/>
      </c>
      <c r="D474" s="557" t="str">
        <f t="shared" si="41"/>
        <v/>
      </c>
      <c r="E474" s="560"/>
      <c r="F474" s="559"/>
      <c r="G474" s="559" t="str">
        <f t="shared" si="42"/>
        <v/>
      </c>
      <c r="H474" s="559" t="str">
        <f t="shared" si="43"/>
        <v/>
      </c>
      <c r="I474" s="559" t="str">
        <f t="shared" si="44"/>
        <v/>
      </c>
    </row>
    <row r="475" spans="2:9">
      <c r="B475" s="555" t="str">
        <f t="shared" si="39"/>
        <v/>
      </c>
      <c r="C475" s="556" t="str">
        <f t="shared" si="40"/>
        <v/>
      </c>
      <c r="D475" s="557" t="str">
        <f t="shared" si="41"/>
        <v/>
      </c>
      <c r="E475" s="560"/>
      <c r="F475" s="559"/>
      <c r="G475" s="559" t="str">
        <f t="shared" si="42"/>
        <v/>
      </c>
      <c r="H475" s="559" t="str">
        <f t="shared" si="43"/>
        <v/>
      </c>
      <c r="I475" s="559" t="str">
        <f t="shared" si="44"/>
        <v/>
      </c>
    </row>
    <row r="476" spans="2:9">
      <c r="B476" s="555" t="str">
        <f t="shared" si="39"/>
        <v/>
      </c>
      <c r="C476" s="556" t="str">
        <f t="shared" si="40"/>
        <v/>
      </c>
      <c r="D476" s="557" t="str">
        <f t="shared" si="41"/>
        <v/>
      </c>
      <c r="E476" s="560"/>
      <c r="F476" s="559"/>
      <c r="G476" s="559" t="str">
        <f t="shared" si="42"/>
        <v/>
      </c>
      <c r="H476" s="559" t="str">
        <f t="shared" si="43"/>
        <v/>
      </c>
      <c r="I476" s="559" t="str">
        <f t="shared" si="44"/>
        <v/>
      </c>
    </row>
    <row r="477" spans="2:9">
      <c r="B477" s="555" t="str">
        <f t="shared" si="39"/>
        <v/>
      </c>
      <c r="C477" s="556" t="str">
        <f t="shared" si="40"/>
        <v/>
      </c>
      <c r="D477" s="557" t="str">
        <f t="shared" si="41"/>
        <v/>
      </c>
      <c r="E477" s="560"/>
      <c r="F477" s="559"/>
      <c r="G477" s="559" t="str">
        <f t="shared" si="42"/>
        <v/>
      </c>
      <c r="H477" s="559" t="str">
        <f t="shared" si="43"/>
        <v/>
      </c>
      <c r="I477" s="559" t="str">
        <f t="shared" si="44"/>
        <v/>
      </c>
    </row>
    <row r="478" spans="2:9">
      <c r="B478" s="555" t="str">
        <f t="shared" si="39"/>
        <v/>
      </c>
      <c r="C478" s="556" t="str">
        <f t="shared" si="40"/>
        <v/>
      </c>
      <c r="D478" s="557" t="str">
        <f t="shared" si="41"/>
        <v/>
      </c>
      <c r="E478" s="560"/>
      <c r="F478" s="559"/>
      <c r="G478" s="559" t="str">
        <f t="shared" si="42"/>
        <v/>
      </c>
      <c r="H478" s="559" t="str">
        <f t="shared" si="43"/>
        <v/>
      </c>
      <c r="I478" s="559" t="str">
        <f t="shared" si="44"/>
        <v/>
      </c>
    </row>
    <row r="479" spans="2:9">
      <c r="B479" s="555" t="str">
        <f t="shared" si="39"/>
        <v/>
      </c>
      <c r="C479" s="556" t="str">
        <f t="shared" si="40"/>
        <v/>
      </c>
      <c r="D479" s="557" t="str">
        <f t="shared" si="41"/>
        <v/>
      </c>
      <c r="E479" s="560"/>
      <c r="F479" s="559"/>
      <c r="G479" s="559" t="str">
        <f t="shared" si="42"/>
        <v/>
      </c>
      <c r="H479" s="559" t="str">
        <f t="shared" si="43"/>
        <v/>
      </c>
      <c r="I479" s="559" t="str">
        <f t="shared" si="44"/>
        <v/>
      </c>
    </row>
    <row r="480" spans="2:9">
      <c r="B480" s="555" t="str">
        <f t="shared" si="39"/>
        <v/>
      </c>
      <c r="C480" s="556" t="str">
        <f t="shared" si="40"/>
        <v/>
      </c>
      <c r="D480" s="557" t="str">
        <f t="shared" si="41"/>
        <v/>
      </c>
      <c r="E480" s="560"/>
      <c r="F480" s="559"/>
      <c r="G480" s="559" t="str">
        <f t="shared" si="42"/>
        <v/>
      </c>
      <c r="H480" s="559" t="str">
        <f t="shared" si="43"/>
        <v/>
      </c>
      <c r="I480" s="559" t="str">
        <f t="shared" si="44"/>
        <v/>
      </c>
    </row>
    <row r="481" spans="2:9">
      <c r="B481" s="555" t="str">
        <f t="shared" si="39"/>
        <v/>
      </c>
      <c r="C481" s="556" t="str">
        <f t="shared" si="40"/>
        <v/>
      </c>
      <c r="D481" s="557" t="str">
        <f t="shared" si="41"/>
        <v/>
      </c>
      <c r="E481" s="560"/>
      <c r="F481" s="559"/>
      <c r="G481" s="559" t="str">
        <f t="shared" si="42"/>
        <v/>
      </c>
      <c r="H481" s="559" t="str">
        <f t="shared" si="43"/>
        <v/>
      </c>
      <c r="I481" s="559" t="str">
        <f t="shared" si="44"/>
        <v/>
      </c>
    </row>
    <row r="482" spans="2:9">
      <c r="B482" s="555" t="str">
        <f t="shared" si="39"/>
        <v/>
      </c>
      <c r="C482" s="556" t="str">
        <f t="shared" si="40"/>
        <v/>
      </c>
      <c r="D482" s="557" t="str">
        <f t="shared" si="41"/>
        <v/>
      </c>
      <c r="E482" s="560"/>
      <c r="F482" s="559"/>
      <c r="G482" s="559" t="str">
        <f t="shared" si="42"/>
        <v/>
      </c>
      <c r="H482" s="559" t="str">
        <f t="shared" si="43"/>
        <v/>
      </c>
      <c r="I482" s="559" t="str">
        <f t="shared" si="44"/>
        <v/>
      </c>
    </row>
    <row r="483" spans="2:9">
      <c r="B483" s="555" t="str">
        <f t="shared" si="39"/>
        <v/>
      </c>
      <c r="C483" s="556" t="str">
        <f t="shared" si="40"/>
        <v/>
      </c>
      <c r="D483" s="557" t="str">
        <f t="shared" si="41"/>
        <v/>
      </c>
      <c r="E483" s="560"/>
      <c r="F483" s="559"/>
      <c r="G483" s="559" t="str">
        <f t="shared" si="42"/>
        <v/>
      </c>
      <c r="H483" s="559" t="str">
        <f t="shared" si="43"/>
        <v/>
      </c>
      <c r="I483" s="559" t="str">
        <f t="shared" si="44"/>
        <v/>
      </c>
    </row>
    <row r="484" spans="2:9">
      <c r="B484" s="555" t="str">
        <f t="shared" si="39"/>
        <v/>
      </c>
      <c r="C484" s="556" t="str">
        <f t="shared" si="40"/>
        <v/>
      </c>
      <c r="D484" s="557" t="str">
        <f t="shared" si="41"/>
        <v/>
      </c>
      <c r="E484" s="560"/>
      <c r="F484" s="559"/>
      <c r="G484" s="559" t="str">
        <f t="shared" si="42"/>
        <v/>
      </c>
      <c r="H484" s="559" t="str">
        <f t="shared" si="43"/>
        <v/>
      </c>
      <c r="I484" s="559" t="str">
        <f t="shared" si="44"/>
        <v/>
      </c>
    </row>
    <row r="485" spans="2:9">
      <c r="B485" s="555" t="str">
        <f t="shared" si="39"/>
        <v/>
      </c>
      <c r="C485" s="556" t="str">
        <f t="shared" si="40"/>
        <v/>
      </c>
      <c r="D485" s="557" t="str">
        <f t="shared" si="41"/>
        <v/>
      </c>
      <c r="E485" s="560"/>
      <c r="F485" s="559"/>
      <c r="G485" s="559" t="str">
        <f t="shared" si="42"/>
        <v/>
      </c>
      <c r="H485" s="559" t="str">
        <f t="shared" si="43"/>
        <v/>
      </c>
      <c r="I485" s="559" t="str">
        <f t="shared" si="44"/>
        <v/>
      </c>
    </row>
    <row r="486" spans="2:9">
      <c r="B486" s="555" t="str">
        <f t="shared" si="39"/>
        <v/>
      </c>
      <c r="C486" s="556" t="str">
        <f t="shared" si="40"/>
        <v/>
      </c>
      <c r="D486" s="557" t="str">
        <f t="shared" si="41"/>
        <v/>
      </c>
      <c r="E486" s="560"/>
      <c r="F486" s="559"/>
      <c r="G486" s="559" t="str">
        <f t="shared" si="42"/>
        <v/>
      </c>
      <c r="H486" s="559" t="str">
        <f t="shared" si="43"/>
        <v/>
      </c>
      <c r="I486" s="559" t="str">
        <f t="shared" si="44"/>
        <v/>
      </c>
    </row>
    <row r="487" spans="2:9">
      <c r="B487" s="555" t="str">
        <f t="shared" si="39"/>
        <v/>
      </c>
      <c r="C487" s="556" t="str">
        <f t="shared" si="40"/>
        <v/>
      </c>
      <c r="D487" s="557" t="str">
        <f t="shared" si="41"/>
        <v/>
      </c>
      <c r="E487" s="560"/>
      <c r="F487" s="559"/>
      <c r="G487" s="559" t="str">
        <f t="shared" si="42"/>
        <v/>
      </c>
      <c r="H487" s="559" t="str">
        <f t="shared" si="43"/>
        <v/>
      </c>
      <c r="I487" s="559" t="str">
        <f t="shared" si="44"/>
        <v/>
      </c>
    </row>
    <row r="488" spans="2:9">
      <c r="B488" s="555" t="str">
        <f t="shared" si="39"/>
        <v/>
      </c>
      <c r="C488" s="556" t="str">
        <f t="shared" si="40"/>
        <v/>
      </c>
      <c r="D488" s="557" t="str">
        <f t="shared" si="41"/>
        <v/>
      </c>
      <c r="E488" s="560"/>
      <c r="F488" s="559"/>
      <c r="G488" s="559" t="str">
        <f t="shared" si="42"/>
        <v/>
      </c>
      <c r="H488" s="559" t="str">
        <f t="shared" si="43"/>
        <v/>
      </c>
      <c r="I488" s="559" t="str">
        <f t="shared" si="44"/>
        <v/>
      </c>
    </row>
    <row r="489" spans="2:9">
      <c r="B489" s="555" t="str">
        <f t="shared" si="39"/>
        <v/>
      </c>
      <c r="C489" s="556" t="str">
        <f t="shared" si="40"/>
        <v/>
      </c>
      <c r="D489" s="557" t="str">
        <f t="shared" si="41"/>
        <v/>
      </c>
      <c r="E489" s="560"/>
      <c r="F489" s="559"/>
      <c r="G489" s="559" t="str">
        <f t="shared" si="42"/>
        <v/>
      </c>
      <c r="H489" s="559" t="str">
        <f t="shared" si="43"/>
        <v/>
      </c>
      <c r="I489" s="559" t="str">
        <f t="shared" si="44"/>
        <v/>
      </c>
    </row>
    <row r="490" spans="2:9">
      <c r="B490" s="555" t="str">
        <f t="shared" si="39"/>
        <v/>
      </c>
      <c r="C490" s="556" t="str">
        <f t="shared" si="40"/>
        <v/>
      </c>
      <c r="D490" s="557" t="str">
        <f t="shared" si="41"/>
        <v/>
      </c>
      <c r="E490" s="560"/>
      <c r="F490" s="559"/>
      <c r="G490" s="559" t="str">
        <f t="shared" si="42"/>
        <v/>
      </c>
      <c r="H490" s="559" t="str">
        <f t="shared" si="43"/>
        <v/>
      </c>
      <c r="I490" s="559" t="str">
        <f t="shared" si="44"/>
        <v/>
      </c>
    </row>
    <row r="491" spans="2:9">
      <c r="B491" s="555" t="str">
        <f t="shared" si="39"/>
        <v/>
      </c>
      <c r="C491" s="556" t="str">
        <f t="shared" si="40"/>
        <v/>
      </c>
      <c r="D491" s="557" t="str">
        <f t="shared" si="41"/>
        <v/>
      </c>
      <c r="E491" s="560"/>
      <c r="F491" s="559"/>
      <c r="G491" s="559" t="str">
        <f t="shared" si="42"/>
        <v/>
      </c>
      <c r="H491" s="559" t="str">
        <f t="shared" si="43"/>
        <v/>
      </c>
      <c r="I491" s="559" t="str">
        <f t="shared" si="44"/>
        <v/>
      </c>
    </row>
    <row r="492" spans="2:9">
      <c r="B492" s="555" t="str">
        <f t="shared" si="39"/>
        <v/>
      </c>
      <c r="C492" s="556" t="str">
        <f t="shared" si="40"/>
        <v/>
      </c>
      <c r="D492" s="557" t="str">
        <f t="shared" si="41"/>
        <v/>
      </c>
      <c r="E492" s="560"/>
      <c r="F492" s="559"/>
      <c r="G492" s="559" t="str">
        <f t="shared" si="42"/>
        <v/>
      </c>
      <c r="H492" s="559" t="str">
        <f t="shared" si="43"/>
        <v/>
      </c>
      <c r="I492" s="559" t="str">
        <f t="shared" si="44"/>
        <v/>
      </c>
    </row>
    <row r="493" spans="2:9">
      <c r="B493" s="555" t="str">
        <f t="shared" si="39"/>
        <v/>
      </c>
      <c r="C493" s="556" t="str">
        <f t="shared" si="40"/>
        <v/>
      </c>
      <c r="D493" s="557" t="str">
        <f t="shared" si="41"/>
        <v/>
      </c>
      <c r="E493" s="560"/>
      <c r="F493" s="559"/>
      <c r="G493" s="559" t="str">
        <f t="shared" si="42"/>
        <v/>
      </c>
      <c r="H493" s="559" t="str">
        <f t="shared" si="43"/>
        <v/>
      </c>
      <c r="I493" s="559" t="str">
        <f t="shared" si="44"/>
        <v/>
      </c>
    </row>
    <row r="494" spans="2:9">
      <c r="B494" s="555" t="str">
        <f t="shared" si="39"/>
        <v/>
      </c>
      <c r="C494" s="556" t="str">
        <f t="shared" si="40"/>
        <v/>
      </c>
      <c r="D494" s="557" t="str">
        <f t="shared" si="41"/>
        <v/>
      </c>
      <c r="E494" s="560"/>
      <c r="F494" s="559"/>
      <c r="G494" s="559" t="str">
        <f t="shared" si="42"/>
        <v/>
      </c>
      <c r="H494" s="559" t="str">
        <f t="shared" si="43"/>
        <v/>
      </c>
      <c r="I494" s="559" t="str">
        <f t="shared" si="44"/>
        <v/>
      </c>
    </row>
    <row r="495" spans="2:9">
      <c r="B495" s="555" t="str">
        <f t="shared" si="39"/>
        <v/>
      </c>
      <c r="C495" s="556" t="str">
        <f t="shared" si="40"/>
        <v/>
      </c>
      <c r="D495" s="557" t="str">
        <f t="shared" si="41"/>
        <v/>
      </c>
      <c r="E495" s="560"/>
      <c r="F495" s="559"/>
      <c r="G495" s="559" t="str">
        <f t="shared" si="42"/>
        <v/>
      </c>
      <c r="H495" s="559" t="str">
        <f t="shared" si="43"/>
        <v/>
      </c>
      <c r="I495" s="559" t="str">
        <f t="shared" si="44"/>
        <v/>
      </c>
    </row>
    <row r="496" spans="2:9">
      <c r="B496" s="555" t="str">
        <f t="shared" si="39"/>
        <v/>
      </c>
      <c r="C496" s="556" t="str">
        <f t="shared" si="40"/>
        <v/>
      </c>
      <c r="D496" s="557" t="str">
        <f t="shared" si="41"/>
        <v/>
      </c>
      <c r="E496" s="560"/>
      <c r="F496" s="559"/>
      <c r="G496" s="559" t="str">
        <f t="shared" si="42"/>
        <v/>
      </c>
      <c r="H496" s="559" t="str">
        <f t="shared" si="43"/>
        <v/>
      </c>
      <c r="I496" s="559" t="str">
        <f t="shared" si="44"/>
        <v/>
      </c>
    </row>
    <row r="497" spans="2:9">
      <c r="B497" s="555" t="str">
        <f t="shared" si="39"/>
        <v/>
      </c>
      <c r="C497" s="556" t="str">
        <f t="shared" si="40"/>
        <v/>
      </c>
      <c r="D497" s="557" t="str">
        <f t="shared" si="41"/>
        <v/>
      </c>
      <c r="E497" s="560"/>
      <c r="F497" s="559"/>
      <c r="G497" s="559" t="str">
        <f t="shared" si="42"/>
        <v/>
      </c>
      <c r="H497" s="559" t="str">
        <f t="shared" si="43"/>
        <v/>
      </c>
      <c r="I497" s="559" t="str">
        <f t="shared" si="44"/>
        <v/>
      </c>
    </row>
    <row r="498" spans="2:9">
      <c r="B498" s="555" t="str">
        <f t="shared" si="39"/>
        <v/>
      </c>
      <c r="C498" s="556" t="str">
        <f t="shared" si="40"/>
        <v/>
      </c>
      <c r="D498" s="557" t="str">
        <f t="shared" si="41"/>
        <v/>
      </c>
      <c r="E498" s="560"/>
      <c r="F498" s="559"/>
      <c r="G498" s="559" t="str">
        <f t="shared" si="42"/>
        <v/>
      </c>
      <c r="H498" s="559" t="str">
        <f t="shared" si="43"/>
        <v/>
      </c>
      <c r="I498" s="559" t="str">
        <f t="shared" si="44"/>
        <v/>
      </c>
    </row>
    <row r="499" spans="2:9">
      <c r="B499" s="555" t="str">
        <f t="shared" si="39"/>
        <v/>
      </c>
      <c r="C499" s="556" t="str">
        <f t="shared" si="40"/>
        <v/>
      </c>
      <c r="D499" s="557" t="str">
        <f t="shared" si="41"/>
        <v/>
      </c>
      <c r="E499" s="560"/>
      <c r="F499" s="559"/>
      <c r="G499" s="559" t="str">
        <f t="shared" si="42"/>
        <v/>
      </c>
      <c r="H499" s="559" t="str">
        <f t="shared" si="43"/>
        <v/>
      </c>
      <c r="I499" s="559" t="str">
        <f t="shared" si="44"/>
        <v/>
      </c>
    </row>
    <row r="500" spans="2:9">
      <c r="B500" s="555" t="str">
        <f t="shared" si="39"/>
        <v/>
      </c>
      <c r="C500" s="556" t="str">
        <f t="shared" si="40"/>
        <v/>
      </c>
      <c r="D500" s="557" t="str">
        <f t="shared" si="41"/>
        <v/>
      </c>
      <c r="E500" s="560"/>
      <c r="F500" s="559"/>
      <c r="G500" s="559" t="str">
        <f t="shared" si="42"/>
        <v/>
      </c>
      <c r="H500" s="559" t="str">
        <f t="shared" si="43"/>
        <v/>
      </c>
      <c r="I500" s="559" t="str">
        <f t="shared" si="44"/>
        <v/>
      </c>
    </row>
    <row r="501" spans="2:9">
      <c r="B501" s="555" t="str">
        <f t="shared" si="39"/>
        <v/>
      </c>
      <c r="C501" s="556" t="str">
        <f t="shared" si="40"/>
        <v/>
      </c>
      <c r="D501" s="557" t="str">
        <f t="shared" si="41"/>
        <v/>
      </c>
      <c r="E501" s="560"/>
      <c r="F501" s="559"/>
      <c r="G501" s="559" t="str">
        <f t="shared" si="42"/>
        <v/>
      </c>
      <c r="H501" s="559" t="str">
        <f t="shared" si="43"/>
        <v/>
      </c>
      <c r="I501" s="559" t="str">
        <f t="shared" si="44"/>
        <v/>
      </c>
    </row>
    <row r="502" spans="2:9">
      <c r="B502" s="555" t="str">
        <f t="shared" si="39"/>
        <v/>
      </c>
      <c r="C502" s="556" t="str">
        <f t="shared" si="40"/>
        <v/>
      </c>
      <c r="D502" s="557" t="str">
        <f t="shared" si="41"/>
        <v/>
      </c>
      <c r="E502" s="560"/>
      <c r="F502" s="559"/>
      <c r="G502" s="559" t="str">
        <f t="shared" si="42"/>
        <v/>
      </c>
      <c r="H502" s="559" t="str">
        <f t="shared" si="43"/>
        <v/>
      </c>
      <c r="I502" s="559" t="str">
        <f t="shared" si="44"/>
        <v/>
      </c>
    </row>
    <row r="503" spans="2:9">
      <c r="B503" s="555" t="str">
        <f t="shared" si="39"/>
        <v/>
      </c>
      <c r="C503" s="556" t="str">
        <f t="shared" si="40"/>
        <v/>
      </c>
      <c r="D503" s="557" t="str">
        <f t="shared" si="41"/>
        <v/>
      </c>
      <c r="E503" s="560"/>
      <c r="F503" s="559"/>
      <c r="G503" s="559" t="str">
        <f t="shared" si="42"/>
        <v/>
      </c>
      <c r="H503" s="559" t="str">
        <f t="shared" si="43"/>
        <v/>
      </c>
      <c r="I503" s="559" t="str">
        <f t="shared" si="44"/>
        <v/>
      </c>
    </row>
    <row r="504" spans="2:9">
      <c r="B504" s="555" t="str">
        <f t="shared" si="39"/>
        <v/>
      </c>
      <c r="C504" s="556" t="str">
        <f t="shared" si="40"/>
        <v/>
      </c>
      <c r="D504" s="557" t="str">
        <f t="shared" si="41"/>
        <v/>
      </c>
      <c r="E504" s="560"/>
      <c r="F504" s="559"/>
      <c r="G504" s="559" t="str">
        <f t="shared" si="42"/>
        <v/>
      </c>
      <c r="H504" s="559" t="str">
        <f t="shared" si="43"/>
        <v/>
      </c>
      <c r="I504" s="559" t="str">
        <f t="shared" si="44"/>
        <v/>
      </c>
    </row>
    <row r="505" spans="2:9">
      <c r="B505" s="555" t="str">
        <f t="shared" si="39"/>
        <v/>
      </c>
      <c r="C505" s="556" t="str">
        <f t="shared" si="40"/>
        <v/>
      </c>
      <c r="D505" s="557" t="str">
        <f t="shared" si="41"/>
        <v/>
      </c>
      <c r="E505" s="560"/>
      <c r="F505" s="559"/>
      <c r="G505" s="559" t="str">
        <f t="shared" si="42"/>
        <v/>
      </c>
      <c r="H505" s="559" t="str">
        <f t="shared" si="43"/>
        <v/>
      </c>
      <c r="I505" s="559" t="str">
        <f t="shared" si="44"/>
        <v/>
      </c>
    </row>
    <row r="506" spans="2:9">
      <c r="B506" s="555" t="str">
        <f t="shared" si="39"/>
        <v/>
      </c>
      <c r="C506" s="556" t="str">
        <f t="shared" si="40"/>
        <v/>
      </c>
      <c r="D506" s="557" t="str">
        <f t="shared" si="41"/>
        <v/>
      </c>
      <c r="E506" s="560"/>
      <c r="F506" s="559"/>
      <c r="G506" s="559" t="str">
        <f t="shared" si="42"/>
        <v/>
      </c>
      <c r="H506" s="559" t="str">
        <f t="shared" si="43"/>
        <v/>
      </c>
      <c r="I506" s="559" t="str">
        <f t="shared" si="44"/>
        <v/>
      </c>
    </row>
    <row r="507" spans="2:9">
      <c r="B507" s="555" t="str">
        <f t="shared" si="39"/>
        <v/>
      </c>
      <c r="C507" s="556" t="str">
        <f t="shared" si="40"/>
        <v/>
      </c>
      <c r="D507" s="557" t="str">
        <f t="shared" si="41"/>
        <v/>
      </c>
      <c r="E507" s="560"/>
      <c r="F507" s="559"/>
      <c r="G507" s="559" t="str">
        <f t="shared" si="42"/>
        <v/>
      </c>
      <c r="H507" s="559" t="str">
        <f t="shared" si="43"/>
        <v/>
      </c>
      <c r="I507" s="559" t="str">
        <f t="shared" si="44"/>
        <v/>
      </c>
    </row>
    <row r="508" spans="2:9">
      <c r="B508" s="555" t="str">
        <f t="shared" si="39"/>
        <v/>
      </c>
      <c r="C508" s="556" t="str">
        <f t="shared" si="40"/>
        <v/>
      </c>
      <c r="D508" s="557" t="str">
        <f t="shared" si="41"/>
        <v/>
      </c>
      <c r="E508" s="560"/>
      <c r="F508" s="559"/>
      <c r="G508" s="559" t="str">
        <f t="shared" si="42"/>
        <v/>
      </c>
      <c r="H508" s="559" t="str">
        <f t="shared" si="43"/>
        <v/>
      </c>
      <c r="I508" s="559" t="str">
        <f t="shared" si="44"/>
        <v/>
      </c>
    </row>
    <row r="509" spans="2:9">
      <c r="B509" s="555" t="str">
        <f t="shared" ref="B509:B572" si="45">IF(I508="","",IF(roundOpt,IF(OR(B508&gt;=nper,ROUND(I508,2)&lt;=0),"",B508+1),IF(OR(B508&gt;=nper,I508&lt;=0),"",B508+1)))</f>
        <v/>
      </c>
      <c r="C509" s="556" t="str">
        <f t="shared" ref="C509:C572" si="46">IF(B509="","",IF(OR(periods_per_year=26,periods_per_year=52),IF(periods_per_year=26,IF(B509=1,fpdate,C508+14),IF(periods_per_year=52,IF(B509=1,fpdate,C508+7),"n/a")),IF(periods_per_year=24,DATE(YEAR(fpdate),MONTH(fpdate)+(B509-1)/2+IF(AND(DAY(fpdate)&gt;=15,MOD(B509,2)=0),1,0),IF(MOD(B509,2)=0,IF(DAY(fpdate)&gt;=15,DAY(fpdate)-14,DAY(fpdate)+14),DAY(fpdate))),IF(DAY(DATE(YEAR(fpdate),MONTH(fpdate)+(B509-1)*months_per_period,DAY(fpdate)))&lt;&gt;DAY(fpdate),DATE(YEAR(fpdate),MONTH(fpdate)+(B509-1)*months_per_period+1,0),DATE(YEAR(fpdate),MONTH(fpdate)+(B509-1)*months_per_period,DAY(fpdate))))))</f>
        <v/>
      </c>
      <c r="D509" s="557" t="str">
        <f t="shared" ref="D509:D572" si="47">IF(B509="","",IF(roundOpt,IF(OR(B509=nper,payment&gt;ROUND((1+rate)*I508,2)),ROUND((1+rate)*I508,2),payment),IF(OR(B509=nper,payment&gt;(1+rate)*I508),(1+rate)*I508,payment)))</f>
        <v/>
      </c>
      <c r="E509" s="560"/>
      <c r="F509" s="559"/>
      <c r="G509" s="559" t="str">
        <f t="shared" ref="G509:G572" si="48">IF(B509="","",IF(AND(B509=1,pmtType=1),0,IF(roundOpt,ROUND(rate*I508,2),rate*I508)))</f>
        <v/>
      </c>
      <c r="H509" s="559" t="str">
        <f t="shared" ref="H509:H572" si="49">IF(B509="","",D509-G509+E509)</f>
        <v/>
      </c>
      <c r="I509" s="559" t="str">
        <f t="shared" ref="I509:I572" si="50">IF(B509="","",I508-H509)</f>
        <v/>
      </c>
    </row>
    <row r="510" spans="2:9">
      <c r="B510" s="555" t="str">
        <f t="shared" si="45"/>
        <v/>
      </c>
      <c r="C510" s="556" t="str">
        <f t="shared" si="46"/>
        <v/>
      </c>
      <c r="D510" s="557" t="str">
        <f t="shared" si="47"/>
        <v/>
      </c>
      <c r="E510" s="560"/>
      <c r="F510" s="559"/>
      <c r="G510" s="559" t="str">
        <f t="shared" si="48"/>
        <v/>
      </c>
      <c r="H510" s="559" t="str">
        <f t="shared" si="49"/>
        <v/>
      </c>
      <c r="I510" s="559" t="str">
        <f t="shared" si="50"/>
        <v/>
      </c>
    </row>
    <row r="511" spans="2:9">
      <c r="B511" s="555" t="str">
        <f t="shared" si="45"/>
        <v/>
      </c>
      <c r="C511" s="556" t="str">
        <f t="shared" si="46"/>
        <v/>
      </c>
      <c r="D511" s="557" t="str">
        <f t="shared" si="47"/>
        <v/>
      </c>
      <c r="E511" s="560"/>
      <c r="F511" s="559"/>
      <c r="G511" s="559" t="str">
        <f t="shared" si="48"/>
        <v/>
      </c>
      <c r="H511" s="559" t="str">
        <f t="shared" si="49"/>
        <v/>
      </c>
      <c r="I511" s="559" t="str">
        <f t="shared" si="50"/>
        <v/>
      </c>
    </row>
    <row r="512" spans="2:9">
      <c r="B512" s="555" t="str">
        <f t="shared" si="45"/>
        <v/>
      </c>
      <c r="C512" s="556" t="str">
        <f t="shared" si="46"/>
        <v/>
      </c>
      <c r="D512" s="557" t="str">
        <f t="shared" si="47"/>
        <v/>
      </c>
      <c r="E512" s="560"/>
      <c r="F512" s="559"/>
      <c r="G512" s="559" t="str">
        <f t="shared" si="48"/>
        <v/>
      </c>
      <c r="H512" s="559" t="str">
        <f t="shared" si="49"/>
        <v/>
      </c>
      <c r="I512" s="559" t="str">
        <f t="shared" si="50"/>
        <v/>
      </c>
    </row>
    <row r="513" spans="2:9">
      <c r="B513" s="555" t="str">
        <f t="shared" si="45"/>
        <v/>
      </c>
      <c r="C513" s="556" t="str">
        <f t="shared" si="46"/>
        <v/>
      </c>
      <c r="D513" s="557" t="str">
        <f t="shared" si="47"/>
        <v/>
      </c>
      <c r="E513" s="560"/>
      <c r="F513" s="559"/>
      <c r="G513" s="559" t="str">
        <f t="shared" si="48"/>
        <v/>
      </c>
      <c r="H513" s="559" t="str">
        <f t="shared" si="49"/>
        <v/>
      </c>
      <c r="I513" s="559" t="str">
        <f t="shared" si="50"/>
        <v/>
      </c>
    </row>
    <row r="514" spans="2:9">
      <c r="B514" s="555" t="str">
        <f t="shared" si="45"/>
        <v/>
      </c>
      <c r="C514" s="556" t="str">
        <f t="shared" si="46"/>
        <v/>
      </c>
      <c r="D514" s="557" t="str">
        <f t="shared" si="47"/>
        <v/>
      </c>
      <c r="E514" s="560"/>
      <c r="F514" s="559"/>
      <c r="G514" s="559" t="str">
        <f t="shared" si="48"/>
        <v/>
      </c>
      <c r="H514" s="559" t="str">
        <f t="shared" si="49"/>
        <v/>
      </c>
      <c r="I514" s="559" t="str">
        <f t="shared" si="50"/>
        <v/>
      </c>
    </row>
    <row r="515" spans="2:9">
      <c r="B515" s="555" t="str">
        <f t="shared" si="45"/>
        <v/>
      </c>
      <c r="C515" s="556" t="str">
        <f t="shared" si="46"/>
        <v/>
      </c>
      <c r="D515" s="557" t="str">
        <f t="shared" si="47"/>
        <v/>
      </c>
      <c r="E515" s="560"/>
      <c r="F515" s="559"/>
      <c r="G515" s="559" t="str">
        <f t="shared" si="48"/>
        <v/>
      </c>
      <c r="H515" s="559" t="str">
        <f t="shared" si="49"/>
        <v/>
      </c>
      <c r="I515" s="559" t="str">
        <f t="shared" si="50"/>
        <v/>
      </c>
    </row>
    <row r="516" spans="2:9">
      <c r="B516" s="555" t="str">
        <f t="shared" si="45"/>
        <v/>
      </c>
      <c r="C516" s="556" t="str">
        <f t="shared" si="46"/>
        <v/>
      </c>
      <c r="D516" s="557" t="str">
        <f t="shared" si="47"/>
        <v/>
      </c>
      <c r="E516" s="560"/>
      <c r="F516" s="559"/>
      <c r="G516" s="559" t="str">
        <f t="shared" si="48"/>
        <v/>
      </c>
      <c r="H516" s="559" t="str">
        <f t="shared" si="49"/>
        <v/>
      </c>
      <c r="I516" s="559" t="str">
        <f t="shared" si="50"/>
        <v/>
      </c>
    </row>
    <row r="517" spans="2:9">
      <c r="B517" s="555" t="str">
        <f t="shared" si="45"/>
        <v/>
      </c>
      <c r="C517" s="556" t="str">
        <f t="shared" si="46"/>
        <v/>
      </c>
      <c r="D517" s="557" t="str">
        <f t="shared" si="47"/>
        <v/>
      </c>
      <c r="E517" s="560"/>
      <c r="F517" s="559"/>
      <c r="G517" s="559" t="str">
        <f t="shared" si="48"/>
        <v/>
      </c>
      <c r="H517" s="559" t="str">
        <f t="shared" si="49"/>
        <v/>
      </c>
      <c r="I517" s="559" t="str">
        <f t="shared" si="50"/>
        <v/>
      </c>
    </row>
    <row r="518" spans="2:9">
      <c r="B518" s="555" t="str">
        <f t="shared" si="45"/>
        <v/>
      </c>
      <c r="C518" s="556" t="str">
        <f t="shared" si="46"/>
        <v/>
      </c>
      <c r="D518" s="557" t="str">
        <f t="shared" si="47"/>
        <v/>
      </c>
      <c r="E518" s="560"/>
      <c r="F518" s="559"/>
      <c r="G518" s="559" t="str">
        <f t="shared" si="48"/>
        <v/>
      </c>
      <c r="H518" s="559" t="str">
        <f t="shared" si="49"/>
        <v/>
      </c>
      <c r="I518" s="559" t="str">
        <f t="shared" si="50"/>
        <v/>
      </c>
    </row>
    <row r="519" spans="2:9">
      <c r="B519" s="555" t="str">
        <f t="shared" si="45"/>
        <v/>
      </c>
      <c r="C519" s="556" t="str">
        <f t="shared" si="46"/>
        <v/>
      </c>
      <c r="D519" s="557" t="str">
        <f t="shared" si="47"/>
        <v/>
      </c>
      <c r="E519" s="560"/>
      <c r="F519" s="559"/>
      <c r="G519" s="559" t="str">
        <f t="shared" si="48"/>
        <v/>
      </c>
      <c r="H519" s="559" t="str">
        <f t="shared" si="49"/>
        <v/>
      </c>
      <c r="I519" s="559" t="str">
        <f t="shared" si="50"/>
        <v/>
      </c>
    </row>
    <row r="520" spans="2:9">
      <c r="B520" s="555" t="str">
        <f t="shared" si="45"/>
        <v/>
      </c>
      <c r="C520" s="556" t="str">
        <f t="shared" si="46"/>
        <v/>
      </c>
      <c r="D520" s="557" t="str">
        <f t="shared" si="47"/>
        <v/>
      </c>
      <c r="E520" s="560"/>
      <c r="F520" s="559"/>
      <c r="G520" s="559" t="str">
        <f t="shared" si="48"/>
        <v/>
      </c>
      <c r="H520" s="559" t="str">
        <f t="shared" si="49"/>
        <v/>
      </c>
      <c r="I520" s="559" t="str">
        <f t="shared" si="50"/>
        <v/>
      </c>
    </row>
    <row r="521" spans="2:9">
      <c r="B521" s="555" t="str">
        <f t="shared" si="45"/>
        <v/>
      </c>
      <c r="C521" s="556" t="str">
        <f t="shared" si="46"/>
        <v/>
      </c>
      <c r="D521" s="557" t="str">
        <f t="shared" si="47"/>
        <v/>
      </c>
      <c r="E521" s="560"/>
      <c r="F521" s="559"/>
      <c r="G521" s="559" t="str">
        <f t="shared" si="48"/>
        <v/>
      </c>
      <c r="H521" s="559" t="str">
        <f t="shared" si="49"/>
        <v/>
      </c>
      <c r="I521" s="559" t="str">
        <f t="shared" si="50"/>
        <v/>
      </c>
    </row>
    <row r="522" spans="2:9">
      <c r="B522" s="555" t="str">
        <f t="shared" si="45"/>
        <v/>
      </c>
      <c r="C522" s="556" t="str">
        <f t="shared" si="46"/>
        <v/>
      </c>
      <c r="D522" s="557" t="str">
        <f t="shared" si="47"/>
        <v/>
      </c>
      <c r="E522" s="560"/>
      <c r="F522" s="559"/>
      <c r="G522" s="559" t="str">
        <f t="shared" si="48"/>
        <v/>
      </c>
      <c r="H522" s="559" t="str">
        <f t="shared" si="49"/>
        <v/>
      </c>
      <c r="I522" s="559" t="str">
        <f t="shared" si="50"/>
        <v/>
      </c>
    </row>
    <row r="523" spans="2:9">
      <c r="B523" s="555" t="str">
        <f t="shared" si="45"/>
        <v/>
      </c>
      <c r="C523" s="556" t="str">
        <f t="shared" si="46"/>
        <v/>
      </c>
      <c r="D523" s="557" t="str">
        <f t="shared" si="47"/>
        <v/>
      </c>
      <c r="E523" s="560"/>
      <c r="F523" s="559"/>
      <c r="G523" s="559" t="str">
        <f t="shared" si="48"/>
        <v/>
      </c>
      <c r="H523" s="559" t="str">
        <f t="shared" si="49"/>
        <v/>
      </c>
      <c r="I523" s="559" t="str">
        <f t="shared" si="50"/>
        <v/>
      </c>
    </row>
    <row r="524" spans="2:9">
      <c r="B524" s="555" t="str">
        <f t="shared" si="45"/>
        <v/>
      </c>
      <c r="C524" s="556" t="str">
        <f t="shared" si="46"/>
        <v/>
      </c>
      <c r="D524" s="557" t="str">
        <f t="shared" si="47"/>
        <v/>
      </c>
      <c r="E524" s="560"/>
      <c r="F524" s="559"/>
      <c r="G524" s="559" t="str">
        <f t="shared" si="48"/>
        <v/>
      </c>
      <c r="H524" s="559" t="str">
        <f t="shared" si="49"/>
        <v/>
      </c>
      <c r="I524" s="559" t="str">
        <f t="shared" si="50"/>
        <v/>
      </c>
    </row>
    <row r="525" spans="2:9">
      <c r="B525" s="555" t="str">
        <f t="shared" si="45"/>
        <v/>
      </c>
      <c r="C525" s="556" t="str">
        <f t="shared" si="46"/>
        <v/>
      </c>
      <c r="D525" s="557" t="str">
        <f t="shared" si="47"/>
        <v/>
      </c>
      <c r="E525" s="560"/>
      <c r="F525" s="559"/>
      <c r="G525" s="559" t="str">
        <f t="shared" si="48"/>
        <v/>
      </c>
      <c r="H525" s="559" t="str">
        <f t="shared" si="49"/>
        <v/>
      </c>
      <c r="I525" s="559" t="str">
        <f t="shared" si="50"/>
        <v/>
      </c>
    </row>
    <row r="526" spans="2:9">
      <c r="B526" s="555" t="str">
        <f t="shared" si="45"/>
        <v/>
      </c>
      <c r="C526" s="556" t="str">
        <f t="shared" si="46"/>
        <v/>
      </c>
      <c r="D526" s="557" t="str">
        <f t="shared" si="47"/>
        <v/>
      </c>
      <c r="E526" s="560"/>
      <c r="F526" s="559"/>
      <c r="G526" s="559" t="str">
        <f t="shared" si="48"/>
        <v/>
      </c>
      <c r="H526" s="559" t="str">
        <f t="shared" si="49"/>
        <v/>
      </c>
      <c r="I526" s="559" t="str">
        <f t="shared" si="50"/>
        <v/>
      </c>
    </row>
    <row r="527" spans="2:9">
      <c r="B527" s="555" t="str">
        <f t="shared" si="45"/>
        <v/>
      </c>
      <c r="C527" s="556" t="str">
        <f t="shared" si="46"/>
        <v/>
      </c>
      <c r="D527" s="557" t="str">
        <f t="shared" si="47"/>
        <v/>
      </c>
      <c r="E527" s="560"/>
      <c r="F527" s="559"/>
      <c r="G527" s="559" t="str">
        <f t="shared" si="48"/>
        <v/>
      </c>
      <c r="H527" s="559" t="str">
        <f t="shared" si="49"/>
        <v/>
      </c>
      <c r="I527" s="559" t="str">
        <f t="shared" si="50"/>
        <v/>
      </c>
    </row>
    <row r="528" spans="2:9">
      <c r="B528" s="555" t="str">
        <f t="shared" si="45"/>
        <v/>
      </c>
      <c r="C528" s="556" t="str">
        <f t="shared" si="46"/>
        <v/>
      </c>
      <c r="D528" s="557" t="str">
        <f t="shared" si="47"/>
        <v/>
      </c>
      <c r="E528" s="560"/>
      <c r="F528" s="559"/>
      <c r="G528" s="559" t="str">
        <f t="shared" si="48"/>
        <v/>
      </c>
      <c r="H528" s="559" t="str">
        <f t="shared" si="49"/>
        <v/>
      </c>
      <c r="I528" s="559" t="str">
        <f t="shared" si="50"/>
        <v/>
      </c>
    </row>
    <row r="529" spans="2:9">
      <c r="B529" s="555" t="str">
        <f t="shared" si="45"/>
        <v/>
      </c>
      <c r="C529" s="556" t="str">
        <f t="shared" si="46"/>
        <v/>
      </c>
      <c r="D529" s="557" t="str">
        <f t="shared" si="47"/>
        <v/>
      </c>
      <c r="E529" s="560"/>
      <c r="F529" s="559"/>
      <c r="G529" s="559" t="str">
        <f t="shared" si="48"/>
        <v/>
      </c>
      <c r="H529" s="559" t="str">
        <f t="shared" si="49"/>
        <v/>
      </c>
      <c r="I529" s="559" t="str">
        <f t="shared" si="50"/>
        <v/>
      </c>
    </row>
    <row r="530" spans="2:9">
      <c r="B530" s="555" t="str">
        <f t="shared" si="45"/>
        <v/>
      </c>
      <c r="C530" s="556" t="str">
        <f t="shared" si="46"/>
        <v/>
      </c>
      <c r="D530" s="557" t="str">
        <f t="shared" si="47"/>
        <v/>
      </c>
      <c r="E530" s="560"/>
      <c r="F530" s="559"/>
      <c r="G530" s="559" t="str">
        <f t="shared" si="48"/>
        <v/>
      </c>
      <c r="H530" s="559" t="str">
        <f t="shared" si="49"/>
        <v/>
      </c>
      <c r="I530" s="559" t="str">
        <f t="shared" si="50"/>
        <v/>
      </c>
    </row>
    <row r="531" spans="2:9">
      <c r="B531" s="555" t="str">
        <f t="shared" si="45"/>
        <v/>
      </c>
      <c r="C531" s="556" t="str">
        <f t="shared" si="46"/>
        <v/>
      </c>
      <c r="D531" s="557" t="str">
        <f t="shared" si="47"/>
        <v/>
      </c>
      <c r="E531" s="560"/>
      <c r="F531" s="559"/>
      <c r="G531" s="559" t="str">
        <f t="shared" si="48"/>
        <v/>
      </c>
      <c r="H531" s="559" t="str">
        <f t="shared" si="49"/>
        <v/>
      </c>
      <c r="I531" s="559" t="str">
        <f t="shared" si="50"/>
        <v/>
      </c>
    </row>
    <row r="532" spans="2:9">
      <c r="B532" s="555" t="str">
        <f t="shared" si="45"/>
        <v/>
      </c>
      <c r="C532" s="556" t="str">
        <f t="shared" si="46"/>
        <v/>
      </c>
      <c r="D532" s="557" t="str">
        <f t="shared" si="47"/>
        <v/>
      </c>
      <c r="E532" s="560"/>
      <c r="F532" s="559"/>
      <c r="G532" s="559" t="str">
        <f t="shared" si="48"/>
        <v/>
      </c>
      <c r="H532" s="559" t="str">
        <f t="shared" si="49"/>
        <v/>
      </c>
      <c r="I532" s="559" t="str">
        <f t="shared" si="50"/>
        <v/>
      </c>
    </row>
    <row r="533" spans="2:9">
      <c r="B533" s="555" t="str">
        <f t="shared" si="45"/>
        <v/>
      </c>
      <c r="C533" s="556" t="str">
        <f t="shared" si="46"/>
        <v/>
      </c>
      <c r="D533" s="557" t="str">
        <f t="shared" si="47"/>
        <v/>
      </c>
      <c r="E533" s="560"/>
      <c r="F533" s="559"/>
      <c r="G533" s="559" t="str">
        <f t="shared" si="48"/>
        <v/>
      </c>
      <c r="H533" s="559" t="str">
        <f t="shared" si="49"/>
        <v/>
      </c>
      <c r="I533" s="559" t="str">
        <f t="shared" si="50"/>
        <v/>
      </c>
    </row>
    <row r="534" spans="2:9">
      <c r="B534" s="555" t="str">
        <f t="shared" si="45"/>
        <v/>
      </c>
      <c r="C534" s="556" t="str">
        <f t="shared" si="46"/>
        <v/>
      </c>
      <c r="D534" s="557" t="str">
        <f t="shared" si="47"/>
        <v/>
      </c>
      <c r="E534" s="560"/>
      <c r="F534" s="559"/>
      <c r="G534" s="559" t="str">
        <f t="shared" si="48"/>
        <v/>
      </c>
      <c r="H534" s="559" t="str">
        <f t="shared" si="49"/>
        <v/>
      </c>
      <c r="I534" s="559" t="str">
        <f t="shared" si="50"/>
        <v/>
      </c>
    </row>
    <row r="535" spans="2:9">
      <c r="B535" s="555" t="str">
        <f t="shared" si="45"/>
        <v/>
      </c>
      <c r="C535" s="556" t="str">
        <f t="shared" si="46"/>
        <v/>
      </c>
      <c r="D535" s="557" t="str">
        <f t="shared" si="47"/>
        <v/>
      </c>
      <c r="E535" s="560"/>
      <c r="F535" s="559"/>
      <c r="G535" s="559" t="str">
        <f t="shared" si="48"/>
        <v/>
      </c>
      <c r="H535" s="559" t="str">
        <f t="shared" si="49"/>
        <v/>
      </c>
      <c r="I535" s="559" t="str">
        <f t="shared" si="50"/>
        <v/>
      </c>
    </row>
    <row r="536" spans="2:9">
      <c r="B536" s="555" t="str">
        <f t="shared" si="45"/>
        <v/>
      </c>
      <c r="C536" s="556" t="str">
        <f t="shared" si="46"/>
        <v/>
      </c>
      <c r="D536" s="557" t="str">
        <f t="shared" si="47"/>
        <v/>
      </c>
      <c r="E536" s="560"/>
      <c r="F536" s="559"/>
      <c r="G536" s="559" t="str">
        <f t="shared" si="48"/>
        <v/>
      </c>
      <c r="H536" s="559" t="str">
        <f t="shared" si="49"/>
        <v/>
      </c>
      <c r="I536" s="559" t="str">
        <f t="shared" si="50"/>
        <v/>
      </c>
    </row>
    <row r="537" spans="2:9">
      <c r="B537" s="555" t="str">
        <f t="shared" si="45"/>
        <v/>
      </c>
      <c r="C537" s="556" t="str">
        <f t="shared" si="46"/>
        <v/>
      </c>
      <c r="D537" s="557" t="str">
        <f t="shared" si="47"/>
        <v/>
      </c>
      <c r="E537" s="560"/>
      <c r="F537" s="559"/>
      <c r="G537" s="559" t="str">
        <f t="shared" si="48"/>
        <v/>
      </c>
      <c r="H537" s="559" t="str">
        <f t="shared" si="49"/>
        <v/>
      </c>
      <c r="I537" s="559" t="str">
        <f t="shared" si="50"/>
        <v/>
      </c>
    </row>
    <row r="538" spans="2:9">
      <c r="B538" s="555" t="str">
        <f t="shared" si="45"/>
        <v/>
      </c>
      <c r="C538" s="556" t="str">
        <f t="shared" si="46"/>
        <v/>
      </c>
      <c r="D538" s="557" t="str">
        <f t="shared" si="47"/>
        <v/>
      </c>
      <c r="E538" s="560"/>
      <c r="F538" s="559"/>
      <c r="G538" s="559" t="str">
        <f t="shared" si="48"/>
        <v/>
      </c>
      <c r="H538" s="559" t="str">
        <f t="shared" si="49"/>
        <v/>
      </c>
      <c r="I538" s="559" t="str">
        <f t="shared" si="50"/>
        <v/>
      </c>
    </row>
    <row r="539" spans="2:9">
      <c r="B539" s="555" t="str">
        <f t="shared" si="45"/>
        <v/>
      </c>
      <c r="C539" s="556" t="str">
        <f t="shared" si="46"/>
        <v/>
      </c>
      <c r="D539" s="557" t="str">
        <f t="shared" si="47"/>
        <v/>
      </c>
      <c r="E539" s="560"/>
      <c r="F539" s="559"/>
      <c r="G539" s="559" t="str">
        <f t="shared" si="48"/>
        <v/>
      </c>
      <c r="H539" s="559" t="str">
        <f t="shared" si="49"/>
        <v/>
      </c>
      <c r="I539" s="559" t="str">
        <f t="shared" si="50"/>
        <v/>
      </c>
    </row>
    <row r="540" spans="2:9">
      <c r="B540" s="555" t="str">
        <f t="shared" si="45"/>
        <v/>
      </c>
      <c r="C540" s="556" t="str">
        <f t="shared" si="46"/>
        <v/>
      </c>
      <c r="D540" s="557" t="str">
        <f t="shared" si="47"/>
        <v/>
      </c>
      <c r="E540" s="560"/>
      <c r="F540" s="559"/>
      <c r="G540" s="559" t="str">
        <f t="shared" si="48"/>
        <v/>
      </c>
      <c r="H540" s="559" t="str">
        <f t="shared" si="49"/>
        <v/>
      </c>
      <c r="I540" s="559" t="str">
        <f t="shared" si="50"/>
        <v/>
      </c>
    </row>
    <row r="541" spans="2:9">
      <c r="B541" s="555" t="str">
        <f t="shared" si="45"/>
        <v/>
      </c>
      <c r="C541" s="556" t="str">
        <f t="shared" si="46"/>
        <v/>
      </c>
      <c r="D541" s="557" t="str">
        <f t="shared" si="47"/>
        <v/>
      </c>
      <c r="E541" s="560"/>
      <c r="F541" s="559"/>
      <c r="G541" s="559" t="str">
        <f t="shared" si="48"/>
        <v/>
      </c>
      <c r="H541" s="559" t="str">
        <f t="shared" si="49"/>
        <v/>
      </c>
      <c r="I541" s="559" t="str">
        <f t="shared" si="50"/>
        <v/>
      </c>
    </row>
    <row r="542" spans="2:9">
      <c r="B542" s="555" t="str">
        <f t="shared" si="45"/>
        <v/>
      </c>
      <c r="C542" s="556" t="str">
        <f t="shared" si="46"/>
        <v/>
      </c>
      <c r="D542" s="557" t="str">
        <f t="shared" si="47"/>
        <v/>
      </c>
      <c r="E542" s="560"/>
      <c r="F542" s="559"/>
      <c r="G542" s="559" t="str">
        <f t="shared" si="48"/>
        <v/>
      </c>
      <c r="H542" s="559" t="str">
        <f t="shared" si="49"/>
        <v/>
      </c>
      <c r="I542" s="559" t="str">
        <f t="shared" si="50"/>
        <v/>
      </c>
    </row>
    <row r="543" spans="2:9">
      <c r="B543" s="555" t="str">
        <f t="shared" si="45"/>
        <v/>
      </c>
      <c r="C543" s="556" t="str">
        <f t="shared" si="46"/>
        <v/>
      </c>
      <c r="D543" s="557" t="str">
        <f t="shared" si="47"/>
        <v/>
      </c>
      <c r="E543" s="560"/>
      <c r="F543" s="559"/>
      <c r="G543" s="559" t="str">
        <f t="shared" si="48"/>
        <v/>
      </c>
      <c r="H543" s="559" t="str">
        <f t="shared" si="49"/>
        <v/>
      </c>
      <c r="I543" s="559" t="str">
        <f t="shared" si="50"/>
        <v/>
      </c>
    </row>
    <row r="544" spans="2:9">
      <c r="B544" s="555" t="str">
        <f t="shared" si="45"/>
        <v/>
      </c>
      <c r="C544" s="556" t="str">
        <f t="shared" si="46"/>
        <v/>
      </c>
      <c r="D544" s="557" t="str">
        <f t="shared" si="47"/>
        <v/>
      </c>
      <c r="E544" s="560"/>
      <c r="F544" s="559"/>
      <c r="G544" s="559" t="str">
        <f t="shared" si="48"/>
        <v/>
      </c>
      <c r="H544" s="559" t="str">
        <f t="shared" si="49"/>
        <v/>
      </c>
      <c r="I544" s="559" t="str">
        <f t="shared" si="50"/>
        <v/>
      </c>
    </row>
    <row r="545" spans="2:9">
      <c r="B545" s="555" t="str">
        <f t="shared" si="45"/>
        <v/>
      </c>
      <c r="C545" s="556" t="str">
        <f t="shared" si="46"/>
        <v/>
      </c>
      <c r="D545" s="557" t="str">
        <f t="shared" si="47"/>
        <v/>
      </c>
      <c r="E545" s="560"/>
      <c r="F545" s="559"/>
      <c r="G545" s="559" t="str">
        <f t="shared" si="48"/>
        <v/>
      </c>
      <c r="H545" s="559" t="str">
        <f t="shared" si="49"/>
        <v/>
      </c>
      <c r="I545" s="559" t="str">
        <f t="shared" si="50"/>
        <v/>
      </c>
    </row>
    <row r="546" spans="2:9">
      <c r="B546" s="555" t="str">
        <f t="shared" si="45"/>
        <v/>
      </c>
      <c r="C546" s="556" t="str">
        <f t="shared" si="46"/>
        <v/>
      </c>
      <c r="D546" s="557" t="str">
        <f t="shared" si="47"/>
        <v/>
      </c>
      <c r="E546" s="560"/>
      <c r="F546" s="559"/>
      <c r="G546" s="559" t="str">
        <f t="shared" si="48"/>
        <v/>
      </c>
      <c r="H546" s="559" t="str">
        <f t="shared" si="49"/>
        <v/>
      </c>
      <c r="I546" s="559" t="str">
        <f t="shared" si="50"/>
        <v/>
      </c>
    </row>
    <row r="547" spans="2:9">
      <c r="B547" s="555" t="str">
        <f t="shared" si="45"/>
        <v/>
      </c>
      <c r="C547" s="556" t="str">
        <f t="shared" si="46"/>
        <v/>
      </c>
      <c r="D547" s="557" t="str">
        <f t="shared" si="47"/>
        <v/>
      </c>
      <c r="E547" s="560"/>
      <c r="F547" s="559"/>
      <c r="G547" s="559" t="str">
        <f t="shared" si="48"/>
        <v/>
      </c>
      <c r="H547" s="559" t="str">
        <f t="shared" si="49"/>
        <v/>
      </c>
      <c r="I547" s="559" t="str">
        <f t="shared" si="50"/>
        <v/>
      </c>
    </row>
    <row r="548" spans="2:9">
      <c r="B548" s="555" t="str">
        <f t="shared" si="45"/>
        <v/>
      </c>
      <c r="C548" s="556" t="str">
        <f t="shared" si="46"/>
        <v/>
      </c>
      <c r="D548" s="557" t="str">
        <f t="shared" si="47"/>
        <v/>
      </c>
      <c r="E548" s="560"/>
      <c r="F548" s="559"/>
      <c r="G548" s="559" t="str">
        <f t="shared" si="48"/>
        <v/>
      </c>
      <c r="H548" s="559" t="str">
        <f t="shared" si="49"/>
        <v/>
      </c>
      <c r="I548" s="559" t="str">
        <f t="shared" si="50"/>
        <v/>
      </c>
    </row>
    <row r="549" spans="2:9">
      <c r="B549" s="555" t="str">
        <f t="shared" si="45"/>
        <v/>
      </c>
      <c r="C549" s="556" t="str">
        <f t="shared" si="46"/>
        <v/>
      </c>
      <c r="D549" s="557" t="str">
        <f t="shared" si="47"/>
        <v/>
      </c>
      <c r="E549" s="560"/>
      <c r="F549" s="559"/>
      <c r="G549" s="559" t="str">
        <f t="shared" si="48"/>
        <v/>
      </c>
      <c r="H549" s="559" t="str">
        <f t="shared" si="49"/>
        <v/>
      </c>
      <c r="I549" s="559" t="str">
        <f t="shared" si="50"/>
        <v/>
      </c>
    </row>
    <row r="550" spans="2:9">
      <c r="B550" s="555" t="str">
        <f t="shared" si="45"/>
        <v/>
      </c>
      <c r="C550" s="556" t="str">
        <f t="shared" si="46"/>
        <v/>
      </c>
      <c r="D550" s="557" t="str">
        <f t="shared" si="47"/>
        <v/>
      </c>
      <c r="E550" s="560"/>
      <c r="F550" s="559"/>
      <c r="G550" s="559" t="str">
        <f t="shared" si="48"/>
        <v/>
      </c>
      <c r="H550" s="559" t="str">
        <f t="shared" si="49"/>
        <v/>
      </c>
      <c r="I550" s="559" t="str">
        <f t="shared" si="50"/>
        <v/>
      </c>
    </row>
    <row r="551" spans="2:9">
      <c r="B551" s="555" t="str">
        <f t="shared" si="45"/>
        <v/>
      </c>
      <c r="C551" s="556" t="str">
        <f t="shared" si="46"/>
        <v/>
      </c>
      <c r="D551" s="557" t="str">
        <f t="shared" si="47"/>
        <v/>
      </c>
      <c r="E551" s="560"/>
      <c r="F551" s="559"/>
      <c r="G551" s="559" t="str">
        <f t="shared" si="48"/>
        <v/>
      </c>
      <c r="H551" s="559" t="str">
        <f t="shared" si="49"/>
        <v/>
      </c>
      <c r="I551" s="559" t="str">
        <f t="shared" si="50"/>
        <v/>
      </c>
    </row>
    <row r="552" spans="2:9">
      <c r="B552" s="555" t="str">
        <f t="shared" si="45"/>
        <v/>
      </c>
      <c r="C552" s="556" t="str">
        <f t="shared" si="46"/>
        <v/>
      </c>
      <c r="D552" s="557" t="str">
        <f t="shared" si="47"/>
        <v/>
      </c>
      <c r="E552" s="560"/>
      <c r="F552" s="559"/>
      <c r="G552" s="559" t="str">
        <f t="shared" si="48"/>
        <v/>
      </c>
      <c r="H552" s="559" t="str">
        <f t="shared" si="49"/>
        <v/>
      </c>
      <c r="I552" s="559" t="str">
        <f t="shared" si="50"/>
        <v/>
      </c>
    </row>
    <row r="553" spans="2:9">
      <c r="B553" s="555" t="str">
        <f t="shared" si="45"/>
        <v/>
      </c>
      <c r="C553" s="556" t="str">
        <f t="shared" si="46"/>
        <v/>
      </c>
      <c r="D553" s="557" t="str">
        <f t="shared" si="47"/>
        <v/>
      </c>
      <c r="E553" s="560"/>
      <c r="F553" s="559"/>
      <c r="G553" s="559" t="str">
        <f t="shared" si="48"/>
        <v/>
      </c>
      <c r="H553" s="559" t="str">
        <f t="shared" si="49"/>
        <v/>
      </c>
      <c r="I553" s="559" t="str">
        <f t="shared" si="50"/>
        <v/>
      </c>
    </row>
    <row r="554" spans="2:9">
      <c r="B554" s="555" t="str">
        <f t="shared" si="45"/>
        <v/>
      </c>
      <c r="C554" s="556" t="str">
        <f t="shared" si="46"/>
        <v/>
      </c>
      <c r="D554" s="557" t="str">
        <f t="shared" si="47"/>
        <v/>
      </c>
      <c r="E554" s="560"/>
      <c r="F554" s="559"/>
      <c r="G554" s="559" t="str">
        <f t="shared" si="48"/>
        <v/>
      </c>
      <c r="H554" s="559" t="str">
        <f t="shared" si="49"/>
        <v/>
      </c>
      <c r="I554" s="559" t="str">
        <f t="shared" si="50"/>
        <v/>
      </c>
    </row>
    <row r="555" spans="2:9">
      <c r="B555" s="555" t="str">
        <f t="shared" si="45"/>
        <v/>
      </c>
      <c r="C555" s="556" t="str">
        <f t="shared" si="46"/>
        <v/>
      </c>
      <c r="D555" s="557" t="str">
        <f t="shared" si="47"/>
        <v/>
      </c>
      <c r="E555" s="560"/>
      <c r="F555" s="559"/>
      <c r="G555" s="559" t="str">
        <f t="shared" si="48"/>
        <v/>
      </c>
      <c r="H555" s="559" t="str">
        <f t="shared" si="49"/>
        <v/>
      </c>
      <c r="I555" s="559" t="str">
        <f t="shared" si="50"/>
        <v/>
      </c>
    </row>
    <row r="556" spans="2:9">
      <c r="B556" s="555" t="str">
        <f t="shared" si="45"/>
        <v/>
      </c>
      <c r="C556" s="556" t="str">
        <f t="shared" si="46"/>
        <v/>
      </c>
      <c r="D556" s="557" t="str">
        <f t="shared" si="47"/>
        <v/>
      </c>
      <c r="E556" s="560"/>
      <c r="F556" s="559"/>
      <c r="G556" s="559" t="str">
        <f t="shared" si="48"/>
        <v/>
      </c>
      <c r="H556" s="559" t="str">
        <f t="shared" si="49"/>
        <v/>
      </c>
      <c r="I556" s="559" t="str">
        <f t="shared" si="50"/>
        <v/>
      </c>
    </row>
    <row r="557" spans="2:9">
      <c r="B557" s="555" t="str">
        <f t="shared" si="45"/>
        <v/>
      </c>
      <c r="C557" s="556" t="str">
        <f t="shared" si="46"/>
        <v/>
      </c>
      <c r="D557" s="557" t="str">
        <f t="shared" si="47"/>
        <v/>
      </c>
      <c r="E557" s="560"/>
      <c r="F557" s="559"/>
      <c r="G557" s="559" t="str">
        <f t="shared" si="48"/>
        <v/>
      </c>
      <c r="H557" s="559" t="str">
        <f t="shared" si="49"/>
        <v/>
      </c>
      <c r="I557" s="559" t="str">
        <f t="shared" si="50"/>
        <v/>
      </c>
    </row>
    <row r="558" spans="2:9">
      <c r="B558" s="555" t="str">
        <f t="shared" si="45"/>
        <v/>
      </c>
      <c r="C558" s="556" t="str">
        <f t="shared" si="46"/>
        <v/>
      </c>
      <c r="D558" s="557" t="str">
        <f t="shared" si="47"/>
        <v/>
      </c>
      <c r="E558" s="560"/>
      <c r="F558" s="559"/>
      <c r="G558" s="559" t="str">
        <f t="shared" si="48"/>
        <v/>
      </c>
      <c r="H558" s="559" t="str">
        <f t="shared" si="49"/>
        <v/>
      </c>
      <c r="I558" s="559" t="str">
        <f t="shared" si="50"/>
        <v/>
      </c>
    </row>
    <row r="559" spans="2:9">
      <c r="B559" s="555" t="str">
        <f t="shared" si="45"/>
        <v/>
      </c>
      <c r="C559" s="556" t="str">
        <f t="shared" si="46"/>
        <v/>
      </c>
      <c r="D559" s="557" t="str">
        <f t="shared" si="47"/>
        <v/>
      </c>
      <c r="E559" s="560"/>
      <c r="F559" s="559"/>
      <c r="G559" s="559" t="str">
        <f t="shared" si="48"/>
        <v/>
      </c>
      <c r="H559" s="559" t="str">
        <f t="shared" si="49"/>
        <v/>
      </c>
      <c r="I559" s="559" t="str">
        <f t="shared" si="50"/>
        <v/>
      </c>
    </row>
    <row r="560" spans="2:9">
      <c r="B560" s="555" t="str">
        <f t="shared" si="45"/>
        <v/>
      </c>
      <c r="C560" s="556" t="str">
        <f t="shared" si="46"/>
        <v/>
      </c>
      <c r="D560" s="557" t="str">
        <f t="shared" si="47"/>
        <v/>
      </c>
      <c r="E560" s="560"/>
      <c r="F560" s="559"/>
      <c r="G560" s="559" t="str">
        <f t="shared" si="48"/>
        <v/>
      </c>
      <c r="H560" s="559" t="str">
        <f t="shared" si="49"/>
        <v/>
      </c>
      <c r="I560" s="559" t="str">
        <f t="shared" si="50"/>
        <v/>
      </c>
    </row>
    <row r="561" spans="2:9">
      <c r="B561" s="555" t="str">
        <f t="shared" si="45"/>
        <v/>
      </c>
      <c r="C561" s="556" t="str">
        <f t="shared" si="46"/>
        <v/>
      </c>
      <c r="D561" s="557" t="str">
        <f t="shared" si="47"/>
        <v/>
      </c>
      <c r="E561" s="560"/>
      <c r="F561" s="559"/>
      <c r="G561" s="559" t="str">
        <f t="shared" si="48"/>
        <v/>
      </c>
      <c r="H561" s="559" t="str">
        <f t="shared" si="49"/>
        <v/>
      </c>
      <c r="I561" s="559" t="str">
        <f t="shared" si="50"/>
        <v/>
      </c>
    </row>
    <row r="562" spans="2:9">
      <c r="B562" s="555" t="str">
        <f t="shared" si="45"/>
        <v/>
      </c>
      <c r="C562" s="556" t="str">
        <f t="shared" si="46"/>
        <v/>
      </c>
      <c r="D562" s="557" t="str">
        <f t="shared" si="47"/>
        <v/>
      </c>
      <c r="E562" s="560"/>
      <c r="F562" s="559"/>
      <c r="G562" s="559" t="str">
        <f t="shared" si="48"/>
        <v/>
      </c>
      <c r="H562" s="559" t="str">
        <f t="shared" si="49"/>
        <v/>
      </c>
      <c r="I562" s="559" t="str">
        <f t="shared" si="50"/>
        <v/>
      </c>
    </row>
    <row r="563" spans="2:9">
      <c r="B563" s="555" t="str">
        <f t="shared" si="45"/>
        <v/>
      </c>
      <c r="C563" s="556" t="str">
        <f t="shared" si="46"/>
        <v/>
      </c>
      <c r="D563" s="557" t="str">
        <f t="shared" si="47"/>
        <v/>
      </c>
      <c r="E563" s="560"/>
      <c r="F563" s="559"/>
      <c r="G563" s="559" t="str">
        <f t="shared" si="48"/>
        <v/>
      </c>
      <c r="H563" s="559" t="str">
        <f t="shared" si="49"/>
        <v/>
      </c>
      <c r="I563" s="559" t="str">
        <f t="shared" si="50"/>
        <v/>
      </c>
    </row>
    <row r="564" spans="2:9">
      <c r="B564" s="555" t="str">
        <f t="shared" si="45"/>
        <v/>
      </c>
      <c r="C564" s="556" t="str">
        <f t="shared" si="46"/>
        <v/>
      </c>
      <c r="D564" s="557" t="str">
        <f t="shared" si="47"/>
        <v/>
      </c>
      <c r="E564" s="560"/>
      <c r="F564" s="559"/>
      <c r="G564" s="559" t="str">
        <f t="shared" si="48"/>
        <v/>
      </c>
      <c r="H564" s="559" t="str">
        <f t="shared" si="49"/>
        <v/>
      </c>
      <c r="I564" s="559" t="str">
        <f t="shared" si="50"/>
        <v/>
      </c>
    </row>
    <row r="565" spans="2:9">
      <c r="B565" s="555" t="str">
        <f t="shared" si="45"/>
        <v/>
      </c>
      <c r="C565" s="556" t="str">
        <f t="shared" si="46"/>
        <v/>
      </c>
      <c r="D565" s="557" t="str">
        <f t="shared" si="47"/>
        <v/>
      </c>
      <c r="E565" s="560"/>
      <c r="F565" s="559"/>
      <c r="G565" s="559" t="str">
        <f t="shared" si="48"/>
        <v/>
      </c>
      <c r="H565" s="559" t="str">
        <f t="shared" si="49"/>
        <v/>
      </c>
      <c r="I565" s="559" t="str">
        <f t="shared" si="50"/>
        <v/>
      </c>
    </row>
    <row r="566" spans="2:9">
      <c r="B566" s="555" t="str">
        <f t="shared" si="45"/>
        <v/>
      </c>
      <c r="C566" s="556" t="str">
        <f t="shared" si="46"/>
        <v/>
      </c>
      <c r="D566" s="557" t="str">
        <f t="shared" si="47"/>
        <v/>
      </c>
      <c r="E566" s="560"/>
      <c r="F566" s="559"/>
      <c r="G566" s="559" t="str">
        <f t="shared" si="48"/>
        <v/>
      </c>
      <c r="H566" s="559" t="str">
        <f t="shared" si="49"/>
        <v/>
      </c>
      <c r="I566" s="559" t="str">
        <f t="shared" si="50"/>
        <v/>
      </c>
    </row>
    <row r="567" spans="2:9">
      <c r="B567" s="555" t="str">
        <f t="shared" si="45"/>
        <v/>
      </c>
      <c r="C567" s="556" t="str">
        <f t="shared" si="46"/>
        <v/>
      </c>
      <c r="D567" s="557" t="str">
        <f t="shared" si="47"/>
        <v/>
      </c>
      <c r="E567" s="560"/>
      <c r="F567" s="559"/>
      <c r="G567" s="559" t="str">
        <f t="shared" si="48"/>
        <v/>
      </c>
      <c r="H567" s="559" t="str">
        <f t="shared" si="49"/>
        <v/>
      </c>
      <c r="I567" s="559" t="str">
        <f t="shared" si="50"/>
        <v/>
      </c>
    </row>
    <row r="568" spans="2:9">
      <c r="B568" s="555" t="str">
        <f t="shared" si="45"/>
        <v/>
      </c>
      <c r="C568" s="556" t="str">
        <f t="shared" si="46"/>
        <v/>
      </c>
      <c r="D568" s="557" t="str">
        <f t="shared" si="47"/>
        <v/>
      </c>
      <c r="E568" s="560"/>
      <c r="F568" s="559"/>
      <c r="G568" s="559" t="str">
        <f t="shared" si="48"/>
        <v/>
      </c>
      <c r="H568" s="559" t="str">
        <f t="shared" si="49"/>
        <v/>
      </c>
      <c r="I568" s="559" t="str">
        <f t="shared" si="50"/>
        <v/>
      </c>
    </row>
    <row r="569" spans="2:9">
      <c r="B569" s="555" t="str">
        <f t="shared" si="45"/>
        <v/>
      </c>
      <c r="C569" s="556" t="str">
        <f t="shared" si="46"/>
        <v/>
      </c>
      <c r="D569" s="557" t="str">
        <f t="shared" si="47"/>
        <v/>
      </c>
      <c r="E569" s="560"/>
      <c r="F569" s="559"/>
      <c r="G569" s="559" t="str">
        <f t="shared" si="48"/>
        <v/>
      </c>
      <c r="H569" s="559" t="str">
        <f t="shared" si="49"/>
        <v/>
      </c>
      <c r="I569" s="559" t="str">
        <f t="shared" si="50"/>
        <v/>
      </c>
    </row>
    <row r="570" spans="2:9">
      <c r="B570" s="555" t="str">
        <f t="shared" si="45"/>
        <v/>
      </c>
      <c r="C570" s="556" t="str">
        <f t="shared" si="46"/>
        <v/>
      </c>
      <c r="D570" s="557" t="str">
        <f t="shared" si="47"/>
        <v/>
      </c>
      <c r="E570" s="560"/>
      <c r="F570" s="559"/>
      <c r="G570" s="559" t="str">
        <f t="shared" si="48"/>
        <v/>
      </c>
      <c r="H570" s="559" t="str">
        <f t="shared" si="49"/>
        <v/>
      </c>
      <c r="I570" s="559" t="str">
        <f t="shared" si="50"/>
        <v/>
      </c>
    </row>
    <row r="571" spans="2:9">
      <c r="B571" s="555" t="str">
        <f t="shared" si="45"/>
        <v/>
      </c>
      <c r="C571" s="556" t="str">
        <f t="shared" si="46"/>
        <v/>
      </c>
      <c r="D571" s="557" t="str">
        <f t="shared" si="47"/>
        <v/>
      </c>
      <c r="E571" s="560"/>
      <c r="F571" s="559"/>
      <c r="G571" s="559" t="str">
        <f t="shared" si="48"/>
        <v/>
      </c>
      <c r="H571" s="559" t="str">
        <f t="shared" si="49"/>
        <v/>
      </c>
      <c r="I571" s="559" t="str">
        <f t="shared" si="50"/>
        <v/>
      </c>
    </row>
    <row r="572" spans="2:9">
      <c r="B572" s="555" t="str">
        <f t="shared" si="45"/>
        <v/>
      </c>
      <c r="C572" s="556" t="str">
        <f t="shared" si="46"/>
        <v/>
      </c>
      <c r="D572" s="557" t="str">
        <f t="shared" si="47"/>
        <v/>
      </c>
      <c r="E572" s="560"/>
      <c r="F572" s="559"/>
      <c r="G572" s="559" t="str">
        <f t="shared" si="48"/>
        <v/>
      </c>
      <c r="H572" s="559" t="str">
        <f t="shared" si="49"/>
        <v/>
      </c>
      <c r="I572" s="559" t="str">
        <f t="shared" si="50"/>
        <v/>
      </c>
    </row>
    <row r="573" spans="2:9">
      <c r="B573" s="555" t="str">
        <f t="shared" ref="B573:B636" si="51">IF(I572="","",IF(roundOpt,IF(OR(B572&gt;=nper,ROUND(I572,2)&lt;=0),"",B572+1),IF(OR(B572&gt;=nper,I572&lt;=0),"",B572+1)))</f>
        <v/>
      </c>
      <c r="C573" s="556" t="str">
        <f t="shared" ref="C573:C636" si="52">IF(B573="","",IF(OR(periods_per_year=26,periods_per_year=52),IF(periods_per_year=26,IF(B573=1,fpdate,C572+14),IF(periods_per_year=52,IF(B573=1,fpdate,C572+7),"n/a")),IF(periods_per_year=24,DATE(YEAR(fpdate),MONTH(fpdate)+(B573-1)/2+IF(AND(DAY(fpdate)&gt;=15,MOD(B573,2)=0),1,0),IF(MOD(B573,2)=0,IF(DAY(fpdate)&gt;=15,DAY(fpdate)-14,DAY(fpdate)+14),DAY(fpdate))),IF(DAY(DATE(YEAR(fpdate),MONTH(fpdate)+(B573-1)*months_per_period,DAY(fpdate)))&lt;&gt;DAY(fpdate),DATE(YEAR(fpdate),MONTH(fpdate)+(B573-1)*months_per_period+1,0),DATE(YEAR(fpdate),MONTH(fpdate)+(B573-1)*months_per_period,DAY(fpdate))))))</f>
        <v/>
      </c>
      <c r="D573" s="557" t="str">
        <f t="shared" ref="D573:D636" si="53">IF(B573="","",IF(roundOpt,IF(OR(B573=nper,payment&gt;ROUND((1+rate)*I572,2)),ROUND((1+rate)*I572,2),payment),IF(OR(B573=nper,payment&gt;(1+rate)*I572),(1+rate)*I572,payment)))</f>
        <v/>
      </c>
      <c r="E573" s="560"/>
      <c r="F573" s="559"/>
      <c r="G573" s="559" t="str">
        <f t="shared" ref="G573:G636" si="54">IF(B573="","",IF(AND(B573=1,pmtType=1),0,IF(roundOpt,ROUND(rate*I572,2),rate*I572)))</f>
        <v/>
      </c>
      <c r="H573" s="559" t="str">
        <f t="shared" ref="H573:H636" si="55">IF(B573="","",D573-G573+E573)</f>
        <v/>
      </c>
      <c r="I573" s="559" t="str">
        <f t="shared" ref="I573:I636" si="56">IF(B573="","",I572-H573)</f>
        <v/>
      </c>
    </row>
    <row r="574" spans="2:9">
      <c r="B574" s="555" t="str">
        <f t="shared" si="51"/>
        <v/>
      </c>
      <c r="C574" s="556" t="str">
        <f t="shared" si="52"/>
        <v/>
      </c>
      <c r="D574" s="557" t="str">
        <f t="shared" si="53"/>
        <v/>
      </c>
      <c r="E574" s="560"/>
      <c r="F574" s="559"/>
      <c r="G574" s="559" t="str">
        <f t="shared" si="54"/>
        <v/>
      </c>
      <c r="H574" s="559" t="str">
        <f t="shared" si="55"/>
        <v/>
      </c>
      <c r="I574" s="559" t="str">
        <f t="shared" si="56"/>
        <v/>
      </c>
    </row>
    <row r="575" spans="2:9">
      <c r="B575" s="555" t="str">
        <f t="shared" si="51"/>
        <v/>
      </c>
      <c r="C575" s="556" t="str">
        <f t="shared" si="52"/>
        <v/>
      </c>
      <c r="D575" s="557" t="str">
        <f t="shared" si="53"/>
        <v/>
      </c>
      <c r="E575" s="560"/>
      <c r="F575" s="559"/>
      <c r="G575" s="559" t="str">
        <f t="shared" si="54"/>
        <v/>
      </c>
      <c r="H575" s="559" t="str">
        <f t="shared" si="55"/>
        <v/>
      </c>
      <c r="I575" s="559" t="str">
        <f t="shared" si="56"/>
        <v/>
      </c>
    </row>
    <row r="576" spans="2:9">
      <c r="B576" s="555" t="str">
        <f t="shared" si="51"/>
        <v/>
      </c>
      <c r="C576" s="556" t="str">
        <f t="shared" si="52"/>
        <v/>
      </c>
      <c r="D576" s="557" t="str">
        <f t="shared" si="53"/>
        <v/>
      </c>
      <c r="E576" s="560"/>
      <c r="F576" s="559"/>
      <c r="G576" s="559" t="str">
        <f t="shared" si="54"/>
        <v/>
      </c>
      <c r="H576" s="559" t="str">
        <f t="shared" si="55"/>
        <v/>
      </c>
      <c r="I576" s="559" t="str">
        <f t="shared" si="56"/>
        <v/>
      </c>
    </row>
    <row r="577" spans="2:9">
      <c r="B577" s="555" t="str">
        <f t="shared" si="51"/>
        <v/>
      </c>
      <c r="C577" s="556" t="str">
        <f t="shared" si="52"/>
        <v/>
      </c>
      <c r="D577" s="557" t="str">
        <f t="shared" si="53"/>
        <v/>
      </c>
      <c r="E577" s="560"/>
      <c r="F577" s="559"/>
      <c r="G577" s="559" t="str">
        <f t="shared" si="54"/>
        <v/>
      </c>
      <c r="H577" s="559" t="str">
        <f t="shared" si="55"/>
        <v/>
      </c>
      <c r="I577" s="559" t="str">
        <f t="shared" si="56"/>
        <v/>
      </c>
    </row>
    <row r="578" spans="2:9">
      <c r="B578" s="555" t="str">
        <f t="shared" si="51"/>
        <v/>
      </c>
      <c r="C578" s="556" t="str">
        <f t="shared" si="52"/>
        <v/>
      </c>
      <c r="D578" s="557" t="str">
        <f t="shared" si="53"/>
        <v/>
      </c>
      <c r="E578" s="560"/>
      <c r="F578" s="559"/>
      <c r="G578" s="559" t="str">
        <f t="shared" si="54"/>
        <v/>
      </c>
      <c r="H578" s="559" t="str">
        <f t="shared" si="55"/>
        <v/>
      </c>
      <c r="I578" s="559" t="str">
        <f t="shared" si="56"/>
        <v/>
      </c>
    </row>
    <row r="579" spans="2:9">
      <c r="B579" s="555" t="str">
        <f t="shared" si="51"/>
        <v/>
      </c>
      <c r="C579" s="556" t="str">
        <f t="shared" si="52"/>
        <v/>
      </c>
      <c r="D579" s="557" t="str">
        <f t="shared" si="53"/>
        <v/>
      </c>
      <c r="E579" s="560"/>
      <c r="F579" s="559"/>
      <c r="G579" s="559" t="str">
        <f t="shared" si="54"/>
        <v/>
      </c>
      <c r="H579" s="559" t="str">
        <f t="shared" si="55"/>
        <v/>
      </c>
      <c r="I579" s="559" t="str">
        <f t="shared" si="56"/>
        <v/>
      </c>
    </row>
    <row r="580" spans="2:9">
      <c r="B580" s="555" t="str">
        <f t="shared" si="51"/>
        <v/>
      </c>
      <c r="C580" s="556" t="str">
        <f t="shared" si="52"/>
        <v/>
      </c>
      <c r="D580" s="557" t="str">
        <f t="shared" si="53"/>
        <v/>
      </c>
      <c r="E580" s="560"/>
      <c r="F580" s="559"/>
      <c r="G580" s="559" t="str">
        <f t="shared" si="54"/>
        <v/>
      </c>
      <c r="H580" s="559" t="str">
        <f t="shared" si="55"/>
        <v/>
      </c>
      <c r="I580" s="559" t="str">
        <f t="shared" si="56"/>
        <v/>
      </c>
    </row>
    <row r="581" spans="2:9">
      <c r="B581" s="555" t="str">
        <f t="shared" si="51"/>
        <v/>
      </c>
      <c r="C581" s="556" t="str">
        <f t="shared" si="52"/>
        <v/>
      </c>
      <c r="D581" s="557" t="str">
        <f t="shared" si="53"/>
        <v/>
      </c>
      <c r="E581" s="560"/>
      <c r="F581" s="559"/>
      <c r="G581" s="559" t="str">
        <f t="shared" si="54"/>
        <v/>
      </c>
      <c r="H581" s="559" t="str">
        <f t="shared" si="55"/>
        <v/>
      </c>
      <c r="I581" s="559" t="str">
        <f t="shared" si="56"/>
        <v/>
      </c>
    </row>
    <row r="582" spans="2:9">
      <c r="B582" s="555" t="str">
        <f t="shared" si="51"/>
        <v/>
      </c>
      <c r="C582" s="556" t="str">
        <f t="shared" si="52"/>
        <v/>
      </c>
      <c r="D582" s="557" t="str">
        <f t="shared" si="53"/>
        <v/>
      </c>
      <c r="E582" s="560"/>
      <c r="F582" s="559"/>
      <c r="G582" s="559" t="str">
        <f t="shared" si="54"/>
        <v/>
      </c>
      <c r="H582" s="559" t="str">
        <f t="shared" si="55"/>
        <v/>
      </c>
      <c r="I582" s="559" t="str">
        <f t="shared" si="56"/>
        <v/>
      </c>
    </row>
    <row r="583" spans="2:9">
      <c r="B583" s="555" t="str">
        <f t="shared" si="51"/>
        <v/>
      </c>
      <c r="C583" s="556" t="str">
        <f t="shared" si="52"/>
        <v/>
      </c>
      <c r="D583" s="557" t="str">
        <f t="shared" si="53"/>
        <v/>
      </c>
      <c r="E583" s="560"/>
      <c r="F583" s="559"/>
      <c r="G583" s="559" t="str">
        <f t="shared" si="54"/>
        <v/>
      </c>
      <c r="H583" s="559" t="str">
        <f t="shared" si="55"/>
        <v/>
      </c>
      <c r="I583" s="559" t="str">
        <f t="shared" si="56"/>
        <v/>
      </c>
    </row>
    <row r="584" spans="2:9">
      <c r="B584" s="555" t="str">
        <f t="shared" si="51"/>
        <v/>
      </c>
      <c r="C584" s="556" t="str">
        <f t="shared" si="52"/>
        <v/>
      </c>
      <c r="D584" s="557" t="str">
        <f t="shared" si="53"/>
        <v/>
      </c>
      <c r="E584" s="560"/>
      <c r="F584" s="559"/>
      <c r="G584" s="559" t="str">
        <f t="shared" si="54"/>
        <v/>
      </c>
      <c r="H584" s="559" t="str">
        <f t="shared" si="55"/>
        <v/>
      </c>
      <c r="I584" s="559" t="str">
        <f t="shared" si="56"/>
        <v/>
      </c>
    </row>
    <row r="585" spans="2:9">
      <c r="B585" s="555" t="str">
        <f t="shared" si="51"/>
        <v/>
      </c>
      <c r="C585" s="556" t="str">
        <f t="shared" si="52"/>
        <v/>
      </c>
      <c r="D585" s="557" t="str">
        <f t="shared" si="53"/>
        <v/>
      </c>
      <c r="E585" s="560"/>
      <c r="F585" s="559"/>
      <c r="G585" s="559" t="str">
        <f t="shared" si="54"/>
        <v/>
      </c>
      <c r="H585" s="559" t="str">
        <f t="shared" si="55"/>
        <v/>
      </c>
      <c r="I585" s="559" t="str">
        <f t="shared" si="56"/>
        <v/>
      </c>
    </row>
    <row r="586" spans="2:9">
      <c r="B586" s="555" t="str">
        <f t="shared" si="51"/>
        <v/>
      </c>
      <c r="C586" s="556" t="str">
        <f t="shared" si="52"/>
        <v/>
      </c>
      <c r="D586" s="557" t="str">
        <f t="shared" si="53"/>
        <v/>
      </c>
      <c r="E586" s="560"/>
      <c r="F586" s="559"/>
      <c r="G586" s="559" t="str">
        <f t="shared" si="54"/>
        <v/>
      </c>
      <c r="H586" s="559" t="str">
        <f t="shared" si="55"/>
        <v/>
      </c>
      <c r="I586" s="559" t="str">
        <f t="shared" si="56"/>
        <v/>
      </c>
    </row>
    <row r="587" spans="2:9">
      <c r="B587" s="555" t="str">
        <f t="shared" si="51"/>
        <v/>
      </c>
      <c r="C587" s="556" t="str">
        <f t="shared" si="52"/>
        <v/>
      </c>
      <c r="D587" s="557" t="str">
        <f t="shared" si="53"/>
        <v/>
      </c>
      <c r="E587" s="560"/>
      <c r="F587" s="559"/>
      <c r="G587" s="559" t="str">
        <f t="shared" si="54"/>
        <v/>
      </c>
      <c r="H587" s="559" t="str">
        <f t="shared" si="55"/>
        <v/>
      </c>
      <c r="I587" s="559" t="str">
        <f t="shared" si="56"/>
        <v/>
      </c>
    </row>
    <row r="588" spans="2:9">
      <c r="B588" s="555" t="str">
        <f t="shared" si="51"/>
        <v/>
      </c>
      <c r="C588" s="556" t="str">
        <f t="shared" si="52"/>
        <v/>
      </c>
      <c r="D588" s="557" t="str">
        <f t="shared" si="53"/>
        <v/>
      </c>
      <c r="E588" s="560"/>
      <c r="F588" s="559"/>
      <c r="G588" s="559" t="str">
        <f t="shared" si="54"/>
        <v/>
      </c>
      <c r="H588" s="559" t="str">
        <f t="shared" si="55"/>
        <v/>
      </c>
      <c r="I588" s="559" t="str">
        <f t="shared" si="56"/>
        <v/>
      </c>
    </row>
    <row r="589" spans="2:9">
      <c r="B589" s="555" t="str">
        <f t="shared" si="51"/>
        <v/>
      </c>
      <c r="C589" s="556" t="str">
        <f t="shared" si="52"/>
        <v/>
      </c>
      <c r="D589" s="557" t="str">
        <f t="shared" si="53"/>
        <v/>
      </c>
      <c r="E589" s="560"/>
      <c r="F589" s="559"/>
      <c r="G589" s="559" t="str">
        <f t="shared" si="54"/>
        <v/>
      </c>
      <c r="H589" s="559" t="str">
        <f t="shared" si="55"/>
        <v/>
      </c>
      <c r="I589" s="559" t="str">
        <f t="shared" si="56"/>
        <v/>
      </c>
    </row>
    <row r="590" spans="2:9">
      <c r="B590" s="555" t="str">
        <f t="shared" si="51"/>
        <v/>
      </c>
      <c r="C590" s="556" t="str">
        <f t="shared" si="52"/>
        <v/>
      </c>
      <c r="D590" s="557" t="str">
        <f t="shared" si="53"/>
        <v/>
      </c>
      <c r="E590" s="560"/>
      <c r="F590" s="559"/>
      <c r="G590" s="559" t="str">
        <f t="shared" si="54"/>
        <v/>
      </c>
      <c r="H590" s="559" t="str">
        <f t="shared" si="55"/>
        <v/>
      </c>
      <c r="I590" s="559" t="str">
        <f t="shared" si="56"/>
        <v/>
      </c>
    </row>
    <row r="591" spans="2:9">
      <c r="B591" s="555" t="str">
        <f t="shared" si="51"/>
        <v/>
      </c>
      <c r="C591" s="556" t="str">
        <f t="shared" si="52"/>
        <v/>
      </c>
      <c r="D591" s="557" t="str">
        <f t="shared" si="53"/>
        <v/>
      </c>
      <c r="E591" s="560"/>
      <c r="F591" s="559"/>
      <c r="G591" s="559" t="str">
        <f t="shared" si="54"/>
        <v/>
      </c>
      <c r="H591" s="559" t="str">
        <f t="shared" si="55"/>
        <v/>
      </c>
      <c r="I591" s="559" t="str">
        <f t="shared" si="56"/>
        <v/>
      </c>
    </row>
    <row r="592" spans="2:9">
      <c r="B592" s="555" t="str">
        <f t="shared" si="51"/>
        <v/>
      </c>
      <c r="C592" s="556" t="str">
        <f t="shared" si="52"/>
        <v/>
      </c>
      <c r="D592" s="557" t="str">
        <f t="shared" si="53"/>
        <v/>
      </c>
      <c r="E592" s="560"/>
      <c r="F592" s="559"/>
      <c r="G592" s="559" t="str">
        <f t="shared" si="54"/>
        <v/>
      </c>
      <c r="H592" s="559" t="str">
        <f t="shared" si="55"/>
        <v/>
      </c>
      <c r="I592" s="559" t="str">
        <f t="shared" si="56"/>
        <v/>
      </c>
    </row>
    <row r="593" spans="2:9">
      <c r="B593" s="555" t="str">
        <f t="shared" si="51"/>
        <v/>
      </c>
      <c r="C593" s="556" t="str">
        <f t="shared" si="52"/>
        <v/>
      </c>
      <c r="D593" s="557" t="str">
        <f t="shared" si="53"/>
        <v/>
      </c>
      <c r="E593" s="560"/>
      <c r="F593" s="559"/>
      <c r="G593" s="559" t="str">
        <f t="shared" si="54"/>
        <v/>
      </c>
      <c r="H593" s="559" t="str">
        <f t="shared" si="55"/>
        <v/>
      </c>
      <c r="I593" s="559" t="str">
        <f t="shared" si="56"/>
        <v/>
      </c>
    </row>
    <row r="594" spans="2:9">
      <c r="B594" s="555" t="str">
        <f t="shared" si="51"/>
        <v/>
      </c>
      <c r="C594" s="556" t="str">
        <f t="shared" si="52"/>
        <v/>
      </c>
      <c r="D594" s="557" t="str">
        <f t="shared" si="53"/>
        <v/>
      </c>
      <c r="E594" s="560"/>
      <c r="F594" s="559"/>
      <c r="G594" s="559" t="str">
        <f t="shared" si="54"/>
        <v/>
      </c>
      <c r="H594" s="559" t="str">
        <f t="shared" si="55"/>
        <v/>
      </c>
      <c r="I594" s="559" t="str">
        <f t="shared" si="56"/>
        <v/>
      </c>
    </row>
    <row r="595" spans="2:9">
      <c r="B595" s="555" t="str">
        <f t="shared" si="51"/>
        <v/>
      </c>
      <c r="C595" s="556" t="str">
        <f t="shared" si="52"/>
        <v/>
      </c>
      <c r="D595" s="557" t="str">
        <f t="shared" si="53"/>
        <v/>
      </c>
      <c r="E595" s="560"/>
      <c r="F595" s="559"/>
      <c r="G595" s="559" t="str">
        <f t="shared" si="54"/>
        <v/>
      </c>
      <c r="H595" s="559" t="str">
        <f t="shared" si="55"/>
        <v/>
      </c>
      <c r="I595" s="559" t="str">
        <f t="shared" si="56"/>
        <v/>
      </c>
    </row>
    <row r="596" spans="2:9">
      <c r="B596" s="555" t="str">
        <f t="shared" si="51"/>
        <v/>
      </c>
      <c r="C596" s="556" t="str">
        <f t="shared" si="52"/>
        <v/>
      </c>
      <c r="D596" s="557" t="str">
        <f t="shared" si="53"/>
        <v/>
      </c>
      <c r="E596" s="560"/>
      <c r="F596" s="559"/>
      <c r="G596" s="559" t="str">
        <f t="shared" si="54"/>
        <v/>
      </c>
      <c r="H596" s="559" t="str">
        <f t="shared" si="55"/>
        <v/>
      </c>
      <c r="I596" s="559" t="str">
        <f t="shared" si="56"/>
        <v/>
      </c>
    </row>
    <row r="597" spans="2:9">
      <c r="B597" s="555" t="str">
        <f t="shared" si="51"/>
        <v/>
      </c>
      <c r="C597" s="556" t="str">
        <f t="shared" si="52"/>
        <v/>
      </c>
      <c r="D597" s="557" t="str">
        <f t="shared" si="53"/>
        <v/>
      </c>
      <c r="E597" s="560"/>
      <c r="F597" s="559"/>
      <c r="G597" s="559" t="str">
        <f t="shared" si="54"/>
        <v/>
      </c>
      <c r="H597" s="559" t="str">
        <f t="shared" si="55"/>
        <v/>
      </c>
      <c r="I597" s="559" t="str">
        <f t="shared" si="56"/>
        <v/>
      </c>
    </row>
    <row r="598" spans="2:9">
      <c r="B598" s="555" t="str">
        <f t="shared" si="51"/>
        <v/>
      </c>
      <c r="C598" s="556" t="str">
        <f t="shared" si="52"/>
        <v/>
      </c>
      <c r="D598" s="557" t="str">
        <f t="shared" si="53"/>
        <v/>
      </c>
      <c r="E598" s="560"/>
      <c r="F598" s="559"/>
      <c r="G598" s="559" t="str">
        <f t="shared" si="54"/>
        <v/>
      </c>
      <c r="H598" s="559" t="str">
        <f t="shared" si="55"/>
        <v/>
      </c>
      <c r="I598" s="559" t="str">
        <f t="shared" si="56"/>
        <v/>
      </c>
    </row>
    <row r="599" spans="2:9">
      <c r="B599" s="555" t="str">
        <f t="shared" si="51"/>
        <v/>
      </c>
      <c r="C599" s="556" t="str">
        <f t="shared" si="52"/>
        <v/>
      </c>
      <c r="D599" s="557" t="str">
        <f t="shared" si="53"/>
        <v/>
      </c>
      <c r="E599" s="560"/>
      <c r="F599" s="559"/>
      <c r="G599" s="559" t="str">
        <f t="shared" si="54"/>
        <v/>
      </c>
      <c r="H599" s="559" t="str">
        <f t="shared" si="55"/>
        <v/>
      </c>
      <c r="I599" s="559" t="str">
        <f t="shared" si="56"/>
        <v/>
      </c>
    </row>
    <row r="600" spans="2:9">
      <c r="B600" s="555" t="str">
        <f t="shared" si="51"/>
        <v/>
      </c>
      <c r="C600" s="556" t="str">
        <f t="shared" si="52"/>
        <v/>
      </c>
      <c r="D600" s="557" t="str">
        <f t="shared" si="53"/>
        <v/>
      </c>
      <c r="E600" s="560"/>
      <c r="F600" s="559"/>
      <c r="G600" s="559" t="str">
        <f t="shared" si="54"/>
        <v/>
      </c>
      <c r="H600" s="559" t="str">
        <f t="shared" si="55"/>
        <v/>
      </c>
      <c r="I600" s="559" t="str">
        <f t="shared" si="56"/>
        <v/>
      </c>
    </row>
    <row r="601" spans="2:9">
      <c r="B601" s="555" t="str">
        <f t="shared" si="51"/>
        <v/>
      </c>
      <c r="C601" s="556" t="str">
        <f t="shared" si="52"/>
        <v/>
      </c>
      <c r="D601" s="557" t="str">
        <f t="shared" si="53"/>
        <v/>
      </c>
      <c r="E601" s="560"/>
      <c r="F601" s="559"/>
      <c r="G601" s="559" t="str">
        <f t="shared" si="54"/>
        <v/>
      </c>
      <c r="H601" s="559" t="str">
        <f t="shared" si="55"/>
        <v/>
      </c>
      <c r="I601" s="559" t="str">
        <f t="shared" si="56"/>
        <v/>
      </c>
    </row>
    <row r="602" spans="2:9">
      <c r="B602" s="555" t="str">
        <f t="shared" si="51"/>
        <v/>
      </c>
      <c r="C602" s="556" t="str">
        <f t="shared" si="52"/>
        <v/>
      </c>
      <c r="D602" s="557" t="str">
        <f t="shared" si="53"/>
        <v/>
      </c>
      <c r="E602" s="560"/>
      <c r="F602" s="559"/>
      <c r="G602" s="559" t="str">
        <f t="shared" si="54"/>
        <v/>
      </c>
      <c r="H602" s="559" t="str">
        <f t="shared" si="55"/>
        <v/>
      </c>
      <c r="I602" s="559" t="str">
        <f t="shared" si="56"/>
        <v/>
      </c>
    </row>
    <row r="603" spans="2:9">
      <c r="B603" s="555" t="str">
        <f t="shared" si="51"/>
        <v/>
      </c>
      <c r="C603" s="556" t="str">
        <f t="shared" si="52"/>
        <v/>
      </c>
      <c r="D603" s="557" t="str">
        <f t="shared" si="53"/>
        <v/>
      </c>
      <c r="E603" s="560"/>
      <c r="F603" s="559"/>
      <c r="G603" s="559" t="str">
        <f t="shared" si="54"/>
        <v/>
      </c>
      <c r="H603" s="559" t="str">
        <f t="shared" si="55"/>
        <v/>
      </c>
      <c r="I603" s="559" t="str">
        <f t="shared" si="56"/>
        <v/>
      </c>
    </row>
    <row r="604" spans="2:9">
      <c r="B604" s="555" t="str">
        <f t="shared" si="51"/>
        <v/>
      </c>
      <c r="C604" s="556" t="str">
        <f t="shared" si="52"/>
        <v/>
      </c>
      <c r="D604" s="557" t="str">
        <f t="shared" si="53"/>
        <v/>
      </c>
      <c r="E604" s="560"/>
      <c r="F604" s="559"/>
      <c r="G604" s="559" t="str">
        <f t="shared" si="54"/>
        <v/>
      </c>
      <c r="H604" s="559" t="str">
        <f t="shared" si="55"/>
        <v/>
      </c>
      <c r="I604" s="559" t="str">
        <f t="shared" si="56"/>
        <v/>
      </c>
    </row>
    <row r="605" spans="2:9">
      <c r="B605" s="555" t="str">
        <f t="shared" si="51"/>
        <v/>
      </c>
      <c r="C605" s="556" t="str">
        <f t="shared" si="52"/>
        <v/>
      </c>
      <c r="D605" s="557" t="str">
        <f t="shared" si="53"/>
        <v/>
      </c>
      <c r="E605" s="560"/>
      <c r="F605" s="559"/>
      <c r="G605" s="559" t="str">
        <f t="shared" si="54"/>
        <v/>
      </c>
      <c r="H605" s="559" t="str">
        <f t="shared" si="55"/>
        <v/>
      </c>
      <c r="I605" s="559" t="str">
        <f t="shared" si="56"/>
        <v/>
      </c>
    </row>
    <row r="606" spans="2:9">
      <c r="B606" s="555" t="str">
        <f t="shared" si="51"/>
        <v/>
      </c>
      <c r="C606" s="556" t="str">
        <f t="shared" si="52"/>
        <v/>
      </c>
      <c r="D606" s="557" t="str">
        <f t="shared" si="53"/>
        <v/>
      </c>
      <c r="E606" s="560"/>
      <c r="F606" s="559"/>
      <c r="G606" s="559" t="str">
        <f t="shared" si="54"/>
        <v/>
      </c>
      <c r="H606" s="559" t="str">
        <f t="shared" si="55"/>
        <v/>
      </c>
      <c r="I606" s="559" t="str">
        <f t="shared" si="56"/>
        <v/>
      </c>
    </row>
    <row r="607" spans="2:9">
      <c r="B607" s="555" t="str">
        <f t="shared" si="51"/>
        <v/>
      </c>
      <c r="C607" s="556" t="str">
        <f t="shared" si="52"/>
        <v/>
      </c>
      <c r="D607" s="557" t="str">
        <f t="shared" si="53"/>
        <v/>
      </c>
      <c r="E607" s="560"/>
      <c r="F607" s="559"/>
      <c r="G607" s="559" t="str">
        <f t="shared" si="54"/>
        <v/>
      </c>
      <c r="H607" s="559" t="str">
        <f t="shared" si="55"/>
        <v/>
      </c>
      <c r="I607" s="559" t="str">
        <f t="shared" si="56"/>
        <v/>
      </c>
    </row>
    <row r="608" spans="2:9">
      <c r="B608" s="555" t="str">
        <f t="shared" si="51"/>
        <v/>
      </c>
      <c r="C608" s="556" t="str">
        <f t="shared" si="52"/>
        <v/>
      </c>
      <c r="D608" s="557" t="str">
        <f t="shared" si="53"/>
        <v/>
      </c>
      <c r="E608" s="560"/>
      <c r="F608" s="559"/>
      <c r="G608" s="559" t="str">
        <f t="shared" si="54"/>
        <v/>
      </c>
      <c r="H608" s="559" t="str">
        <f t="shared" si="55"/>
        <v/>
      </c>
      <c r="I608" s="559" t="str">
        <f t="shared" si="56"/>
        <v/>
      </c>
    </row>
    <row r="609" spans="2:9">
      <c r="B609" s="555" t="str">
        <f t="shared" si="51"/>
        <v/>
      </c>
      <c r="C609" s="556" t="str">
        <f t="shared" si="52"/>
        <v/>
      </c>
      <c r="D609" s="557" t="str">
        <f t="shared" si="53"/>
        <v/>
      </c>
      <c r="E609" s="560"/>
      <c r="F609" s="559"/>
      <c r="G609" s="559" t="str">
        <f t="shared" si="54"/>
        <v/>
      </c>
      <c r="H609" s="559" t="str">
        <f t="shared" si="55"/>
        <v/>
      </c>
      <c r="I609" s="559" t="str">
        <f t="shared" si="56"/>
        <v/>
      </c>
    </row>
    <row r="610" spans="2:9">
      <c r="B610" s="555" t="str">
        <f t="shared" si="51"/>
        <v/>
      </c>
      <c r="C610" s="556" t="str">
        <f t="shared" si="52"/>
        <v/>
      </c>
      <c r="D610" s="557" t="str">
        <f t="shared" si="53"/>
        <v/>
      </c>
      <c r="E610" s="560"/>
      <c r="F610" s="559"/>
      <c r="G610" s="559" t="str">
        <f t="shared" si="54"/>
        <v/>
      </c>
      <c r="H610" s="559" t="str">
        <f t="shared" si="55"/>
        <v/>
      </c>
      <c r="I610" s="559" t="str">
        <f t="shared" si="56"/>
        <v/>
      </c>
    </row>
    <row r="611" spans="2:9">
      <c r="B611" s="555" t="str">
        <f t="shared" si="51"/>
        <v/>
      </c>
      <c r="C611" s="556" t="str">
        <f t="shared" si="52"/>
        <v/>
      </c>
      <c r="D611" s="557" t="str">
        <f t="shared" si="53"/>
        <v/>
      </c>
      <c r="E611" s="560"/>
      <c r="F611" s="559"/>
      <c r="G611" s="559" t="str">
        <f t="shared" si="54"/>
        <v/>
      </c>
      <c r="H611" s="559" t="str">
        <f t="shared" si="55"/>
        <v/>
      </c>
      <c r="I611" s="559" t="str">
        <f t="shared" si="56"/>
        <v/>
      </c>
    </row>
    <row r="612" spans="2:9">
      <c r="B612" s="555" t="str">
        <f t="shared" si="51"/>
        <v/>
      </c>
      <c r="C612" s="556" t="str">
        <f t="shared" si="52"/>
        <v/>
      </c>
      <c r="D612" s="557" t="str">
        <f t="shared" si="53"/>
        <v/>
      </c>
      <c r="E612" s="560"/>
      <c r="F612" s="559"/>
      <c r="G612" s="559" t="str">
        <f t="shared" si="54"/>
        <v/>
      </c>
      <c r="H612" s="559" t="str">
        <f t="shared" si="55"/>
        <v/>
      </c>
      <c r="I612" s="559" t="str">
        <f t="shared" si="56"/>
        <v/>
      </c>
    </row>
    <row r="613" spans="2:9">
      <c r="B613" s="555" t="str">
        <f t="shared" si="51"/>
        <v/>
      </c>
      <c r="C613" s="556" t="str">
        <f t="shared" si="52"/>
        <v/>
      </c>
      <c r="D613" s="557" t="str">
        <f t="shared" si="53"/>
        <v/>
      </c>
      <c r="E613" s="560"/>
      <c r="F613" s="559"/>
      <c r="G613" s="559" t="str">
        <f t="shared" si="54"/>
        <v/>
      </c>
      <c r="H613" s="559" t="str">
        <f t="shared" si="55"/>
        <v/>
      </c>
      <c r="I613" s="559" t="str">
        <f t="shared" si="56"/>
        <v/>
      </c>
    </row>
    <row r="614" spans="2:9">
      <c r="B614" s="555" t="str">
        <f t="shared" si="51"/>
        <v/>
      </c>
      <c r="C614" s="556" t="str">
        <f t="shared" si="52"/>
        <v/>
      </c>
      <c r="D614" s="557" t="str">
        <f t="shared" si="53"/>
        <v/>
      </c>
      <c r="E614" s="560"/>
      <c r="F614" s="559"/>
      <c r="G614" s="559" t="str">
        <f t="shared" si="54"/>
        <v/>
      </c>
      <c r="H614" s="559" t="str">
        <f t="shared" si="55"/>
        <v/>
      </c>
      <c r="I614" s="559" t="str">
        <f t="shared" si="56"/>
        <v/>
      </c>
    </row>
    <row r="615" spans="2:9">
      <c r="B615" s="555" t="str">
        <f t="shared" si="51"/>
        <v/>
      </c>
      <c r="C615" s="556" t="str">
        <f t="shared" si="52"/>
        <v/>
      </c>
      <c r="D615" s="557" t="str">
        <f t="shared" si="53"/>
        <v/>
      </c>
      <c r="E615" s="560"/>
      <c r="F615" s="559"/>
      <c r="G615" s="559" t="str">
        <f t="shared" si="54"/>
        <v/>
      </c>
      <c r="H615" s="559" t="str">
        <f t="shared" si="55"/>
        <v/>
      </c>
      <c r="I615" s="559" t="str">
        <f t="shared" si="56"/>
        <v/>
      </c>
    </row>
    <row r="616" spans="2:9">
      <c r="B616" s="555" t="str">
        <f t="shared" si="51"/>
        <v/>
      </c>
      <c r="C616" s="556" t="str">
        <f t="shared" si="52"/>
        <v/>
      </c>
      <c r="D616" s="557" t="str">
        <f t="shared" si="53"/>
        <v/>
      </c>
      <c r="E616" s="560"/>
      <c r="F616" s="559"/>
      <c r="G616" s="559" t="str">
        <f t="shared" si="54"/>
        <v/>
      </c>
      <c r="H616" s="559" t="str">
        <f t="shared" si="55"/>
        <v/>
      </c>
      <c r="I616" s="559" t="str">
        <f t="shared" si="56"/>
        <v/>
      </c>
    </row>
    <row r="617" spans="2:9">
      <c r="B617" s="555" t="str">
        <f t="shared" si="51"/>
        <v/>
      </c>
      <c r="C617" s="556" t="str">
        <f t="shared" si="52"/>
        <v/>
      </c>
      <c r="D617" s="557" t="str">
        <f t="shared" si="53"/>
        <v/>
      </c>
      <c r="E617" s="560"/>
      <c r="F617" s="559"/>
      <c r="G617" s="559" t="str">
        <f t="shared" si="54"/>
        <v/>
      </c>
      <c r="H617" s="559" t="str">
        <f t="shared" si="55"/>
        <v/>
      </c>
      <c r="I617" s="559" t="str">
        <f t="shared" si="56"/>
        <v/>
      </c>
    </row>
    <row r="618" spans="2:9">
      <c r="B618" s="555" t="str">
        <f t="shared" si="51"/>
        <v/>
      </c>
      <c r="C618" s="556" t="str">
        <f t="shared" si="52"/>
        <v/>
      </c>
      <c r="D618" s="557" t="str">
        <f t="shared" si="53"/>
        <v/>
      </c>
      <c r="E618" s="560"/>
      <c r="F618" s="559"/>
      <c r="G618" s="559" t="str">
        <f t="shared" si="54"/>
        <v/>
      </c>
      <c r="H618" s="559" t="str">
        <f t="shared" si="55"/>
        <v/>
      </c>
      <c r="I618" s="559" t="str">
        <f t="shared" si="56"/>
        <v/>
      </c>
    </row>
    <row r="619" spans="2:9">
      <c r="B619" s="555" t="str">
        <f t="shared" si="51"/>
        <v/>
      </c>
      <c r="C619" s="556" t="str">
        <f t="shared" si="52"/>
        <v/>
      </c>
      <c r="D619" s="557" t="str">
        <f t="shared" si="53"/>
        <v/>
      </c>
      <c r="E619" s="560"/>
      <c r="F619" s="559"/>
      <c r="G619" s="559" t="str">
        <f t="shared" si="54"/>
        <v/>
      </c>
      <c r="H619" s="559" t="str">
        <f t="shared" si="55"/>
        <v/>
      </c>
      <c r="I619" s="559" t="str">
        <f t="shared" si="56"/>
        <v/>
      </c>
    </row>
    <row r="620" spans="2:9">
      <c r="B620" s="555" t="str">
        <f t="shared" si="51"/>
        <v/>
      </c>
      <c r="C620" s="556" t="str">
        <f t="shared" si="52"/>
        <v/>
      </c>
      <c r="D620" s="557" t="str">
        <f t="shared" si="53"/>
        <v/>
      </c>
      <c r="E620" s="560"/>
      <c r="F620" s="559"/>
      <c r="G620" s="559" t="str">
        <f t="shared" si="54"/>
        <v/>
      </c>
      <c r="H620" s="559" t="str">
        <f t="shared" si="55"/>
        <v/>
      </c>
      <c r="I620" s="559" t="str">
        <f t="shared" si="56"/>
        <v/>
      </c>
    </row>
    <row r="621" spans="2:9">
      <c r="B621" s="555" t="str">
        <f t="shared" si="51"/>
        <v/>
      </c>
      <c r="C621" s="556" t="str">
        <f t="shared" si="52"/>
        <v/>
      </c>
      <c r="D621" s="557" t="str">
        <f t="shared" si="53"/>
        <v/>
      </c>
      <c r="E621" s="560"/>
      <c r="F621" s="559"/>
      <c r="G621" s="559" t="str">
        <f t="shared" si="54"/>
        <v/>
      </c>
      <c r="H621" s="559" t="str">
        <f t="shared" si="55"/>
        <v/>
      </c>
      <c r="I621" s="559" t="str">
        <f t="shared" si="56"/>
        <v/>
      </c>
    </row>
    <row r="622" spans="2:9">
      <c r="B622" s="555" t="str">
        <f t="shared" si="51"/>
        <v/>
      </c>
      <c r="C622" s="556" t="str">
        <f t="shared" si="52"/>
        <v/>
      </c>
      <c r="D622" s="557" t="str">
        <f t="shared" si="53"/>
        <v/>
      </c>
      <c r="E622" s="560"/>
      <c r="F622" s="559"/>
      <c r="G622" s="559" t="str">
        <f t="shared" si="54"/>
        <v/>
      </c>
      <c r="H622" s="559" t="str">
        <f t="shared" si="55"/>
        <v/>
      </c>
      <c r="I622" s="559" t="str">
        <f t="shared" si="56"/>
        <v/>
      </c>
    </row>
    <row r="623" spans="2:9">
      <c r="B623" s="555" t="str">
        <f t="shared" si="51"/>
        <v/>
      </c>
      <c r="C623" s="556" t="str">
        <f t="shared" si="52"/>
        <v/>
      </c>
      <c r="D623" s="557" t="str">
        <f t="shared" si="53"/>
        <v/>
      </c>
      <c r="E623" s="560"/>
      <c r="F623" s="559"/>
      <c r="G623" s="559" t="str">
        <f t="shared" si="54"/>
        <v/>
      </c>
      <c r="H623" s="559" t="str">
        <f t="shared" si="55"/>
        <v/>
      </c>
      <c r="I623" s="559" t="str">
        <f t="shared" si="56"/>
        <v/>
      </c>
    </row>
    <row r="624" spans="2:9">
      <c r="B624" s="555" t="str">
        <f t="shared" si="51"/>
        <v/>
      </c>
      <c r="C624" s="556" t="str">
        <f t="shared" si="52"/>
        <v/>
      </c>
      <c r="D624" s="557" t="str">
        <f t="shared" si="53"/>
        <v/>
      </c>
      <c r="E624" s="560"/>
      <c r="F624" s="559"/>
      <c r="G624" s="559" t="str">
        <f t="shared" si="54"/>
        <v/>
      </c>
      <c r="H624" s="559" t="str">
        <f t="shared" si="55"/>
        <v/>
      </c>
      <c r="I624" s="559" t="str">
        <f t="shared" si="56"/>
        <v/>
      </c>
    </row>
    <row r="625" spans="2:9">
      <c r="B625" s="555" t="str">
        <f t="shared" si="51"/>
        <v/>
      </c>
      <c r="C625" s="556" t="str">
        <f t="shared" si="52"/>
        <v/>
      </c>
      <c r="D625" s="557" t="str">
        <f t="shared" si="53"/>
        <v/>
      </c>
      <c r="E625" s="560"/>
      <c r="F625" s="559"/>
      <c r="G625" s="559" t="str">
        <f t="shared" si="54"/>
        <v/>
      </c>
      <c r="H625" s="559" t="str">
        <f t="shared" si="55"/>
        <v/>
      </c>
      <c r="I625" s="559" t="str">
        <f t="shared" si="56"/>
        <v/>
      </c>
    </row>
    <row r="626" spans="2:9">
      <c r="B626" s="555" t="str">
        <f t="shared" si="51"/>
        <v/>
      </c>
      <c r="C626" s="556" t="str">
        <f t="shared" si="52"/>
        <v/>
      </c>
      <c r="D626" s="557" t="str">
        <f t="shared" si="53"/>
        <v/>
      </c>
      <c r="E626" s="560"/>
      <c r="F626" s="559"/>
      <c r="G626" s="559" t="str">
        <f t="shared" si="54"/>
        <v/>
      </c>
      <c r="H626" s="559" t="str">
        <f t="shared" si="55"/>
        <v/>
      </c>
      <c r="I626" s="559" t="str">
        <f t="shared" si="56"/>
        <v/>
      </c>
    </row>
    <row r="627" spans="2:9">
      <c r="B627" s="555" t="str">
        <f t="shared" si="51"/>
        <v/>
      </c>
      <c r="C627" s="556" t="str">
        <f t="shared" si="52"/>
        <v/>
      </c>
      <c r="D627" s="557" t="str">
        <f t="shared" si="53"/>
        <v/>
      </c>
      <c r="E627" s="560"/>
      <c r="F627" s="559"/>
      <c r="G627" s="559" t="str">
        <f t="shared" si="54"/>
        <v/>
      </c>
      <c r="H627" s="559" t="str">
        <f t="shared" si="55"/>
        <v/>
      </c>
      <c r="I627" s="559" t="str">
        <f t="shared" si="56"/>
        <v/>
      </c>
    </row>
    <row r="628" spans="2:9">
      <c r="B628" s="555" t="str">
        <f t="shared" si="51"/>
        <v/>
      </c>
      <c r="C628" s="556" t="str">
        <f t="shared" si="52"/>
        <v/>
      </c>
      <c r="D628" s="557" t="str">
        <f t="shared" si="53"/>
        <v/>
      </c>
      <c r="E628" s="560"/>
      <c r="F628" s="559"/>
      <c r="G628" s="559" t="str">
        <f t="shared" si="54"/>
        <v/>
      </c>
      <c r="H628" s="559" t="str">
        <f t="shared" si="55"/>
        <v/>
      </c>
      <c r="I628" s="559" t="str">
        <f t="shared" si="56"/>
        <v/>
      </c>
    </row>
    <row r="629" spans="2:9">
      <c r="B629" s="555" t="str">
        <f t="shared" si="51"/>
        <v/>
      </c>
      <c r="C629" s="556" t="str">
        <f t="shared" si="52"/>
        <v/>
      </c>
      <c r="D629" s="557" t="str">
        <f t="shared" si="53"/>
        <v/>
      </c>
      <c r="E629" s="560"/>
      <c r="F629" s="559"/>
      <c r="G629" s="559" t="str">
        <f t="shared" si="54"/>
        <v/>
      </c>
      <c r="H629" s="559" t="str">
        <f t="shared" si="55"/>
        <v/>
      </c>
      <c r="I629" s="559" t="str">
        <f t="shared" si="56"/>
        <v/>
      </c>
    </row>
    <row r="630" spans="2:9">
      <c r="B630" s="555" t="str">
        <f t="shared" si="51"/>
        <v/>
      </c>
      <c r="C630" s="556" t="str">
        <f t="shared" si="52"/>
        <v/>
      </c>
      <c r="D630" s="557" t="str">
        <f t="shared" si="53"/>
        <v/>
      </c>
      <c r="E630" s="560"/>
      <c r="F630" s="559"/>
      <c r="G630" s="559" t="str">
        <f t="shared" si="54"/>
        <v/>
      </c>
      <c r="H630" s="559" t="str">
        <f t="shared" si="55"/>
        <v/>
      </c>
      <c r="I630" s="559" t="str">
        <f t="shared" si="56"/>
        <v/>
      </c>
    </row>
    <row r="631" spans="2:9">
      <c r="B631" s="555" t="str">
        <f t="shared" si="51"/>
        <v/>
      </c>
      <c r="C631" s="556" t="str">
        <f t="shared" si="52"/>
        <v/>
      </c>
      <c r="D631" s="557" t="str">
        <f t="shared" si="53"/>
        <v/>
      </c>
      <c r="E631" s="560"/>
      <c r="F631" s="559"/>
      <c r="G631" s="559" t="str">
        <f t="shared" si="54"/>
        <v/>
      </c>
      <c r="H631" s="559" t="str">
        <f t="shared" si="55"/>
        <v/>
      </c>
      <c r="I631" s="559" t="str">
        <f t="shared" si="56"/>
        <v/>
      </c>
    </row>
    <row r="632" spans="2:9">
      <c r="B632" s="555" t="str">
        <f t="shared" si="51"/>
        <v/>
      </c>
      <c r="C632" s="556" t="str">
        <f t="shared" si="52"/>
        <v/>
      </c>
      <c r="D632" s="557" t="str">
        <f t="shared" si="53"/>
        <v/>
      </c>
      <c r="E632" s="560"/>
      <c r="F632" s="559"/>
      <c r="G632" s="559" t="str">
        <f t="shared" si="54"/>
        <v/>
      </c>
      <c r="H632" s="559" t="str">
        <f t="shared" si="55"/>
        <v/>
      </c>
      <c r="I632" s="559" t="str">
        <f t="shared" si="56"/>
        <v/>
      </c>
    </row>
    <row r="633" spans="2:9">
      <c r="B633" s="555" t="str">
        <f t="shared" si="51"/>
        <v/>
      </c>
      <c r="C633" s="556" t="str">
        <f t="shared" si="52"/>
        <v/>
      </c>
      <c r="D633" s="557" t="str">
        <f t="shared" si="53"/>
        <v/>
      </c>
      <c r="E633" s="560"/>
      <c r="F633" s="559"/>
      <c r="G633" s="559" t="str">
        <f t="shared" si="54"/>
        <v/>
      </c>
      <c r="H633" s="559" t="str">
        <f t="shared" si="55"/>
        <v/>
      </c>
      <c r="I633" s="559" t="str">
        <f t="shared" si="56"/>
        <v/>
      </c>
    </row>
    <row r="634" spans="2:9">
      <c r="B634" s="555" t="str">
        <f t="shared" si="51"/>
        <v/>
      </c>
      <c r="C634" s="556" t="str">
        <f t="shared" si="52"/>
        <v/>
      </c>
      <c r="D634" s="557" t="str">
        <f t="shared" si="53"/>
        <v/>
      </c>
      <c r="E634" s="560"/>
      <c r="F634" s="559"/>
      <c r="G634" s="559" t="str">
        <f t="shared" si="54"/>
        <v/>
      </c>
      <c r="H634" s="559" t="str">
        <f t="shared" si="55"/>
        <v/>
      </c>
      <c r="I634" s="559" t="str">
        <f t="shared" si="56"/>
        <v/>
      </c>
    </row>
    <row r="635" spans="2:9">
      <c r="B635" s="555" t="str">
        <f t="shared" si="51"/>
        <v/>
      </c>
      <c r="C635" s="556" t="str">
        <f t="shared" si="52"/>
        <v/>
      </c>
      <c r="D635" s="557" t="str">
        <f t="shared" si="53"/>
        <v/>
      </c>
      <c r="E635" s="560"/>
      <c r="F635" s="559"/>
      <c r="G635" s="559" t="str">
        <f t="shared" si="54"/>
        <v/>
      </c>
      <c r="H635" s="559" t="str">
        <f t="shared" si="55"/>
        <v/>
      </c>
      <c r="I635" s="559" t="str">
        <f t="shared" si="56"/>
        <v/>
      </c>
    </row>
    <row r="636" spans="2:9">
      <c r="B636" s="555" t="str">
        <f t="shared" si="51"/>
        <v/>
      </c>
      <c r="C636" s="556" t="str">
        <f t="shared" si="52"/>
        <v/>
      </c>
      <c r="D636" s="557" t="str">
        <f t="shared" si="53"/>
        <v/>
      </c>
      <c r="E636" s="560"/>
      <c r="F636" s="559"/>
      <c r="G636" s="559" t="str">
        <f t="shared" si="54"/>
        <v/>
      </c>
      <c r="H636" s="559" t="str">
        <f t="shared" si="55"/>
        <v/>
      </c>
      <c r="I636" s="559" t="str">
        <f t="shared" si="56"/>
        <v/>
      </c>
    </row>
    <row r="637" spans="2:9">
      <c r="B637" s="555" t="str">
        <f t="shared" ref="B637:B700" si="57">IF(I636="","",IF(roundOpt,IF(OR(B636&gt;=nper,ROUND(I636,2)&lt;=0),"",B636+1),IF(OR(B636&gt;=nper,I636&lt;=0),"",B636+1)))</f>
        <v/>
      </c>
      <c r="C637" s="556" t="str">
        <f t="shared" ref="C637:C700" si="58">IF(B637="","",IF(OR(periods_per_year=26,periods_per_year=52),IF(periods_per_year=26,IF(B637=1,fpdate,C636+14),IF(periods_per_year=52,IF(B637=1,fpdate,C636+7),"n/a")),IF(periods_per_year=24,DATE(YEAR(fpdate),MONTH(fpdate)+(B637-1)/2+IF(AND(DAY(fpdate)&gt;=15,MOD(B637,2)=0),1,0),IF(MOD(B637,2)=0,IF(DAY(fpdate)&gt;=15,DAY(fpdate)-14,DAY(fpdate)+14),DAY(fpdate))),IF(DAY(DATE(YEAR(fpdate),MONTH(fpdate)+(B637-1)*months_per_period,DAY(fpdate)))&lt;&gt;DAY(fpdate),DATE(YEAR(fpdate),MONTH(fpdate)+(B637-1)*months_per_period+1,0),DATE(YEAR(fpdate),MONTH(fpdate)+(B637-1)*months_per_period,DAY(fpdate))))))</f>
        <v/>
      </c>
      <c r="D637" s="557" t="str">
        <f t="shared" ref="D637:D700" si="59">IF(B637="","",IF(roundOpt,IF(OR(B637=nper,payment&gt;ROUND((1+rate)*I636,2)),ROUND((1+rate)*I636,2),payment),IF(OR(B637=nper,payment&gt;(1+rate)*I636),(1+rate)*I636,payment)))</f>
        <v/>
      </c>
      <c r="E637" s="560"/>
      <c r="F637" s="559"/>
      <c r="G637" s="559" t="str">
        <f t="shared" ref="G637:G700" si="60">IF(B637="","",IF(AND(B637=1,pmtType=1),0,IF(roundOpt,ROUND(rate*I636,2),rate*I636)))</f>
        <v/>
      </c>
      <c r="H637" s="559" t="str">
        <f t="shared" ref="H637:H700" si="61">IF(B637="","",D637-G637+E637)</f>
        <v/>
      </c>
      <c r="I637" s="559" t="str">
        <f t="shared" ref="I637:I700" si="62">IF(B637="","",I636-H637)</f>
        <v/>
      </c>
    </row>
    <row r="638" spans="2:9">
      <c r="B638" s="555" t="str">
        <f t="shared" si="57"/>
        <v/>
      </c>
      <c r="C638" s="556" t="str">
        <f t="shared" si="58"/>
        <v/>
      </c>
      <c r="D638" s="557" t="str">
        <f t="shared" si="59"/>
        <v/>
      </c>
      <c r="E638" s="560"/>
      <c r="F638" s="559"/>
      <c r="G638" s="559" t="str">
        <f t="shared" si="60"/>
        <v/>
      </c>
      <c r="H638" s="559" t="str">
        <f t="shared" si="61"/>
        <v/>
      </c>
      <c r="I638" s="559" t="str">
        <f t="shared" si="62"/>
        <v/>
      </c>
    </row>
    <row r="639" spans="2:9">
      <c r="B639" s="555" t="str">
        <f t="shared" si="57"/>
        <v/>
      </c>
      <c r="C639" s="556" t="str">
        <f t="shared" si="58"/>
        <v/>
      </c>
      <c r="D639" s="557" t="str">
        <f t="shared" si="59"/>
        <v/>
      </c>
      <c r="E639" s="560"/>
      <c r="F639" s="559"/>
      <c r="G639" s="559" t="str">
        <f t="shared" si="60"/>
        <v/>
      </c>
      <c r="H639" s="559" t="str">
        <f t="shared" si="61"/>
        <v/>
      </c>
      <c r="I639" s="559" t="str">
        <f t="shared" si="62"/>
        <v/>
      </c>
    </row>
    <row r="640" spans="2:9">
      <c r="B640" s="555" t="str">
        <f t="shared" si="57"/>
        <v/>
      </c>
      <c r="C640" s="556" t="str">
        <f t="shared" si="58"/>
        <v/>
      </c>
      <c r="D640" s="557" t="str">
        <f t="shared" si="59"/>
        <v/>
      </c>
      <c r="E640" s="560"/>
      <c r="F640" s="559"/>
      <c r="G640" s="559" t="str">
        <f t="shared" si="60"/>
        <v/>
      </c>
      <c r="H640" s="559" t="str">
        <f t="shared" si="61"/>
        <v/>
      </c>
      <c r="I640" s="559" t="str">
        <f t="shared" si="62"/>
        <v/>
      </c>
    </row>
    <row r="641" spans="2:9">
      <c r="B641" s="555" t="str">
        <f t="shared" si="57"/>
        <v/>
      </c>
      <c r="C641" s="556" t="str">
        <f t="shared" si="58"/>
        <v/>
      </c>
      <c r="D641" s="557" t="str">
        <f t="shared" si="59"/>
        <v/>
      </c>
      <c r="E641" s="560"/>
      <c r="F641" s="559"/>
      <c r="G641" s="559" t="str">
        <f t="shared" si="60"/>
        <v/>
      </c>
      <c r="H641" s="559" t="str">
        <f t="shared" si="61"/>
        <v/>
      </c>
      <c r="I641" s="559" t="str">
        <f t="shared" si="62"/>
        <v/>
      </c>
    </row>
    <row r="642" spans="2:9">
      <c r="B642" s="555" t="str">
        <f t="shared" si="57"/>
        <v/>
      </c>
      <c r="C642" s="556" t="str">
        <f t="shared" si="58"/>
        <v/>
      </c>
      <c r="D642" s="557" t="str">
        <f t="shared" si="59"/>
        <v/>
      </c>
      <c r="E642" s="560"/>
      <c r="F642" s="559"/>
      <c r="G642" s="559" t="str">
        <f t="shared" si="60"/>
        <v/>
      </c>
      <c r="H642" s="559" t="str">
        <f t="shared" si="61"/>
        <v/>
      </c>
      <c r="I642" s="559" t="str">
        <f t="shared" si="62"/>
        <v/>
      </c>
    </row>
    <row r="643" spans="2:9">
      <c r="B643" s="555" t="str">
        <f t="shared" si="57"/>
        <v/>
      </c>
      <c r="C643" s="556" t="str">
        <f t="shared" si="58"/>
        <v/>
      </c>
      <c r="D643" s="557" t="str">
        <f t="shared" si="59"/>
        <v/>
      </c>
      <c r="E643" s="560"/>
      <c r="F643" s="559"/>
      <c r="G643" s="559" t="str">
        <f t="shared" si="60"/>
        <v/>
      </c>
      <c r="H643" s="559" t="str">
        <f t="shared" si="61"/>
        <v/>
      </c>
      <c r="I643" s="559" t="str">
        <f t="shared" si="62"/>
        <v/>
      </c>
    </row>
    <row r="644" spans="2:9">
      <c r="B644" s="555" t="str">
        <f t="shared" si="57"/>
        <v/>
      </c>
      <c r="C644" s="556" t="str">
        <f t="shared" si="58"/>
        <v/>
      </c>
      <c r="D644" s="557" t="str">
        <f t="shared" si="59"/>
        <v/>
      </c>
      <c r="E644" s="560"/>
      <c r="F644" s="559"/>
      <c r="G644" s="559" t="str">
        <f t="shared" si="60"/>
        <v/>
      </c>
      <c r="H644" s="559" t="str">
        <f t="shared" si="61"/>
        <v/>
      </c>
      <c r="I644" s="559" t="str">
        <f t="shared" si="62"/>
        <v/>
      </c>
    </row>
    <row r="645" spans="2:9">
      <c r="B645" s="555" t="str">
        <f t="shared" si="57"/>
        <v/>
      </c>
      <c r="C645" s="556" t="str">
        <f t="shared" si="58"/>
        <v/>
      </c>
      <c r="D645" s="557" t="str">
        <f t="shared" si="59"/>
        <v/>
      </c>
      <c r="E645" s="560"/>
      <c r="F645" s="559"/>
      <c r="G645" s="559" t="str">
        <f t="shared" si="60"/>
        <v/>
      </c>
      <c r="H645" s="559" t="str">
        <f t="shared" si="61"/>
        <v/>
      </c>
      <c r="I645" s="559" t="str">
        <f t="shared" si="62"/>
        <v/>
      </c>
    </row>
    <row r="646" spans="2:9">
      <c r="B646" s="555" t="str">
        <f t="shared" si="57"/>
        <v/>
      </c>
      <c r="C646" s="556" t="str">
        <f t="shared" si="58"/>
        <v/>
      </c>
      <c r="D646" s="557" t="str">
        <f t="shared" si="59"/>
        <v/>
      </c>
      <c r="E646" s="560"/>
      <c r="F646" s="559"/>
      <c r="G646" s="559" t="str">
        <f t="shared" si="60"/>
        <v/>
      </c>
      <c r="H646" s="559" t="str">
        <f t="shared" si="61"/>
        <v/>
      </c>
      <c r="I646" s="559" t="str">
        <f t="shared" si="62"/>
        <v/>
      </c>
    </row>
    <row r="647" spans="2:9">
      <c r="B647" s="555" t="str">
        <f t="shared" si="57"/>
        <v/>
      </c>
      <c r="C647" s="556" t="str">
        <f t="shared" si="58"/>
        <v/>
      </c>
      <c r="D647" s="557" t="str">
        <f t="shared" si="59"/>
        <v/>
      </c>
      <c r="E647" s="560"/>
      <c r="F647" s="559"/>
      <c r="G647" s="559" t="str">
        <f t="shared" si="60"/>
        <v/>
      </c>
      <c r="H647" s="559" t="str">
        <f t="shared" si="61"/>
        <v/>
      </c>
      <c r="I647" s="559" t="str">
        <f t="shared" si="62"/>
        <v/>
      </c>
    </row>
    <row r="648" spans="2:9">
      <c r="B648" s="555" t="str">
        <f t="shared" si="57"/>
        <v/>
      </c>
      <c r="C648" s="556" t="str">
        <f t="shared" si="58"/>
        <v/>
      </c>
      <c r="D648" s="557" t="str">
        <f t="shared" si="59"/>
        <v/>
      </c>
      <c r="E648" s="560"/>
      <c r="F648" s="559"/>
      <c r="G648" s="559" t="str">
        <f t="shared" si="60"/>
        <v/>
      </c>
      <c r="H648" s="559" t="str">
        <f t="shared" si="61"/>
        <v/>
      </c>
      <c r="I648" s="559" t="str">
        <f t="shared" si="62"/>
        <v/>
      </c>
    </row>
    <row r="649" spans="2:9">
      <c r="B649" s="555" t="str">
        <f t="shared" si="57"/>
        <v/>
      </c>
      <c r="C649" s="556" t="str">
        <f t="shared" si="58"/>
        <v/>
      </c>
      <c r="D649" s="557" t="str">
        <f t="shared" si="59"/>
        <v/>
      </c>
      <c r="E649" s="560"/>
      <c r="F649" s="559"/>
      <c r="G649" s="559" t="str">
        <f t="shared" si="60"/>
        <v/>
      </c>
      <c r="H649" s="559" t="str">
        <f t="shared" si="61"/>
        <v/>
      </c>
      <c r="I649" s="559" t="str">
        <f t="shared" si="62"/>
        <v/>
      </c>
    </row>
    <row r="650" spans="2:9">
      <c r="B650" s="555" t="str">
        <f t="shared" si="57"/>
        <v/>
      </c>
      <c r="C650" s="556" t="str">
        <f t="shared" si="58"/>
        <v/>
      </c>
      <c r="D650" s="557" t="str">
        <f t="shared" si="59"/>
        <v/>
      </c>
      <c r="E650" s="560"/>
      <c r="F650" s="559"/>
      <c r="G650" s="559" t="str">
        <f t="shared" si="60"/>
        <v/>
      </c>
      <c r="H650" s="559" t="str">
        <f t="shared" si="61"/>
        <v/>
      </c>
      <c r="I650" s="559" t="str">
        <f t="shared" si="62"/>
        <v/>
      </c>
    </row>
    <row r="651" spans="2:9">
      <c r="B651" s="555" t="str">
        <f t="shared" si="57"/>
        <v/>
      </c>
      <c r="C651" s="556" t="str">
        <f t="shared" si="58"/>
        <v/>
      </c>
      <c r="D651" s="557" t="str">
        <f t="shared" si="59"/>
        <v/>
      </c>
      <c r="E651" s="560"/>
      <c r="F651" s="559"/>
      <c r="G651" s="559" t="str">
        <f t="shared" si="60"/>
        <v/>
      </c>
      <c r="H651" s="559" t="str">
        <f t="shared" si="61"/>
        <v/>
      </c>
      <c r="I651" s="559" t="str">
        <f t="shared" si="62"/>
        <v/>
      </c>
    </row>
    <row r="652" spans="2:9">
      <c r="B652" s="555" t="str">
        <f t="shared" si="57"/>
        <v/>
      </c>
      <c r="C652" s="556" t="str">
        <f t="shared" si="58"/>
        <v/>
      </c>
      <c r="D652" s="557" t="str">
        <f t="shared" si="59"/>
        <v/>
      </c>
      <c r="E652" s="560"/>
      <c r="F652" s="559"/>
      <c r="G652" s="559" t="str">
        <f t="shared" si="60"/>
        <v/>
      </c>
      <c r="H652" s="559" t="str">
        <f t="shared" si="61"/>
        <v/>
      </c>
      <c r="I652" s="559" t="str">
        <f t="shared" si="62"/>
        <v/>
      </c>
    </row>
    <row r="653" spans="2:9">
      <c r="B653" s="555" t="str">
        <f t="shared" si="57"/>
        <v/>
      </c>
      <c r="C653" s="556" t="str">
        <f t="shared" si="58"/>
        <v/>
      </c>
      <c r="D653" s="557" t="str">
        <f t="shared" si="59"/>
        <v/>
      </c>
      <c r="E653" s="560"/>
      <c r="F653" s="559"/>
      <c r="G653" s="559" t="str">
        <f t="shared" si="60"/>
        <v/>
      </c>
      <c r="H653" s="559" t="str">
        <f t="shared" si="61"/>
        <v/>
      </c>
      <c r="I653" s="559" t="str">
        <f t="shared" si="62"/>
        <v/>
      </c>
    </row>
    <row r="654" spans="2:9">
      <c r="B654" s="555" t="str">
        <f t="shared" si="57"/>
        <v/>
      </c>
      <c r="C654" s="556" t="str">
        <f t="shared" si="58"/>
        <v/>
      </c>
      <c r="D654" s="557" t="str">
        <f t="shared" si="59"/>
        <v/>
      </c>
      <c r="E654" s="560"/>
      <c r="F654" s="559"/>
      <c r="G654" s="559" t="str">
        <f t="shared" si="60"/>
        <v/>
      </c>
      <c r="H654" s="559" t="str">
        <f t="shared" si="61"/>
        <v/>
      </c>
      <c r="I654" s="559" t="str">
        <f t="shared" si="62"/>
        <v/>
      </c>
    </row>
    <row r="655" spans="2:9">
      <c r="B655" s="555" t="str">
        <f t="shared" si="57"/>
        <v/>
      </c>
      <c r="C655" s="556" t="str">
        <f t="shared" si="58"/>
        <v/>
      </c>
      <c r="D655" s="557" t="str">
        <f t="shared" si="59"/>
        <v/>
      </c>
      <c r="E655" s="560"/>
      <c r="F655" s="559"/>
      <c r="G655" s="559" t="str">
        <f t="shared" si="60"/>
        <v/>
      </c>
      <c r="H655" s="559" t="str">
        <f t="shared" si="61"/>
        <v/>
      </c>
      <c r="I655" s="559" t="str">
        <f t="shared" si="62"/>
        <v/>
      </c>
    </row>
    <row r="656" spans="2:9">
      <c r="B656" s="555" t="str">
        <f t="shared" si="57"/>
        <v/>
      </c>
      <c r="C656" s="556" t="str">
        <f t="shared" si="58"/>
        <v/>
      </c>
      <c r="D656" s="557" t="str">
        <f t="shared" si="59"/>
        <v/>
      </c>
      <c r="E656" s="560"/>
      <c r="F656" s="559"/>
      <c r="G656" s="559" t="str">
        <f t="shared" si="60"/>
        <v/>
      </c>
      <c r="H656" s="559" t="str">
        <f t="shared" si="61"/>
        <v/>
      </c>
      <c r="I656" s="559" t="str">
        <f t="shared" si="62"/>
        <v/>
      </c>
    </row>
    <row r="657" spans="2:9">
      <c r="B657" s="555" t="str">
        <f t="shared" si="57"/>
        <v/>
      </c>
      <c r="C657" s="556" t="str">
        <f t="shared" si="58"/>
        <v/>
      </c>
      <c r="D657" s="557" t="str">
        <f t="shared" si="59"/>
        <v/>
      </c>
      <c r="E657" s="560"/>
      <c r="F657" s="559"/>
      <c r="G657" s="559" t="str">
        <f t="shared" si="60"/>
        <v/>
      </c>
      <c r="H657" s="559" t="str">
        <f t="shared" si="61"/>
        <v/>
      </c>
      <c r="I657" s="559" t="str">
        <f t="shared" si="62"/>
        <v/>
      </c>
    </row>
    <row r="658" spans="2:9">
      <c r="B658" s="555" t="str">
        <f t="shared" si="57"/>
        <v/>
      </c>
      <c r="C658" s="556" t="str">
        <f t="shared" si="58"/>
        <v/>
      </c>
      <c r="D658" s="557" t="str">
        <f t="shared" si="59"/>
        <v/>
      </c>
      <c r="E658" s="560"/>
      <c r="F658" s="559"/>
      <c r="G658" s="559" t="str">
        <f t="shared" si="60"/>
        <v/>
      </c>
      <c r="H658" s="559" t="str">
        <f t="shared" si="61"/>
        <v/>
      </c>
      <c r="I658" s="559" t="str">
        <f t="shared" si="62"/>
        <v/>
      </c>
    </row>
    <row r="659" spans="2:9">
      <c r="B659" s="555" t="str">
        <f t="shared" si="57"/>
        <v/>
      </c>
      <c r="C659" s="556" t="str">
        <f t="shared" si="58"/>
        <v/>
      </c>
      <c r="D659" s="557" t="str">
        <f t="shared" si="59"/>
        <v/>
      </c>
      <c r="E659" s="560"/>
      <c r="F659" s="559"/>
      <c r="G659" s="559" t="str">
        <f t="shared" si="60"/>
        <v/>
      </c>
      <c r="H659" s="559" t="str">
        <f t="shared" si="61"/>
        <v/>
      </c>
      <c r="I659" s="559" t="str">
        <f t="shared" si="62"/>
        <v/>
      </c>
    </row>
    <row r="660" spans="2:9">
      <c r="B660" s="555" t="str">
        <f t="shared" si="57"/>
        <v/>
      </c>
      <c r="C660" s="556" t="str">
        <f t="shared" si="58"/>
        <v/>
      </c>
      <c r="D660" s="557" t="str">
        <f t="shared" si="59"/>
        <v/>
      </c>
      <c r="E660" s="560"/>
      <c r="F660" s="559"/>
      <c r="G660" s="559" t="str">
        <f t="shared" si="60"/>
        <v/>
      </c>
      <c r="H660" s="559" t="str">
        <f t="shared" si="61"/>
        <v/>
      </c>
      <c r="I660" s="559" t="str">
        <f t="shared" si="62"/>
        <v/>
      </c>
    </row>
    <row r="661" spans="2:9">
      <c r="B661" s="555" t="str">
        <f t="shared" si="57"/>
        <v/>
      </c>
      <c r="C661" s="556" t="str">
        <f t="shared" si="58"/>
        <v/>
      </c>
      <c r="D661" s="557" t="str">
        <f t="shared" si="59"/>
        <v/>
      </c>
      <c r="E661" s="560"/>
      <c r="F661" s="559"/>
      <c r="G661" s="559" t="str">
        <f t="shared" si="60"/>
        <v/>
      </c>
      <c r="H661" s="559" t="str">
        <f t="shared" si="61"/>
        <v/>
      </c>
      <c r="I661" s="559" t="str">
        <f t="shared" si="62"/>
        <v/>
      </c>
    </row>
    <row r="662" spans="2:9">
      <c r="B662" s="555" t="str">
        <f t="shared" si="57"/>
        <v/>
      </c>
      <c r="C662" s="556" t="str">
        <f t="shared" si="58"/>
        <v/>
      </c>
      <c r="D662" s="557" t="str">
        <f t="shared" si="59"/>
        <v/>
      </c>
      <c r="E662" s="560"/>
      <c r="F662" s="559"/>
      <c r="G662" s="559" t="str">
        <f t="shared" si="60"/>
        <v/>
      </c>
      <c r="H662" s="559" t="str">
        <f t="shared" si="61"/>
        <v/>
      </c>
      <c r="I662" s="559" t="str">
        <f t="shared" si="62"/>
        <v/>
      </c>
    </row>
    <row r="663" spans="2:9">
      <c r="B663" s="555" t="str">
        <f t="shared" si="57"/>
        <v/>
      </c>
      <c r="C663" s="556" t="str">
        <f t="shared" si="58"/>
        <v/>
      </c>
      <c r="D663" s="557" t="str">
        <f t="shared" si="59"/>
        <v/>
      </c>
      <c r="E663" s="560"/>
      <c r="F663" s="559"/>
      <c r="G663" s="559" t="str">
        <f t="shared" si="60"/>
        <v/>
      </c>
      <c r="H663" s="559" t="str">
        <f t="shared" si="61"/>
        <v/>
      </c>
      <c r="I663" s="559" t="str">
        <f t="shared" si="62"/>
        <v/>
      </c>
    </row>
    <row r="664" spans="2:9">
      <c r="B664" s="555" t="str">
        <f t="shared" si="57"/>
        <v/>
      </c>
      <c r="C664" s="556" t="str">
        <f t="shared" si="58"/>
        <v/>
      </c>
      <c r="D664" s="557" t="str">
        <f t="shared" si="59"/>
        <v/>
      </c>
      <c r="E664" s="560"/>
      <c r="F664" s="559"/>
      <c r="G664" s="559" t="str">
        <f t="shared" si="60"/>
        <v/>
      </c>
      <c r="H664" s="559" t="str">
        <f t="shared" si="61"/>
        <v/>
      </c>
      <c r="I664" s="559" t="str">
        <f t="shared" si="62"/>
        <v/>
      </c>
    </row>
    <row r="665" spans="2:9">
      <c r="B665" s="555" t="str">
        <f t="shared" si="57"/>
        <v/>
      </c>
      <c r="C665" s="556" t="str">
        <f t="shared" si="58"/>
        <v/>
      </c>
      <c r="D665" s="557" t="str">
        <f t="shared" si="59"/>
        <v/>
      </c>
      <c r="E665" s="560"/>
      <c r="F665" s="559"/>
      <c r="G665" s="559" t="str">
        <f t="shared" si="60"/>
        <v/>
      </c>
      <c r="H665" s="559" t="str">
        <f t="shared" si="61"/>
        <v/>
      </c>
      <c r="I665" s="559" t="str">
        <f t="shared" si="62"/>
        <v/>
      </c>
    </row>
    <row r="666" spans="2:9">
      <c r="B666" s="555" t="str">
        <f t="shared" si="57"/>
        <v/>
      </c>
      <c r="C666" s="556" t="str">
        <f t="shared" si="58"/>
        <v/>
      </c>
      <c r="D666" s="557" t="str">
        <f t="shared" si="59"/>
        <v/>
      </c>
      <c r="E666" s="560"/>
      <c r="F666" s="559"/>
      <c r="G666" s="559" t="str">
        <f t="shared" si="60"/>
        <v/>
      </c>
      <c r="H666" s="559" t="str">
        <f t="shared" si="61"/>
        <v/>
      </c>
      <c r="I666" s="559" t="str">
        <f t="shared" si="62"/>
        <v/>
      </c>
    </row>
    <row r="667" spans="2:9">
      <c r="B667" s="555" t="str">
        <f t="shared" si="57"/>
        <v/>
      </c>
      <c r="C667" s="556" t="str">
        <f t="shared" si="58"/>
        <v/>
      </c>
      <c r="D667" s="557" t="str">
        <f t="shared" si="59"/>
        <v/>
      </c>
      <c r="E667" s="560"/>
      <c r="F667" s="559"/>
      <c r="G667" s="559" t="str">
        <f t="shared" si="60"/>
        <v/>
      </c>
      <c r="H667" s="559" t="str">
        <f t="shared" si="61"/>
        <v/>
      </c>
      <c r="I667" s="559" t="str">
        <f t="shared" si="62"/>
        <v/>
      </c>
    </row>
    <row r="668" spans="2:9">
      <c r="B668" s="555" t="str">
        <f t="shared" si="57"/>
        <v/>
      </c>
      <c r="C668" s="556" t="str">
        <f t="shared" si="58"/>
        <v/>
      </c>
      <c r="D668" s="557" t="str">
        <f t="shared" si="59"/>
        <v/>
      </c>
      <c r="E668" s="560"/>
      <c r="F668" s="559"/>
      <c r="G668" s="559" t="str">
        <f t="shared" si="60"/>
        <v/>
      </c>
      <c r="H668" s="559" t="str">
        <f t="shared" si="61"/>
        <v/>
      </c>
      <c r="I668" s="559" t="str">
        <f t="shared" si="62"/>
        <v/>
      </c>
    </row>
    <row r="669" spans="2:9">
      <c r="B669" s="555" t="str">
        <f t="shared" si="57"/>
        <v/>
      </c>
      <c r="C669" s="556" t="str">
        <f t="shared" si="58"/>
        <v/>
      </c>
      <c r="D669" s="557" t="str">
        <f t="shared" si="59"/>
        <v/>
      </c>
      <c r="E669" s="560"/>
      <c r="F669" s="559"/>
      <c r="G669" s="559" t="str">
        <f t="shared" si="60"/>
        <v/>
      </c>
      <c r="H669" s="559" t="str">
        <f t="shared" si="61"/>
        <v/>
      </c>
      <c r="I669" s="559" t="str">
        <f t="shared" si="62"/>
        <v/>
      </c>
    </row>
    <row r="670" spans="2:9">
      <c r="B670" s="555" t="str">
        <f t="shared" si="57"/>
        <v/>
      </c>
      <c r="C670" s="556" t="str">
        <f t="shared" si="58"/>
        <v/>
      </c>
      <c r="D670" s="557" t="str">
        <f t="shared" si="59"/>
        <v/>
      </c>
      <c r="E670" s="560"/>
      <c r="F670" s="559"/>
      <c r="G670" s="559" t="str">
        <f t="shared" si="60"/>
        <v/>
      </c>
      <c r="H670" s="559" t="str">
        <f t="shared" si="61"/>
        <v/>
      </c>
      <c r="I670" s="559" t="str">
        <f t="shared" si="62"/>
        <v/>
      </c>
    </row>
    <row r="671" spans="2:9">
      <c r="B671" s="555" t="str">
        <f t="shared" si="57"/>
        <v/>
      </c>
      <c r="C671" s="556" t="str">
        <f t="shared" si="58"/>
        <v/>
      </c>
      <c r="D671" s="557" t="str">
        <f t="shared" si="59"/>
        <v/>
      </c>
      <c r="E671" s="560"/>
      <c r="F671" s="559"/>
      <c r="G671" s="559" t="str">
        <f t="shared" si="60"/>
        <v/>
      </c>
      <c r="H671" s="559" t="str">
        <f t="shared" si="61"/>
        <v/>
      </c>
      <c r="I671" s="559" t="str">
        <f t="shared" si="62"/>
        <v/>
      </c>
    </row>
    <row r="672" spans="2:9">
      <c r="B672" s="555" t="str">
        <f t="shared" si="57"/>
        <v/>
      </c>
      <c r="C672" s="556" t="str">
        <f t="shared" si="58"/>
        <v/>
      </c>
      <c r="D672" s="557" t="str">
        <f t="shared" si="59"/>
        <v/>
      </c>
      <c r="E672" s="560"/>
      <c r="F672" s="559"/>
      <c r="G672" s="559" t="str">
        <f t="shared" si="60"/>
        <v/>
      </c>
      <c r="H672" s="559" t="str">
        <f t="shared" si="61"/>
        <v/>
      </c>
      <c r="I672" s="559" t="str">
        <f t="shared" si="62"/>
        <v/>
      </c>
    </row>
    <row r="673" spans="2:9">
      <c r="B673" s="555" t="str">
        <f t="shared" si="57"/>
        <v/>
      </c>
      <c r="C673" s="556" t="str">
        <f t="shared" si="58"/>
        <v/>
      </c>
      <c r="D673" s="557" t="str">
        <f t="shared" si="59"/>
        <v/>
      </c>
      <c r="E673" s="560"/>
      <c r="F673" s="559"/>
      <c r="G673" s="559" t="str">
        <f t="shared" si="60"/>
        <v/>
      </c>
      <c r="H673" s="559" t="str">
        <f t="shared" si="61"/>
        <v/>
      </c>
      <c r="I673" s="559" t="str">
        <f t="shared" si="62"/>
        <v/>
      </c>
    </row>
    <row r="674" spans="2:9">
      <c r="B674" s="555" t="str">
        <f t="shared" si="57"/>
        <v/>
      </c>
      <c r="C674" s="556" t="str">
        <f t="shared" si="58"/>
        <v/>
      </c>
      <c r="D674" s="557" t="str">
        <f t="shared" si="59"/>
        <v/>
      </c>
      <c r="E674" s="560"/>
      <c r="F674" s="559"/>
      <c r="G674" s="559" t="str">
        <f t="shared" si="60"/>
        <v/>
      </c>
      <c r="H674" s="559" t="str">
        <f t="shared" si="61"/>
        <v/>
      </c>
      <c r="I674" s="559" t="str">
        <f t="shared" si="62"/>
        <v/>
      </c>
    </row>
    <row r="675" spans="2:9">
      <c r="B675" s="555" t="str">
        <f t="shared" si="57"/>
        <v/>
      </c>
      <c r="C675" s="556" t="str">
        <f t="shared" si="58"/>
        <v/>
      </c>
      <c r="D675" s="557" t="str">
        <f t="shared" si="59"/>
        <v/>
      </c>
      <c r="E675" s="560"/>
      <c r="F675" s="559"/>
      <c r="G675" s="559" t="str">
        <f t="shared" si="60"/>
        <v/>
      </c>
      <c r="H675" s="559" t="str">
        <f t="shared" si="61"/>
        <v/>
      </c>
      <c r="I675" s="559" t="str">
        <f t="shared" si="62"/>
        <v/>
      </c>
    </row>
    <row r="676" spans="2:9">
      <c r="B676" s="555" t="str">
        <f t="shared" si="57"/>
        <v/>
      </c>
      <c r="C676" s="556" t="str">
        <f t="shared" si="58"/>
        <v/>
      </c>
      <c r="D676" s="557" t="str">
        <f t="shared" si="59"/>
        <v/>
      </c>
      <c r="E676" s="560"/>
      <c r="F676" s="559"/>
      <c r="G676" s="559" t="str">
        <f t="shared" si="60"/>
        <v/>
      </c>
      <c r="H676" s="559" t="str">
        <f t="shared" si="61"/>
        <v/>
      </c>
      <c r="I676" s="559" t="str">
        <f t="shared" si="62"/>
        <v/>
      </c>
    </row>
    <row r="677" spans="2:9">
      <c r="B677" s="555" t="str">
        <f t="shared" si="57"/>
        <v/>
      </c>
      <c r="C677" s="556" t="str">
        <f t="shared" si="58"/>
        <v/>
      </c>
      <c r="D677" s="557" t="str">
        <f t="shared" si="59"/>
        <v/>
      </c>
      <c r="E677" s="560"/>
      <c r="F677" s="559"/>
      <c r="G677" s="559" t="str">
        <f t="shared" si="60"/>
        <v/>
      </c>
      <c r="H677" s="559" t="str">
        <f t="shared" si="61"/>
        <v/>
      </c>
      <c r="I677" s="559" t="str">
        <f t="shared" si="62"/>
        <v/>
      </c>
    </row>
    <row r="678" spans="2:9">
      <c r="B678" s="555" t="str">
        <f t="shared" si="57"/>
        <v/>
      </c>
      <c r="C678" s="556" t="str">
        <f t="shared" si="58"/>
        <v/>
      </c>
      <c r="D678" s="557" t="str">
        <f t="shared" si="59"/>
        <v/>
      </c>
      <c r="E678" s="560"/>
      <c r="F678" s="559"/>
      <c r="G678" s="559" t="str">
        <f t="shared" si="60"/>
        <v/>
      </c>
      <c r="H678" s="559" t="str">
        <f t="shared" si="61"/>
        <v/>
      </c>
      <c r="I678" s="559" t="str">
        <f t="shared" si="62"/>
        <v/>
      </c>
    </row>
    <row r="679" spans="2:9">
      <c r="B679" s="555" t="str">
        <f t="shared" si="57"/>
        <v/>
      </c>
      <c r="C679" s="556" t="str">
        <f t="shared" si="58"/>
        <v/>
      </c>
      <c r="D679" s="557" t="str">
        <f t="shared" si="59"/>
        <v/>
      </c>
      <c r="E679" s="560"/>
      <c r="F679" s="559"/>
      <c r="G679" s="559" t="str">
        <f t="shared" si="60"/>
        <v/>
      </c>
      <c r="H679" s="559" t="str">
        <f t="shared" si="61"/>
        <v/>
      </c>
      <c r="I679" s="559" t="str">
        <f t="shared" si="62"/>
        <v/>
      </c>
    </row>
    <row r="680" spans="2:9">
      <c r="B680" s="555" t="str">
        <f t="shared" si="57"/>
        <v/>
      </c>
      <c r="C680" s="556" t="str">
        <f t="shared" si="58"/>
        <v/>
      </c>
      <c r="D680" s="557" t="str">
        <f t="shared" si="59"/>
        <v/>
      </c>
      <c r="E680" s="560"/>
      <c r="F680" s="559"/>
      <c r="G680" s="559" t="str">
        <f t="shared" si="60"/>
        <v/>
      </c>
      <c r="H680" s="559" t="str">
        <f t="shared" si="61"/>
        <v/>
      </c>
      <c r="I680" s="559" t="str">
        <f t="shared" si="62"/>
        <v/>
      </c>
    </row>
    <row r="681" spans="2:9">
      <c r="B681" s="555" t="str">
        <f t="shared" si="57"/>
        <v/>
      </c>
      <c r="C681" s="556" t="str">
        <f t="shared" si="58"/>
        <v/>
      </c>
      <c r="D681" s="557" t="str">
        <f t="shared" si="59"/>
        <v/>
      </c>
      <c r="E681" s="560"/>
      <c r="F681" s="559"/>
      <c r="G681" s="559" t="str">
        <f t="shared" si="60"/>
        <v/>
      </c>
      <c r="H681" s="559" t="str">
        <f t="shared" si="61"/>
        <v/>
      </c>
      <c r="I681" s="559" t="str">
        <f t="shared" si="62"/>
        <v/>
      </c>
    </row>
    <row r="682" spans="2:9">
      <c r="B682" s="555" t="str">
        <f t="shared" si="57"/>
        <v/>
      </c>
      <c r="C682" s="556" t="str">
        <f t="shared" si="58"/>
        <v/>
      </c>
      <c r="D682" s="557" t="str">
        <f t="shared" si="59"/>
        <v/>
      </c>
      <c r="E682" s="560"/>
      <c r="F682" s="559"/>
      <c r="G682" s="559" t="str">
        <f t="shared" si="60"/>
        <v/>
      </c>
      <c r="H682" s="559" t="str">
        <f t="shared" si="61"/>
        <v/>
      </c>
      <c r="I682" s="559" t="str">
        <f t="shared" si="62"/>
        <v/>
      </c>
    </row>
    <row r="683" spans="2:9">
      <c r="B683" s="555" t="str">
        <f t="shared" si="57"/>
        <v/>
      </c>
      <c r="C683" s="556" t="str">
        <f t="shared" si="58"/>
        <v/>
      </c>
      <c r="D683" s="557" t="str">
        <f t="shared" si="59"/>
        <v/>
      </c>
      <c r="E683" s="560"/>
      <c r="F683" s="559"/>
      <c r="G683" s="559" t="str">
        <f t="shared" si="60"/>
        <v/>
      </c>
      <c r="H683" s="559" t="str">
        <f t="shared" si="61"/>
        <v/>
      </c>
      <c r="I683" s="559" t="str">
        <f t="shared" si="62"/>
        <v/>
      </c>
    </row>
    <row r="684" spans="2:9">
      <c r="B684" s="555" t="str">
        <f t="shared" si="57"/>
        <v/>
      </c>
      <c r="C684" s="556" t="str">
        <f t="shared" si="58"/>
        <v/>
      </c>
      <c r="D684" s="557" t="str">
        <f t="shared" si="59"/>
        <v/>
      </c>
      <c r="E684" s="560"/>
      <c r="F684" s="559"/>
      <c r="G684" s="559" t="str">
        <f t="shared" si="60"/>
        <v/>
      </c>
      <c r="H684" s="559" t="str">
        <f t="shared" si="61"/>
        <v/>
      </c>
      <c r="I684" s="559" t="str">
        <f t="shared" si="62"/>
        <v/>
      </c>
    </row>
    <row r="685" spans="2:9">
      <c r="B685" s="555" t="str">
        <f t="shared" si="57"/>
        <v/>
      </c>
      <c r="C685" s="556" t="str">
        <f t="shared" si="58"/>
        <v/>
      </c>
      <c r="D685" s="557" t="str">
        <f t="shared" si="59"/>
        <v/>
      </c>
      <c r="E685" s="560"/>
      <c r="F685" s="559"/>
      <c r="G685" s="559" t="str">
        <f t="shared" si="60"/>
        <v/>
      </c>
      <c r="H685" s="559" t="str">
        <f t="shared" si="61"/>
        <v/>
      </c>
      <c r="I685" s="559" t="str">
        <f t="shared" si="62"/>
        <v/>
      </c>
    </row>
    <row r="686" spans="2:9">
      <c r="B686" s="555" t="str">
        <f t="shared" si="57"/>
        <v/>
      </c>
      <c r="C686" s="556" t="str">
        <f t="shared" si="58"/>
        <v/>
      </c>
      <c r="D686" s="557" t="str">
        <f t="shared" si="59"/>
        <v/>
      </c>
      <c r="E686" s="560"/>
      <c r="F686" s="559"/>
      <c r="G686" s="559" t="str">
        <f t="shared" si="60"/>
        <v/>
      </c>
      <c r="H686" s="559" t="str">
        <f t="shared" si="61"/>
        <v/>
      </c>
      <c r="I686" s="559" t="str">
        <f t="shared" si="62"/>
        <v/>
      </c>
    </row>
    <row r="687" spans="2:9">
      <c r="B687" s="555" t="str">
        <f t="shared" si="57"/>
        <v/>
      </c>
      <c r="C687" s="556" t="str">
        <f t="shared" si="58"/>
        <v/>
      </c>
      <c r="D687" s="557" t="str">
        <f t="shared" si="59"/>
        <v/>
      </c>
      <c r="E687" s="560"/>
      <c r="F687" s="559"/>
      <c r="G687" s="559" t="str">
        <f t="shared" si="60"/>
        <v/>
      </c>
      <c r="H687" s="559" t="str">
        <f t="shared" si="61"/>
        <v/>
      </c>
      <c r="I687" s="559" t="str">
        <f t="shared" si="62"/>
        <v/>
      </c>
    </row>
    <row r="688" spans="2:9">
      <c r="B688" s="555" t="str">
        <f t="shared" si="57"/>
        <v/>
      </c>
      <c r="C688" s="556" t="str">
        <f t="shared" si="58"/>
        <v/>
      </c>
      <c r="D688" s="557" t="str">
        <f t="shared" si="59"/>
        <v/>
      </c>
      <c r="E688" s="560"/>
      <c r="F688" s="559"/>
      <c r="G688" s="559" t="str">
        <f t="shared" si="60"/>
        <v/>
      </c>
      <c r="H688" s="559" t="str">
        <f t="shared" si="61"/>
        <v/>
      </c>
      <c r="I688" s="559" t="str">
        <f t="shared" si="62"/>
        <v/>
      </c>
    </row>
    <row r="689" spans="2:9">
      <c r="B689" s="555" t="str">
        <f t="shared" si="57"/>
        <v/>
      </c>
      <c r="C689" s="556" t="str">
        <f t="shared" si="58"/>
        <v/>
      </c>
      <c r="D689" s="557" t="str">
        <f t="shared" si="59"/>
        <v/>
      </c>
      <c r="E689" s="560"/>
      <c r="F689" s="559"/>
      <c r="G689" s="559" t="str">
        <f t="shared" si="60"/>
        <v/>
      </c>
      <c r="H689" s="559" t="str">
        <f t="shared" si="61"/>
        <v/>
      </c>
      <c r="I689" s="559" t="str">
        <f t="shared" si="62"/>
        <v/>
      </c>
    </row>
    <row r="690" spans="2:9">
      <c r="B690" s="555" t="str">
        <f t="shared" si="57"/>
        <v/>
      </c>
      <c r="C690" s="556" t="str">
        <f t="shared" si="58"/>
        <v/>
      </c>
      <c r="D690" s="557" t="str">
        <f t="shared" si="59"/>
        <v/>
      </c>
      <c r="E690" s="560"/>
      <c r="F690" s="559"/>
      <c r="G690" s="559" t="str">
        <f t="shared" si="60"/>
        <v/>
      </c>
      <c r="H690" s="559" t="str">
        <f t="shared" si="61"/>
        <v/>
      </c>
      <c r="I690" s="559" t="str">
        <f t="shared" si="62"/>
        <v/>
      </c>
    </row>
    <row r="691" spans="2:9">
      <c r="B691" s="555" t="str">
        <f t="shared" si="57"/>
        <v/>
      </c>
      <c r="C691" s="556" t="str">
        <f t="shared" si="58"/>
        <v/>
      </c>
      <c r="D691" s="557" t="str">
        <f t="shared" si="59"/>
        <v/>
      </c>
      <c r="E691" s="560"/>
      <c r="F691" s="559"/>
      <c r="G691" s="559" t="str">
        <f t="shared" si="60"/>
        <v/>
      </c>
      <c r="H691" s="559" t="str">
        <f t="shared" si="61"/>
        <v/>
      </c>
      <c r="I691" s="559" t="str">
        <f t="shared" si="62"/>
        <v/>
      </c>
    </row>
    <row r="692" spans="2:9">
      <c r="B692" s="555" t="str">
        <f t="shared" si="57"/>
        <v/>
      </c>
      <c r="C692" s="556" t="str">
        <f t="shared" si="58"/>
        <v/>
      </c>
      <c r="D692" s="557" t="str">
        <f t="shared" si="59"/>
        <v/>
      </c>
      <c r="E692" s="560"/>
      <c r="F692" s="559"/>
      <c r="G692" s="559" t="str">
        <f t="shared" si="60"/>
        <v/>
      </c>
      <c r="H692" s="559" t="str">
        <f t="shared" si="61"/>
        <v/>
      </c>
      <c r="I692" s="559" t="str">
        <f t="shared" si="62"/>
        <v/>
      </c>
    </row>
    <row r="693" spans="2:9">
      <c r="B693" s="555" t="str">
        <f t="shared" si="57"/>
        <v/>
      </c>
      <c r="C693" s="556" t="str">
        <f t="shared" si="58"/>
        <v/>
      </c>
      <c r="D693" s="557" t="str">
        <f t="shared" si="59"/>
        <v/>
      </c>
      <c r="E693" s="560"/>
      <c r="F693" s="559"/>
      <c r="G693" s="559" t="str">
        <f t="shared" si="60"/>
        <v/>
      </c>
      <c r="H693" s="559" t="str">
        <f t="shared" si="61"/>
        <v/>
      </c>
      <c r="I693" s="559" t="str">
        <f t="shared" si="62"/>
        <v/>
      </c>
    </row>
    <row r="694" spans="2:9">
      <c r="B694" s="555" t="str">
        <f t="shared" si="57"/>
        <v/>
      </c>
      <c r="C694" s="556" t="str">
        <f t="shared" si="58"/>
        <v/>
      </c>
      <c r="D694" s="557" t="str">
        <f t="shared" si="59"/>
        <v/>
      </c>
      <c r="E694" s="560"/>
      <c r="F694" s="559"/>
      <c r="G694" s="559" t="str">
        <f t="shared" si="60"/>
        <v/>
      </c>
      <c r="H694" s="559" t="str">
        <f t="shared" si="61"/>
        <v/>
      </c>
      <c r="I694" s="559" t="str">
        <f t="shared" si="62"/>
        <v/>
      </c>
    </row>
    <row r="695" spans="2:9">
      <c r="B695" s="555" t="str">
        <f t="shared" si="57"/>
        <v/>
      </c>
      <c r="C695" s="556" t="str">
        <f t="shared" si="58"/>
        <v/>
      </c>
      <c r="D695" s="557" t="str">
        <f t="shared" si="59"/>
        <v/>
      </c>
      <c r="E695" s="560"/>
      <c r="F695" s="559"/>
      <c r="G695" s="559" t="str">
        <f t="shared" si="60"/>
        <v/>
      </c>
      <c r="H695" s="559" t="str">
        <f t="shared" si="61"/>
        <v/>
      </c>
      <c r="I695" s="559" t="str">
        <f t="shared" si="62"/>
        <v/>
      </c>
    </row>
    <row r="696" spans="2:9">
      <c r="B696" s="555" t="str">
        <f t="shared" si="57"/>
        <v/>
      </c>
      <c r="C696" s="556" t="str">
        <f t="shared" si="58"/>
        <v/>
      </c>
      <c r="D696" s="557" t="str">
        <f t="shared" si="59"/>
        <v/>
      </c>
      <c r="E696" s="560"/>
      <c r="F696" s="559"/>
      <c r="G696" s="559" t="str">
        <f t="shared" si="60"/>
        <v/>
      </c>
      <c r="H696" s="559" t="str">
        <f t="shared" si="61"/>
        <v/>
      </c>
      <c r="I696" s="559" t="str">
        <f t="shared" si="62"/>
        <v/>
      </c>
    </row>
    <row r="697" spans="2:9">
      <c r="B697" s="555" t="str">
        <f t="shared" si="57"/>
        <v/>
      </c>
      <c r="C697" s="556" t="str">
        <f t="shared" si="58"/>
        <v/>
      </c>
      <c r="D697" s="557" t="str">
        <f t="shared" si="59"/>
        <v/>
      </c>
      <c r="E697" s="560"/>
      <c r="F697" s="559"/>
      <c r="G697" s="559" t="str">
        <f t="shared" si="60"/>
        <v/>
      </c>
      <c r="H697" s="559" t="str">
        <f t="shared" si="61"/>
        <v/>
      </c>
      <c r="I697" s="559" t="str">
        <f t="shared" si="62"/>
        <v/>
      </c>
    </row>
    <row r="698" spans="2:9">
      <c r="B698" s="555" t="str">
        <f t="shared" si="57"/>
        <v/>
      </c>
      <c r="C698" s="556" t="str">
        <f t="shared" si="58"/>
        <v/>
      </c>
      <c r="D698" s="557" t="str">
        <f t="shared" si="59"/>
        <v/>
      </c>
      <c r="E698" s="560"/>
      <c r="F698" s="559"/>
      <c r="G698" s="559" t="str">
        <f t="shared" si="60"/>
        <v/>
      </c>
      <c r="H698" s="559" t="str">
        <f t="shared" si="61"/>
        <v/>
      </c>
      <c r="I698" s="559" t="str">
        <f t="shared" si="62"/>
        <v/>
      </c>
    </row>
    <row r="699" spans="2:9">
      <c r="B699" s="555" t="str">
        <f t="shared" si="57"/>
        <v/>
      </c>
      <c r="C699" s="556" t="str">
        <f t="shared" si="58"/>
        <v/>
      </c>
      <c r="D699" s="557" t="str">
        <f t="shared" si="59"/>
        <v/>
      </c>
      <c r="E699" s="560"/>
      <c r="F699" s="559"/>
      <c r="G699" s="559" t="str">
        <f t="shared" si="60"/>
        <v/>
      </c>
      <c r="H699" s="559" t="str">
        <f t="shared" si="61"/>
        <v/>
      </c>
      <c r="I699" s="559" t="str">
        <f t="shared" si="62"/>
        <v/>
      </c>
    </row>
    <row r="700" spans="2:9">
      <c r="B700" s="555" t="str">
        <f t="shared" si="57"/>
        <v/>
      </c>
      <c r="C700" s="556" t="str">
        <f t="shared" si="58"/>
        <v/>
      </c>
      <c r="D700" s="557" t="str">
        <f t="shared" si="59"/>
        <v/>
      </c>
      <c r="E700" s="560"/>
      <c r="F700" s="559"/>
      <c r="G700" s="559" t="str">
        <f t="shared" si="60"/>
        <v/>
      </c>
      <c r="H700" s="559" t="str">
        <f t="shared" si="61"/>
        <v/>
      </c>
      <c r="I700" s="559" t="str">
        <f t="shared" si="62"/>
        <v/>
      </c>
    </row>
    <row r="701" spans="2:9">
      <c r="B701" s="555" t="str">
        <f t="shared" ref="B701:B764" si="63">IF(I700="","",IF(roundOpt,IF(OR(B700&gt;=nper,ROUND(I700,2)&lt;=0),"",B700+1),IF(OR(B700&gt;=nper,I700&lt;=0),"",B700+1)))</f>
        <v/>
      </c>
      <c r="C701" s="556" t="str">
        <f t="shared" ref="C701:C764" si="64">IF(B701="","",IF(OR(periods_per_year=26,periods_per_year=52),IF(periods_per_year=26,IF(B701=1,fpdate,C700+14),IF(periods_per_year=52,IF(B701=1,fpdate,C700+7),"n/a")),IF(periods_per_year=24,DATE(YEAR(fpdate),MONTH(fpdate)+(B701-1)/2+IF(AND(DAY(fpdate)&gt;=15,MOD(B701,2)=0),1,0),IF(MOD(B701,2)=0,IF(DAY(fpdate)&gt;=15,DAY(fpdate)-14,DAY(fpdate)+14),DAY(fpdate))),IF(DAY(DATE(YEAR(fpdate),MONTH(fpdate)+(B701-1)*months_per_period,DAY(fpdate)))&lt;&gt;DAY(fpdate),DATE(YEAR(fpdate),MONTH(fpdate)+(B701-1)*months_per_period+1,0),DATE(YEAR(fpdate),MONTH(fpdate)+(B701-1)*months_per_period,DAY(fpdate))))))</f>
        <v/>
      </c>
      <c r="D701" s="557" t="str">
        <f t="shared" ref="D701:D764" si="65">IF(B701="","",IF(roundOpt,IF(OR(B701=nper,payment&gt;ROUND((1+rate)*I700,2)),ROUND((1+rate)*I700,2),payment),IF(OR(B701=nper,payment&gt;(1+rate)*I700),(1+rate)*I700,payment)))</f>
        <v/>
      </c>
      <c r="E701" s="560"/>
      <c r="F701" s="559"/>
      <c r="G701" s="559" t="str">
        <f t="shared" ref="G701:G764" si="66">IF(B701="","",IF(AND(B701=1,pmtType=1),0,IF(roundOpt,ROUND(rate*I700,2),rate*I700)))</f>
        <v/>
      </c>
      <c r="H701" s="559" t="str">
        <f t="shared" ref="H701:H764" si="67">IF(B701="","",D701-G701+E701)</f>
        <v/>
      </c>
      <c r="I701" s="559" t="str">
        <f t="shared" ref="I701:I764" si="68">IF(B701="","",I700-H701)</f>
        <v/>
      </c>
    </row>
    <row r="702" spans="2:9">
      <c r="B702" s="555" t="str">
        <f t="shared" si="63"/>
        <v/>
      </c>
      <c r="C702" s="556" t="str">
        <f t="shared" si="64"/>
        <v/>
      </c>
      <c r="D702" s="557" t="str">
        <f t="shared" si="65"/>
        <v/>
      </c>
      <c r="E702" s="560"/>
      <c r="F702" s="559"/>
      <c r="G702" s="559" t="str">
        <f t="shared" si="66"/>
        <v/>
      </c>
      <c r="H702" s="559" t="str">
        <f t="shared" si="67"/>
        <v/>
      </c>
      <c r="I702" s="559" t="str">
        <f t="shared" si="68"/>
        <v/>
      </c>
    </row>
    <row r="703" spans="2:9">
      <c r="B703" s="555" t="str">
        <f t="shared" si="63"/>
        <v/>
      </c>
      <c r="C703" s="556" t="str">
        <f t="shared" si="64"/>
        <v/>
      </c>
      <c r="D703" s="557" t="str">
        <f t="shared" si="65"/>
        <v/>
      </c>
      <c r="E703" s="560"/>
      <c r="F703" s="559"/>
      <c r="G703" s="559" t="str">
        <f t="shared" si="66"/>
        <v/>
      </c>
      <c r="H703" s="559" t="str">
        <f t="shared" si="67"/>
        <v/>
      </c>
      <c r="I703" s="559" t="str">
        <f t="shared" si="68"/>
        <v/>
      </c>
    </row>
    <row r="704" spans="2:9">
      <c r="B704" s="555" t="str">
        <f t="shared" si="63"/>
        <v/>
      </c>
      <c r="C704" s="556" t="str">
        <f t="shared" si="64"/>
        <v/>
      </c>
      <c r="D704" s="557" t="str">
        <f t="shared" si="65"/>
        <v/>
      </c>
      <c r="E704" s="560"/>
      <c r="F704" s="559"/>
      <c r="G704" s="559" t="str">
        <f t="shared" si="66"/>
        <v/>
      </c>
      <c r="H704" s="559" t="str">
        <f t="shared" si="67"/>
        <v/>
      </c>
      <c r="I704" s="559" t="str">
        <f t="shared" si="68"/>
        <v/>
      </c>
    </row>
    <row r="705" spans="2:9">
      <c r="B705" s="555" t="str">
        <f t="shared" si="63"/>
        <v/>
      </c>
      <c r="C705" s="556" t="str">
        <f t="shared" si="64"/>
        <v/>
      </c>
      <c r="D705" s="557" t="str">
        <f t="shared" si="65"/>
        <v/>
      </c>
      <c r="E705" s="560"/>
      <c r="F705" s="559"/>
      <c r="G705" s="559" t="str">
        <f t="shared" si="66"/>
        <v/>
      </c>
      <c r="H705" s="559" t="str">
        <f t="shared" si="67"/>
        <v/>
      </c>
      <c r="I705" s="559" t="str">
        <f t="shared" si="68"/>
        <v/>
      </c>
    </row>
    <row r="706" spans="2:9">
      <c r="B706" s="555" t="str">
        <f t="shared" si="63"/>
        <v/>
      </c>
      <c r="C706" s="556" t="str">
        <f t="shared" si="64"/>
        <v/>
      </c>
      <c r="D706" s="557" t="str">
        <f t="shared" si="65"/>
        <v/>
      </c>
      <c r="E706" s="560"/>
      <c r="F706" s="559"/>
      <c r="G706" s="559" t="str">
        <f t="shared" si="66"/>
        <v/>
      </c>
      <c r="H706" s="559" t="str">
        <f t="shared" si="67"/>
        <v/>
      </c>
      <c r="I706" s="559" t="str">
        <f t="shared" si="68"/>
        <v/>
      </c>
    </row>
    <row r="707" spans="2:9">
      <c r="B707" s="555" t="str">
        <f t="shared" si="63"/>
        <v/>
      </c>
      <c r="C707" s="556" t="str">
        <f t="shared" si="64"/>
        <v/>
      </c>
      <c r="D707" s="557" t="str">
        <f t="shared" si="65"/>
        <v/>
      </c>
      <c r="E707" s="560"/>
      <c r="F707" s="559"/>
      <c r="G707" s="559" t="str">
        <f t="shared" si="66"/>
        <v/>
      </c>
      <c r="H707" s="559" t="str">
        <f t="shared" si="67"/>
        <v/>
      </c>
      <c r="I707" s="559" t="str">
        <f t="shared" si="68"/>
        <v/>
      </c>
    </row>
    <row r="708" spans="2:9">
      <c r="B708" s="555" t="str">
        <f t="shared" si="63"/>
        <v/>
      </c>
      <c r="C708" s="556" t="str">
        <f t="shared" si="64"/>
        <v/>
      </c>
      <c r="D708" s="557" t="str">
        <f t="shared" si="65"/>
        <v/>
      </c>
      <c r="E708" s="560"/>
      <c r="F708" s="559"/>
      <c r="G708" s="559" t="str">
        <f t="shared" si="66"/>
        <v/>
      </c>
      <c r="H708" s="559" t="str">
        <f t="shared" si="67"/>
        <v/>
      </c>
      <c r="I708" s="559" t="str">
        <f t="shared" si="68"/>
        <v/>
      </c>
    </row>
    <row r="709" spans="2:9">
      <c r="B709" s="555" t="str">
        <f t="shared" si="63"/>
        <v/>
      </c>
      <c r="C709" s="556" t="str">
        <f t="shared" si="64"/>
        <v/>
      </c>
      <c r="D709" s="557" t="str">
        <f t="shared" si="65"/>
        <v/>
      </c>
      <c r="E709" s="560"/>
      <c r="F709" s="559"/>
      <c r="G709" s="559" t="str">
        <f t="shared" si="66"/>
        <v/>
      </c>
      <c r="H709" s="559" t="str">
        <f t="shared" si="67"/>
        <v/>
      </c>
      <c r="I709" s="559" t="str">
        <f t="shared" si="68"/>
        <v/>
      </c>
    </row>
    <row r="710" spans="2:9">
      <c r="B710" s="555" t="str">
        <f t="shared" si="63"/>
        <v/>
      </c>
      <c r="C710" s="556" t="str">
        <f t="shared" si="64"/>
        <v/>
      </c>
      <c r="D710" s="557" t="str">
        <f t="shared" si="65"/>
        <v/>
      </c>
      <c r="E710" s="560"/>
      <c r="F710" s="559"/>
      <c r="G710" s="559" t="str">
        <f t="shared" si="66"/>
        <v/>
      </c>
      <c r="H710" s="559" t="str">
        <f t="shared" si="67"/>
        <v/>
      </c>
      <c r="I710" s="559" t="str">
        <f t="shared" si="68"/>
        <v/>
      </c>
    </row>
    <row r="711" spans="2:9">
      <c r="B711" s="555" t="str">
        <f t="shared" si="63"/>
        <v/>
      </c>
      <c r="C711" s="556" t="str">
        <f t="shared" si="64"/>
        <v/>
      </c>
      <c r="D711" s="557" t="str">
        <f t="shared" si="65"/>
        <v/>
      </c>
      <c r="E711" s="560"/>
      <c r="F711" s="559"/>
      <c r="G711" s="559" t="str">
        <f t="shared" si="66"/>
        <v/>
      </c>
      <c r="H711" s="559" t="str">
        <f t="shared" si="67"/>
        <v/>
      </c>
      <c r="I711" s="559" t="str">
        <f t="shared" si="68"/>
        <v/>
      </c>
    </row>
    <row r="712" spans="2:9">
      <c r="B712" s="555" t="str">
        <f t="shared" si="63"/>
        <v/>
      </c>
      <c r="C712" s="556" t="str">
        <f t="shared" si="64"/>
        <v/>
      </c>
      <c r="D712" s="557" t="str">
        <f t="shared" si="65"/>
        <v/>
      </c>
      <c r="E712" s="560"/>
      <c r="F712" s="559"/>
      <c r="G712" s="559" t="str">
        <f t="shared" si="66"/>
        <v/>
      </c>
      <c r="H712" s="559" t="str">
        <f t="shared" si="67"/>
        <v/>
      </c>
      <c r="I712" s="559" t="str">
        <f t="shared" si="68"/>
        <v/>
      </c>
    </row>
    <row r="713" spans="2:9">
      <c r="B713" s="555" t="str">
        <f t="shared" si="63"/>
        <v/>
      </c>
      <c r="C713" s="556" t="str">
        <f t="shared" si="64"/>
        <v/>
      </c>
      <c r="D713" s="557" t="str">
        <f t="shared" si="65"/>
        <v/>
      </c>
      <c r="E713" s="560"/>
      <c r="F713" s="559"/>
      <c r="G713" s="559" t="str">
        <f t="shared" si="66"/>
        <v/>
      </c>
      <c r="H713" s="559" t="str">
        <f t="shared" si="67"/>
        <v/>
      </c>
      <c r="I713" s="559" t="str">
        <f t="shared" si="68"/>
        <v/>
      </c>
    </row>
    <row r="714" spans="2:9">
      <c r="B714" s="555" t="str">
        <f t="shared" si="63"/>
        <v/>
      </c>
      <c r="C714" s="556" t="str">
        <f t="shared" si="64"/>
        <v/>
      </c>
      <c r="D714" s="557" t="str">
        <f t="shared" si="65"/>
        <v/>
      </c>
      <c r="E714" s="560"/>
      <c r="F714" s="559"/>
      <c r="G714" s="559" t="str">
        <f t="shared" si="66"/>
        <v/>
      </c>
      <c r="H714" s="559" t="str">
        <f t="shared" si="67"/>
        <v/>
      </c>
      <c r="I714" s="559" t="str">
        <f t="shared" si="68"/>
        <v/>
      </c>
    </row>
    <row r="715" spans="2:9">
      <c r="B715" s="555" t="str">
        <f t="shared" si="63"/>
        <v/>
      </c>
      <c r="C715" s="556" t="str">
        <f t="shared" si="64"/>
        <v/>
      </c>
      <c r="D715" s="557" t="str">
        <f t="shared" si="65"/>
        <v/>
      </c>
      <c r="E715" s="560"/>
      <c r="F715" s="559"/>
      <c r="G715" s="559" t="str">
        <f t="shared" si="66"/>
        <v/>
      </c>
      <c r="H715" s="559" t="str">
        <f t="shared" si="67"/>
        <v/>
      </c>
      <c r="I715" s="559" t="str">
        <f t="shared" si="68"/>
        <v/>
      </c>
    </row>
    <row r="716" spans="2:9">
      <c r="B716" s="555" t="str">
        <f t="shared" si="63"/>
        <v/>
      </c>
      <c r="C716" s="556" t="str">
        <f t="shared" si="64"/>
        <v/>
      </c>
      <c r="D716" s="557" t="str">
        <f t="shared" si="65"/>
        <v/>
      </c>
      <c r="E716" s="560"/>
      <c r="F716" s="559"/>
      <c r="G716" s="559" t="str">
        <f t="shared" si="66"/>
        <v/>
      </c>
      <c r="H716" s="559" t="str">
        <f t="shared" si="67"/>
        <v/>
      </c>
      <c r="I716" s="559" t="str">
        <f t="shared" si="68"/>
        <v/>
      </c>
    </row>
    <row r="717" spans="2:9">
      <c r="B717" s="555" t="str">
        <f t="shared" si="63"/>
        <v/>
      </c>
      <c r="C717" s="556" t="str">
        <f t="shared" si="64"/>
        <v/>
      </c>
      <c r="D717" s="557" t="str">
        <f t="shared" si="65"/>
        <v/>
      </c>
      <c r="E717" s="560"/>
      <c r="F717" s="559"/>
      <c r="G717" s="559" t="str">
        <f t="shared" si="66"/>
        <v/>
      </c>
      <c r="H717" s="559" t="str">
        <f t="shared" si="67"/>
        <v/>
      </c>
      <c r="I717" s="559" t="str">
        <f t="shared" si="68"/>
        <v/>
      </c>
    </row>
    <row r="718" spans="2:9">
      <c r="B718" s="555" t="str">
        <f t="shared" si="63"/>
        <v/>
      </c>
      <c r="C718" s="556" t="str">
        <f t="shared" si="64"/>
        <v/>
      </c>
      <c r="D718" s="557" t="str">
        <f t="shared" si="65"/>
        <v/>
      </c>
      <c r="E718" s="560"/>
      <c r="F718" s="559"/>
      <c r="G718" s="559" t="str">
        <f t="shared" si="66"/>
        <v/>
      </c>
      <c r="H718" s="559" t="str">
        <f t="shared" si="67"/>
        <v/>
      </c>
      <c r="I718" s="559" t="str">
        <f t="shared" si="68"/>
        <v/>
      </c>
    </row>
    <row r="719" spans="2:9">
      <c r="B719" s="555" t="str">
        <f t="shared" si="63"/>
        <v/>
      </c>
      <c r="C719" s="556" t="str">
        <f t="shared" si="64"/>
        <v/>
      </c>
      <c r="D719" s="557" t="str">
        <f t="shared" si="65"/>
        <v/>
      </c>
      <c r="E719" s="560"/>
      <c r="F719" s="559"/>
      <c r="G719" s="559" t="str">
        <f t="shared" si="66"/>
        <v/>
      </c>
      <c r="H719" s="559" t="str">
        <f t="shared" si="67"/>
        <v/>
      </c>
      <c r="I719" s="559" t="str">
        <f t="shared" si="68"/>
        <v/>
      </c>
    </row>
    <row r="720" spans="2:9">
      <c r="B720" s="555" t="str">
        <f t="shared" si="63"/>
        <v/>
      </c>
      <c r="C720" s="556" t="str">
        <f t="shared" si="64"/>
        <v/>
      </c>
      <c r="D720" s="557" t="str">
        <f t="shared" si="65"/>
        <v/>
      </c>
      <c r="E720" s="560"/>
      <c r="F720" s="559"/>
      <c r="G720" s="559" t="str">
        <f t="shared" si="66"/>
        <v/>
      </c>
      <c r="H720" s="559" t="str">
        <f t="shared" si="67"/>
        <v/>
      </c>
      <c r="I720" s="559" t="str">
        <f t="shared" si="68"/>
        <v/>
      </c>
    </row>
    <row r="721" spans="2:9">
      <c r="B721" s="555" t="str">
        <f t="shared" si="63"/>
        <v/>
      </c>
      <c r="C721" s="556" t="str">
        <f t="shared" si="64"/>
        <v/>
      </c>
      <c r="D721" s="557" t="str">
        <f t="shared" si="65"/>
        <v/>
      </c>
      <c r="E721" s="560"/>
      <c r="F721" s="559"/>
      <c r="G721" s="559" t="str">
        <f t="shared" si="66"/>
        <v/>
      </c>
      <c r="H721" s="559" t="str">
        <f t="shared" si="67"/>
        <v/>
      </c>
      <c r="I721" s="559" t="str">
        <f t="shared" si="68"/>
        <v/>
      </c>
    </row>
    <row r="722" spans="2:9">
      <c r="B722" s="555" t="str">
        <f t="shared" si="63"/>
        <v/>
      </c>
      <c r="C722" s="556" t="str">
        <f t="shared" si="64"/>
        <v/>
      </c>
      <c r="D722" s="557" t="str">
        <f t="shared" si="65"/>
        <v/>
      </c>
      <c r="E722" s="560"/>
      <c r="F722" s="559"/>
      <c r="G722" s="559" t="str">
        <f t="shared" si="66"/>
        <v/>
      </c>
      <c r="H722" s="559" t="str">
        <f t="shared" si="67"/>
        <v/>
      </c>
      <c r="I722" s="559" t="str">
        <f t="shared" si="68"/>
        <v/>
      </c>
    </row>
    <row r="723" spans="2:9">
      <c r="B723" s="555" t="str">
        <f t="shared" si="63"/>
        <v/>
      </c>
      <c r="C723" s="556" t="str">
        <f t="shared" si="64"/>
        <v/>
      </c>
      <c r="D723" s="557" t="str">
        <f t="shared" si="65"/>
        <v/>
      </c>
      <c r="E723" s="560"/>
      <c r="F723" s="559"/>
      <c r="G723" s="559" t="str">
        <f t="shared" si="66"/>
        <v/>
      </c>
      <c r="H723" s="559" t="str">
        <f t="shared" si="67"/>
        <v/>
      </c>
      <c r="I723" s="559" t="str">
        <f t="shared" si="68"/>
        <v/>
      </c>
    </row>
    <row r="724" spans="2:9">
      <c r="B724" s="555" t="str">
        <f t="shared" si="63"/>
        <v/>
      </c>
      <c r="C724" s="556" t="str">
        <f t="shared" si="64"/>
        <v/>
      </c>
      <c r="D724" s="557" t="str">
        <f t="shared" si="65"/>
        <v/>
      </c>
      <c r="E724" s="560"/>
      <c r="F724" s="559"/>
      <c r="G724" s="559" t="str">
        <f t="shared" si="66"/>
        <v/>
      </c>
      <c r="H724" s="559" t="str">
        <f t="shared" si="67"/>
        <v/>
      </c>
      <c r="I724" s="559" t="str">
        <f t="shared" si="68"/>
        <v/>
      </c>
    </row>
    <row r="725" spans="2:9">
      <c r="B725" s="555" t="str">
        <f t="shared" si="63"/>
        <v/>
      </c>
      <c r="C725" s="556" t="str">
        <f t="shared" si="64"/>
        <v/>
      </c>
      <c r="D725" s="557" t="str">
        <f t="shared" si="65"/>
        <v/>
      </c>
      <c r="E725" s="560"/>
      <c r="F725" s="559"/>
      <c r="G725" s="559" t="str">
        <f t="shared" si="66"/>
        <v/>
      </c>
      <c r="H725" s="559" t="str">
        <f t="shared" si="67"/>
        <v/>
      </c>
      <c r="I725" s="559" t="str">
        <f t="shared" si="68"/>
        <v/>
      </c>
    </row>
    <row r="726" spans="2:9">
      <c r="B726" s="555" t="str">
        <f t="shared" si="63"/>
        <v/>
      </c>
      <c r="C726" s="556" t="str">
        <f t="shared" si="64"/>
        <v/>
      </c>
      <c r="D726" s="557" t="str">
        <f t="shared" si="65"/>
        <v/>
      </c>
      <c r="E726" s="560"/>
      <c r="F726" s="559"/>
      <c r="G726" s="559" t="str">
        <f t="shared" si="66"/>
        <v/>
      </c>
      <c r="H726" s="559" t="str">
        <f t="shared" si="67"/>
        <v/>
      </c>
      <c r="I726" s="559" t="str">
        <f t="shared" si="68"/>
        <v/>
      </c>
    </row>
    <row r="727" spans="2:9">
      <c r="B727" s="555" t="str">
        <f t="shared" si="63"/>
        <v/>
      </c>
      <c r="C727" s="556" t="str">
        <f t="shared" si="64"/>
        <v/>
      </c>
      <c r="D727" s="557" t="str">
        <f t="shared" si="65"/>
        <v/>
      </c>
      <c r="E727" s="560"/>
      <c r="F727" s="559"/>
      <c r="G727" s="559" t="str">
        <f t="shared" si="66"/>
        <v/>
      </c>
      <c r="H727" s="559" t="str">
        <f t="shared" si="67"/>
        <v/>
      </c>
      <c r="I727" s="559" t="str">
        <f t="shared" si="68"/>
        <v/>
      </c>
    </row>
    <row r="728" spans="2:9">
      <c r="B728" s="555" t="str">
        <f t="shared" si="63"/>
        <v/>
      </c>
      <c r="C728" s="556" t="str">
        <f t="shared" si="64"/>
        <v/>
      </c>
      <c r="D728" s="557" t="str">
        <f t="shared" si="65"/>
        <v/>
      </c>
      <c r="E728" s="560"/>
      <c r="F728" s="559"/>
      <c r="G728" s="559" t="str">
        <f t="shared" si="66"/>
        <v/>
      </c>
      <c r="H728" s="559" t="str">
        <f t="shared" si="67"/>
        <v/>
      </c>
      <c r="I728" s="559" t="str">
        <f t="shared" si="68"/>
        <v/>
      </c>
    </row>
    <row r="729" spans="2:9">
      <c r="B729" s="555" t="str">
        <f t="shared" si="63"/>
        <v/>
      </c>
      <c r="C729" s="556" t="str">
        <f t="shared" si="64"/>
        <v/>
      </c>
      <c r="D729" s="557" t="str">
        <f t="shared" si="65"/>
        <v/>
      </c>
      <c r="E729" s="560"/>
      <c r="F729" s="559"/>
      <c r="G729" s="559" t="str">
        <f t="shared" si="66"/>
        <v/>
      </c>
      <c r="H729" s="559" t="str">
        <f t="shared" si="67"/>
        <v/>
      </c>
      <c r="I729" s="559" t="str">
        <f t="shared" si="68"/>
        <v/>
      </c>
    </row>
    <row r="730" spans="2:9">
      <c r="B730" s="555" t="str">
        <f t="shared" si="63"/>
        <v/>
      </c>
      <c r="C730" s="556" t="str">
        <f t="shared" si="64"/>
        <v/>
      </c>
      <c r="D730" s="557" t="str">
        <f t="shared" si="65"/>
        <v/>
      </c>
      <c r="E730" s="560"/>
      <c r="F730" s="559"/>
      <c r="G730" s="559" t="str">
        <f t="shared" si="66"/>
        <v/>
      </c>
      <c r="H730" s="559" t="str">
        <f t="shared" si="67"/>
        <v/>
      </c>
      <c r="I730" s="559" t="str">
        <f t="shared" si="68"/>
        <v/>
      </c>
    </row>
    <row r="731" spans="2:9">
      <c r="B731" s="555" t="str">
        <f t="shared" si="63"/>
        <v/>
      </c>
      <c r="C731" s="556" t="str">
        <f t="shared" si="64"/>
        <v/>
      </c>
      <c r="D731" s="557" t="str">
        <f t="shared" si="65"/>
        <v/>
      </c>
      <c r="E731" s="560"/>
      <c r="F731" s="559"/>
      <c r="G731" s="559" t="str">
        <f t="shared" si="66"/>
        <v/>
      </c>
      <c r="H731" s="559" t="str">
        <f t="shared" si="67"/>
        <v/>
      </c>
      <c r="I731" s="559" t="str">
        <f t="shared" si="68"/>
        <v/>
      </c>
    </row>
    <row r="732" spans="2:9">
      <c r="B732" s="555" t="str">
        <f t="shared" si="63"/>
        <v/>
      </c>
      <c r="C732" s="556" t="str">
        <f t="shared" si="64"/>
        <v/>
      </c>
      <c r="D732" s="557" t="str">
        <f t="shared" si="65"/>
        <v/>
      </c>
      <c r="E732" s="560"/>
      <c r="F732" s="559"/>
      <c r="G732" s="559" t="str">
        <f t="shared" si="66"/>
        <v/>
      </c>
      <c r="H732" s="559" t="str">
        <f t="shared" si="67"/>
        <v/>
      </c>
      <c r="I732" s="559" t="str">
        <f t="shared" si="68"/>
        <v/>
      </c>
    </row>
    <row r="733" spans="2:9">
      <c r="B733" s="555" t="str">
        <f t="shared" si="63"/>
        <v/>
      </c>
      <c r="C733" s="556" t="str">
        <f t="shared" si="64"/>
        <v/>
      </c>
      <c r="D733" s="557" t="str">
        <f t="shared" si="65"/>
        <v/>
      </c>
      <c r="E733" s="560"/>
      <c r="F733" s="559"/>
      <c r="G733" s="559" t="str">
        <f t="shared" si="66"/>
        <v/>
      </c>
      <c r="H733" s="559" t="str">
        <f t="shared" si="67"/>
        <v/>
      </c>
      <c r="I733" s="559" t="str">
        <f t="shared" si="68"/>
        <v/>
      </c>
    </row>
    <row r="734" spans="2:9">
      <c r="B734" s="555" t="str">
        <f t="shared" si="63"/>
        <v/>
      </c>
      <c r="C734" s="556" t="str">
        <f t="shared" si="64"/>
        <v/>
      </c>
      <c r="D734" s="557" t="str">
        <f t="shared" si="65"/>
        <v/>
      </c>
      <c r="E734" s="560"/>
      <c r="F734" s="559"/>
      <c r="G734" s="559" t="str">
        <f t="shared" si="66"/>
        <v/>
      </c>
      <c r="H734" s="559" t="str">
        <f t="shared" si="67"/>
        <v/>
      </c>
      <c r="I734" s="559" t="str">
        <f t="shared" si="68"/>
        <v/>
      </c>
    </row>
    <row r="735" spans="2:9">
      <c r="B735" s="555" t="str">
        <f t="shared" si="63"/>
        <v/>
      </c>
      <c r="C735" s="556" t="str">
        <f t="shared" si="64"/>
        <v/>
      </c>
      <c r="D735" s="557" t="str">
        <f t="shared" si="65"/>
        <v/>
      </c>
      <c r="E735" s="560"/>
      <c r="F735" s="559"/>
      <c r="G735" s="559" t="str">
        <f t="shared" si="66"/>
        <v/>
      </c>
      <c r="H735" s="559" t="str">
        <f t="shared" si="67"/>
        <v/>
      </c>
      <c r="I735" s="559" t="str">
        <f t="shared" si="68"/>
        <v/>
      </c>
    </row>
    <row r="736" spans="2:9">
      <c r="B736" s="555" t="str">
        <f t="shared" si="63"/>
        <v/>
      </c>
      <c r="C736" s="556" t="str">
        <f t="shared" si="64"/>
        <v/>
      </c>
      <c r="D736" s="557" t="str">
        <f t="shared" si="65"/>
        <v/>
      </c>
      <c r="E736" s="560"/>
      <c r="F736" s="559"/>
      <c r="G736" s="559" t="str">
        <f t="shared" si="66"/>
        <v/>
      </c>
      <c r="H736" s="559" t="str">
        <f t="shared" si="67"/>
        <v/>
      </c>
      <c r="I736" s="559" t="str">
        <f t="shared" si="68"/>
        <v/>
      </c>
    </row>
    <row r="737" spans="2:9">
      <c r="B737" s="555" t="str">
        <f t="shared" si="63"/>
        <v/>
      </c>
      <c r="C737" s="556" t="str">
        <f t="shared" si="64"/>
        <v/>
      </c>
      <c r="D737" s="557" t="str">
        <f t="shared" si="65"/>
        <v/>
      </c>
      <c r="E737" s="560"/>
      <c r="F737" s="559"/>
      <c r="G737" s="559" t="str">
        <f t="shared" si="66"/>
        <v/>
      </c>
      <c r="H737" s="559" t="str">
        <f t="shared" si="67"/>
        <v/>
      </c>
      <c r="I737" s="559" t="str">
        <f t="shared" si="68"/>
        <v/>
      </c>
    </row>
    <row r="738" spans="2:9">
      <c r="B738" s="555" t="str">
        <f t="shared" si="63"/>
        <v/>
      </c>
      <c r="C738" s="556" t="str">
        <f t="shared" si="64"/>
        <v/>
      </c>
      <c r="D738" s="557" t="str">
        <f t="shared" si="65"/>
        <v/>
      </c>
      <c r="E738" s="560"/>
      <c r="F738" s="559"/>
      <c r="G738" s="559" t="str">
        <f t="shared" si="66"/>
        <v/>
      </c>
      <c r="H738" s="559" t="str">
        <f t="shared" si="67"/>
        <v/>
      </c>
      <c r="I738" s="559" t="str">
        <f t="shared" si="68"/>
        <v/>
      </c>
    </row>
    <row r="739" spans="2:9">
      <c r="B739" s="555" t="str">
        <f t="shared" si="63"/>
        <v/>
      </c>
      <c r="C739" s="556" t="str">
        <f t="shared" si="64"/>
        <v/>
      </c>
      <c r="D739" s="557" t="str">
        <f t="shared" si="65"/>
        <v/>
      </c>
      <c r="E739" s="560"/>
      <c r="F739" s="559"/>
      <c r="G739" s="559" t="str">
        <f t="shared" si="66"/>
        <v/>
      </c>
      <c r="H739" s="559" t="str">
        <f t="shared" si="67"/>
        <v/>
      </c>
      <c r="I739" s="559" t="str">
        <f t="shared" si="68"/>
        <v/>
      </c>
    </row>
    <row r="740" spans="2:9">
      <c r="B740" s="555" t="str">
        <f t="shared" si="63"/>
        <v/>
      </c>
      <c r="C740" s="556" t="str">
        <f t="shared" si="64"/>
        <v/>
      </c>
      <c r="D740" s="557" t="str">
        <f t="shared" si="65"/>
        <v/>
      </c>
      <c r="E740" s="560"/>
      <c r="F740" s="559"/>
      <c r="G740" s="559" t="str">
        <f t="shared" si="66"/>
        <v/>
      </c>
      <c r="H740" s="559" t="str">
        <f t="shared" si="67"/>
        <v/>
      </c>
      <c r="I740" s="559" t="str">
        <f t="shared" si="68"/>
        <v/>
      </c>
    </row>
    <row r="741" spans="2:9">
      <c r="B741" s="555" t="str">
        <f t="shared" si="63"/>
        <v/>
      </c>
      <c r="C741" s="556" t="str">
        <f t="shared" si="64"/>
        <v/>
      </c>
      <c r="D741" s="557" t="str">
        <f t="shared" si="65"/>
        <v/>
      </c>
      <c r="E741" s="560"/>
      <c r="F741" s="559"/>
      <c r="G741" s="559" t="str">
        <f t="shared" si="66"/>
        <v/>
      </c>
      <c r="H741" s="559" t="str">
        <f t="shared" si="67"/>
        <v/>
      </c>
      <c r="I741" s="559" t="str">
        <f t="shared" si="68"/>
        <v/>
      </c>
    </row>
    <row r="742" spans="2:9">
      <c r="B742" s="555" t="str">
        <f t="shared" si="63"/>
        <v/>
      </c>
      <c r="C742" s="556" t="str">
        <f t="shared" si="64"/>
        <v/>
      </c>
      <c r="D742" s="557" t="str">
        <f t="shared" si="65"/>
        <v/>
      </c>
      <c r="E742" s="560"/>
      <c r="F742" s="559"/>
      <c r="G742" s="559" t="str">
        <f t="shared" si="66"/>
        <v/>
      </c>
      <c r="H742" s="559" t="str">
        <f t="shared" si="67"/>
        <v/>
      </c>
      <c r="I742" s="559" t="str">
        <f t="shared" si="68"/>
        <v/>
      </c>
    </row>
    <row r="743" spans="2:9">
      <c r="B743" s="555" t="str">
        <f t="shared" si="63"/>
        <v/>
      </c>
      <c r="C743" s="556" t="str">
        <f t="shared" si="64"/>
        <v/>
      </c>
      <c r="D743" s="557" t="str">
        <f t="shared" si="65"/>
        <v/>
      </c>
      <c r="E743" s="560"/>
      <c r="F743" s="559"/>
      <c r="G743" s="559" t="str">
        <f t="shared" si="66"/>
        <v/>
      </c>
      <c r="H743" s="559" t="str">
        <f t="shared" si="67"/>
        <v/>
      </c>
      <c r="I743" s="559" t="str">
        <f t="shared" si="68"/>
        <v/>
      </c>
    </row>
    <row r="744" spans="2:9">
      <c r="B744" s="555" t="str">
        <f t="shared" si="63"/>
        <v/>
      </c>
      <c r="C744" s="556" t="str">
        <f t="shared" si="64"/>
        <v/>
      </c>
      <c r="D744" s="557" t="str">
        <f t="shared" si="65"/>
        <v/>
      </c>
      <c r="E744" s="560"/>
      <c r="F744" s="559"/>
      <c r="G744" s="559" t="str">
        <f t="shared" si="66"/>
        <v/>
      </c>
      <c r="H744" s="559" t="str">
        <f t="shared" si="67"/>
        <v/>
      </c>
      <c r="I744" s="559" t="str">
        <f t="shared" si="68"/>
        <v/>
      </c>
    </row>
    <row r="745" spans="2:9">
      <c r="B745" s="555" t="str">
        <f t="shared" si="63"/>
        <v/>
      </c>
      <c r="C745" s="556" t="str">
        <f t="shared" si="64"/>
        <v/>
      </c>
      <c r="D745" s="557" t="str">
        <f t="shared" si="65"/>
        <v/>
      </c>
      <c r="E745" s="560"/>
      <c r="F745" s="559"/>
      <c r="G745" s="559" t="str">
        <f t="shared" si="66"/>
        <v/>
      </c>
      <c r="H745" s="559" t="str">
        <f t="shared" si="67"/>
        <v/>
      </c>
      <c r="I745" s="559" t="str">
        <f t="shared" si="68"/>
        <v/>
      </c>
    </row>
    <row r="746" spans="2:9">
      <c r="B746" s="555" t="str">
        <f t="shared" si="63"/>
        <v/>
      </c>
      <c r="C746" s="556" t="str">
        <f t="shared" si="64"/>
        <v/>
      </c>
      <c r="D746" s="557" t="str">
        <f t="shared" si="65"/>
        <v/>
      </c>
      <c r="E746" s="560"/>
      <c r="F746" s="559"/>
      <c r="G746" s="559" t="str">
        <f t="shared" si="66"/>
        <v/>
      </c>
      <c r="H746" s="559" t="str">
        <f t="shared" si="67"/>
        <v/>
      </c>
      <c r="I746" s="559" t="str">
        <f t="shared" si="68"/>
        <v/>
      </c>
    </row>
    <row r="747" spans="2:9">
      <c r="B747" s="555" t="str">
        <f t="shared" si="63"/>
        <v/>
      </c>
      <c r="C747" s="556" t="str">
        <f t="shared" si="64"/>
        <v/>
      </c>
      <c r="D747" s="557" t="str">
        <f t="shared" si="65"/>
        <v/>
      </c>
      <c r="E747" s="560"/>
      <c r="F747" s="559"/>
      <c r="G747" s="559" t="str">
        <f t="shared" si="66"/>
        <v/>
      </c>
      <c r="H747" s="559" t="str">
        <f t="shared" si="67"/>
        <v/>
      </c>
      <c r="I747" s="559" t="str">
        <f t="shared" si="68"/>
        <v/>
      </c>
    </row>
    <row r="748" spans="2:9">
      <c r="B748" s="555" t="str">
        <f t="shared" si="63"/>
        <v/>
      </c>
      <c r="C748" s="556" t="str">
        <f t="shared" si="64"/>
        <v/>
      </c>
      <c r="D748" s="557" t="str">
        <f t="shared" si="65"/>
        <v/>
      </c>
      <c r="E748" s="560"/>
      <c r="F748" s="559"/>
      <c r="G748" s="559" t="str">
        <f t="shared" si="66"/>
        <v/>
      </c>
      <c r="H748" s="559" t="str">
        <f t="shared" si="67"/>
        <v/>
      </c>
      <c r="I748" s="559" t="str">
        <f t="shared" si="68"/>
        <v/>
      </c>
    </row>
    <row r="749" spans="2:9">
      <c r="B749" s="555" t="str">
        <f t="shared" si="63"/>
        <v/>
      </c>
      <c r="C749" s="556" t="str">
        <f t="shared" si="64"/>
        <v/>
      </c>
      <c r="D749" s="557" t="str">
        <f t="shared" si="65"/>
        <v/>
      </c>
      <c r="E749" s="560"/>
      <c r="F749" s="559"/>
      <c r="G749" s="559" t="str">
        <f t="shared" si="66"/>
        <v/>
      </c>
      <c r="H749" s="559" t="str">
        <f t="shared" si="67"/>
        <v/>
      </c>
      <c r="I749" s="559" t="str">
        <f t="shared" si="68"/>
        <v/>
      </c>
    </row>
    <row r="750" spans="2:9">
      <c r="B750" s="555" t="str">
        <f t="shared" si="63"/>
        <v/>
      </c>
      <c r="C750" s="556" t="str">
        <f t="shared" si="64"/>
        <v/>
      </c>
      <c r="D750" s="557" t="str">
        <f t="shared" si="65"/>
        <v/>
      </c>
      <c r="E750" s="560"/>
      <c r="F750" s="559"/>
      <c r="G750" s="559" t="str">
        <f t="shared" si="66"/>
        <v/>
      </c>
      <c r="H750" s="559" t="str">
        <f t="shared" si="67"/>
        <v/>
      </c>
      <c r="I750" s="559" t="str">
        <f t="shared" si="68"/>
        <v/>
      </c>
    </row>
    <row r="751" spans="2:9">
      <c r="B751" s="555" t="str">
        <f t="shared" si="63"/>
        <v/>
      </c>
      <c r="C751" s="556" t="str">
        <f t="shared" si="64"/>
        <v/>
      </c>
      <c r="D751" s="557" t="str">
        <f t="shared" si="65"/>
        <v/>
      </c>
      <c r="E751" s="560"/>
      <c r="F751" s="559"/>
      <c r="G751" s="559" t="str">
        <f t="shared" si="66"/>
        <v/>
      </c>
      <c r="H751" s="559" t="str">
        <f t="shared" si="67"/>
        <v/>
      </c>
      <c r="I751" s="559" t="str">
        <f t="shared" si="68"/>
        <v/>
      </c>
    </row>
    <row r="752" spans="2:9">
      <c r="B752" s="555" t="str">
        <f t="shared" si="63"/>
        <v/>
      </c>
      <c r="C752" s="556" t="str">
        <f t="shared" si="64"/>
        <v/>
      </c>
      <c r="D752" s="557" t="str">
        <f t="shared" si="65"/>
        <v/>
      </c>
      <c r="E752" s="560"/>
      <c r="F752" s="559"/>
      <c r="G752" s="559" t="str">
        <f t="shared" si="66"/>
        <v/>
      </c>
      <c r="H752" s="559" t="str">
        <f t="shared" si="67"/>
        <v/>
      </c>
      <c r="I752" s="559" t="str">
        <f t="shared" si="68"/>
        <v/>
      </c>
    </row>
    <row r="753" spans="2:9">
      <c r="B753" s="555" t="str">
        <f t="shared" si="63"/>
        <v/>
      </c>
      <c r="C753" s="556" t="str">
        <f t="shared" si="64"/>
        <v/>
      </c>
      <c r="D753" s="557" t="str">
        <f t="shared" si="65"/>
        <v/>
      </c>
      <c r="E753" s="560"/>
      <c r="F753" s="559"/>
      <c r="G753" s="559" t="str">
        <f t="shared" si="66"/>
        <v/>
      </c>
      <c r="H753" s="559" t="str">
        <f t="shared" si="67"/>
        <v/>
      </c>
      <c r="I753" s="559" t="str">
        <f t="shared" si="68"/>
        <v/>
      </c>
    </row>
    <row r="754" spans="2:9">
      <c r="B754" s="555" t="str">
        <f t="shared" si="63"/>
        <v/>
      </c>
      <c r="C754" s="556" t="str">
        <f t="shared" si="64"/>
        <v/>
      </c>
      <c r="D754" s="557" t="str">
        <f t="shared" si="65"/>
        <v/>
      </c>
      <c r="E754" s="560"/>
      <c r="F754" s="559"/>
      <c r="G754" s="559" t="str">
        <f t="shared" si="66"/>
        <v/>
      </c>
      <c r="H754" s="559" t="str">
        <f t="shared" si="67"/>
        <v/>
      </c>
      <c r="I754" s="559" t="str">
        <f t="shared" si="68"/>
        <v/>
      </c>
    </row>
    <row r="755" spans="2:9">
      <c r="B755" s="555" t="str">
        <f t="shared" si="63"/>
        <v/>
      </c>
      <c r="C755" s="556" t="str">
        <f t="shared" si="64"/>
        <v/>
      </c>
      <c r="D755" s="557" t="str">
        <f t="shared" si="65"/>
        <v/>
      </c>
      <c r="E755" s="560"/>
      <c r="F755" s="559"/>
      <c r="G755" s="559" t="str">
        <f t="shared" si="66"/>
        <v/>
      </c>
      <c r="H755" s="559" t="str">
        <f t="shared" si="67"/>
        <v/>
      </c>
      <c r="I755" s="559" t="str">
        <f t="shared" si="68"/>
        <v/>
      </c>
    </row>
    <row r="756" spans="2:9">
      <c r="B756" s="555" t="str">
        <f t="shared" si="63"/>
        <v/>
      </c>
      <c r="C756" s="556" t="str">
        <f t="shared" si="64"/>
        <v/>
      </c>
      <c r="D756" s="557" t="str">
        <f t="shared" si="65"/>
        <v/>
      </c>
      <c r="E756" s="560"/>
      <c r="F756" s="559"/>
      <c r="G756" s="559" t="str">
        <f t="shared" si="66"/>
        <v/>
      </c>
      <c r="H756" s="559" t="str">
        <f t="shared" si="67"/>
        <v/>
      </c>
      <c r="I756" s="559" t="str">
        <f t="shared" si="68"/>
        <v/>
      </c>
    </row>
    <row r="757" spans="2:9">
      <c r="B757" s="555" t="str">
        <f t="shared" si="63"/>
        <v/>
      </c>
      <c r="C757" s="556" t="str">
        <f t="shared" si="64"/>
        <v/>
      </c>
      <c r="D757" s="557" t="str">
        <f t="shared" si="65"/>
        <v/>
      </c>
      <c r="E757" s="560"/>
      <c r="F757" s="559"/>
      <c r="G757" s="559" t="str">
        <f t="shared" si="66"/>
        <v/>
      </c>
      <c r="H757" s="559" t="str">
        <f t="shared" si="67"/>
        <v/>
      </c>
      <c r="I757" s="559" t="str">
        <f t="shared" si="68"/>
        <v/>
      </c>
    </row>
    <row r="758" spans="2:9">
      <c r="B758" s="555" t="str">
        <f t="shared" si="63"/>
        <v/>
      </c>
      <c r="C758" s="556" t="str">
        <f t="shared" si="64"/>
        <v/>
      </c>
      <c r="D758" s="557" t="str">
        <f t="shared" si="65"/>
        <v/>
      </c>
      <c r="E758" s="560"/>
      <c r="F758" s="559"/>
      <c r="G758" s="559" t="str">
        <f t="shared" si="66"/>
        <v/>
      </c>
      <c r="H758" s="559" t="str">
        <f t="shared" si="67"/>
        <v/>
      </c>
      <c r="I758" s="559" t="str">
        <f t="shared" si="68"/>
        <v/>
      </c>
    </row>
    <row r="759" spans="2:9">
      <c r="B759" s="555" t="str">
        <f t="shared" si="63"/>
        <v/>
      </c>
      <c r="C759" s="556" t="str">
        <f t="shared" si="64"/>
        <v/>
      </c>
      <c r="D759" s="557" t="str">
        <f t="shared" si="65"/>
        <v/>
      </c>
      <c r="E759" s="560"/>
      <c r="F759" s="559"/>
      <c r="G759" s="559" t="str">
        <f t="shared" si="66"/>
        <v/>
      </c>
      <c r="H759" s="559" t="str">
        <f t="shared" si="67"/>
        <v/>
      </c>
      <c r="I759" s="559" t="str">
        <f t="shared" si="68"/>
        <v/>
      </c>
    </row>
    <row r="760" spans="2:9">
      <c r="B760" s="555" t="str">
        <f t="shared" si="63"/>
        <v/>
      </c>
      <c r="C760" s="556" t="str">
        <f t="shared" si="64"/>
        <v/>
      </c>
      <c r="D760" s="557" t="str">
        <f t="shared" si="65"/>
        <v/>
      </c>
      <c r="E760" s="560"/>
      <c r="F760" s="559"/>
      <c r="G760" s="559" t="str">
        <f t="shared" si="66"/>
        <v/>
      </c>
      <c r="H760" s="559" t="str">
        <f t="shared" si="67"/>
        <v/>
      </c>
      <c r="I760" s="559" t="str">
        <f t="shared" si="68"/>
        <v/>
      </c>
    </row>
    <row r="761" spans="2:9">
      <c r="B761" s="555" t="str">
        <f t="shared" si="63"/>
        <v/>
      </c>
      <c r="C761" s="556" t="str">
        <f t="shared" si="64"/>
        <v/>
      </c>
      <c r="D761" s="557" t="str">
        <f t="shared" si="65"/>
        <v/>
      </c>
      <c r="E761" s="560"/>
      <c r="F761" s="559"/>
      <c r="G761" s="559" t="str">
        <f t="shared" si="66"/>
        <v/>
      </c>
      <c r="H761" s="559" t="str">
        <f t="shared" si="67"/>
        <v/>
      </c>
      <c r="I761" s="559" t="str">
        <f t="shared" si="68"/>
        <v/>
      </c>
    </row>
    <row r="762" spans="2:9">
      <c r="B762" s="555" t="str">
        <f t="shared" si="63"/>
        <v/>
      </c>
      <c r="C762" s="556" t="str">
        <f t="shared" si="64"/>
        <v/>
      </c>
      <c r="D762" s="557" t="str">
        <f t="shared" si="65"/>
        <v/>
      </c>
      <c r="E762" s="560"/>
      <c r="F762" s="559"/>
      <c r="G762" s="559" t="str">
        <f t="shared" si="66"/>
        <v/>
      </c>
      <c r="H762" s="559" t="str">
        <f t="shared" si="67"/>
        <v/>
      </c>
      <c r="I762" s="559" t="str">
        <f t="shared" si="68"/>
        <v/>
      </c>
    </row>
    <row r="763" spans="2:9">
      <c r="B763" s="555" t="str">
        <f t="shared" si="63"/>
        <v/>
      </c>
      <c r="C763" s="556" t="str">
        <f t="shared" si="64"/>
        <v/>
      </c>
      <c r="D763" s="557" t="str">
        <f t="shared" si="65"/>
        <v/>
      </c>
      <c r="E763" s="560"/>
      <c r="F763" s="559"/>
      <c r="G763" s="559" t="str">
        <f t="shared" si="66"/>
        <v/>
      </c>
      <c r="H763" s="559" t="str">
        <f t="shared" si="67"/>
        <v/>
      </c>
      <c r="I763" s="559" t="str">
        <f t="shared" si="68"/>
        <v/>
      </c>
    </row>
    <row r="764" spans="2:9">
      <c r="B764" s="555" t="str">
        <f t="shared" si="63"/>
        <v/>
      </c>
      <c r="C764" s="556" t="str">
        <f t="shared" si="64"/>
        <v/>
      </c>
      <c r="D764" s="557" t="str">
        <f t="shared" si="65"/>
        <v/>
      </c>
      <c r="E764" s="560"/>
      <c r="F764" s="559"/>
      <c r="G764" s="559" t="str">
        <f t="shared" si="66"/>
        <v/>
      </c>
      <c r="H764" s="559" t="str">
        <f t="shared" si="67"/>
        <v/>
      </c>
      <c r="I764" s="559" t="str">
        <f t="shared" si="68"/>
        <v/>
      </c>
    </row>
    <row r="765" spans="2:9">
      <c r="B765" s="555" t="str">
        <f t="shared" ref="B765:B828" si="69">IF(I764="","",IF(roundOpt,IF(OR(B764&gt;=nper,ROUND(I764,2)&lt;=0),"",B764+1),IF(OR(B764&gt;=nper,I764&lt;=0),"",B764+1)))</f>
        <v/>
      </c>
      <c r="C765" s="556" t="str">
        <f t="shared" ref="C765:C828" si="70">IF(B765="","",IF(OR(periods_per_year=26,periods_per_year=52),IF(periods_per_year=26,IF(B765=1,fpdate,C764+14),IF(periods_per_year=52,IF(B765=1,fpdate,C764+7),"n/a")),IF(periods_per_year=24,DATE(YEAR(fpdate),MONTH(fpdate)+(B765-1)/2+IF(AND(DAY(fpdate)&gt;=15,MOD(B765,2)=0),1,0),IF(MOD(B765,2)=0,IF(DAY(fpdate)&gt;=15,DAY(fpdate)-14,DAY(fpdate)+14),DAY(fpdate))),IF(DAY(DATE(YEAR(fpdate),MONTH(fpdate)+(B765-1)*months_per_period,DAY(fpdate)))&lt;&gt;DAY(fpdate),DATE(YEAR(fpdate),MONTH(fpdate)+(B765-1)*months_per_period+1,0),DATE(YEAR(fpdate),MONTH(fpdate)+(B765-1)*months_per_period,DAY(fpdate))))))</f>
        <v/>
      </c>
      <c r="D765" s="557" t="str">
        <f t="shared" ref="D765:D828" si="71">IF(B765="","",IF(roundOpt,IF(OR(B765=nper,payment&gt;ROUND((1+rate)*I764,2)),ROUND((1+rate)*I764,2),payment),IF(OR(B765=nper,payment&gt;(1+rate)*I764),(1+rate)*I764,payment)))</f>
        <v/>
      </c>
      <c r="E765" s="560"/>
      <c r="F765" s="559"/>
      <c r="G765" s="559" t="str">
        <f t="shared" ref="G765:G828" si="72">IF(B765="","",IF(AND(B765=1,pmtType=1),0,IF(roundOpt,ROUND(rate*I764,2),rate*I764)))</f>
        <v/>
      </c>
      <c r="H765" s="559" t="str">
        <f t="shared" ref="H765:H828" si="73">IF(B765="","",D765-G765+E765)</f>
        <v/>
      </c>
      <c r="I765" s="559" t="str">
        <f t="shared" ref="I765:I828" si="74">IF(B765="","",I764-H765)</f>
        <v/>
      </c>
    </row>
    <row r="766" spans="2:9">
      <c r="B766" s="555" t="str">
        <f t="shared" si="69"/>
        <v/>
      </c>
      <c r="C766" s="556" t="str">
        <f t="shared" si="70"/>
        <v/>
      </c>
      <c r="D766" s="557" t="str">
        <f t="shared" si="71"/>
        <v/>
      </c>
      <c r="E766" s="560"/>
      <c r="F766" s="559"/>
      <c r="G766" s="559" t="str">
        <f t="shared" si="72"/>
        <v/>
      </c>
      <c r="H766" s="559" t="str">
        <f t="shared" si="73"/>
        <v/>
      </c>
      <c r="I766" s="559" t="str">
        <f t="shared" si="74"/>
        <v/>
      </c>
    </row>
    <row r="767" spans="2:9">
      <c r="B767" s="555" t="str">
        <f t="shared" si="69"/>
        <v/>
      </c>
      <c r="C767" s="556" t="str">
        <f t="shared" si="70"/>
        <v/>
      </c>
      <c r="D767" s="557" t="str">
        <f t="shared" si="71"/>
        <v/>
      </c>
      <c r="E767" s="560"/>
      <c r="F767" s="559"/>
      <c r="G767" s="559" t="str">
        <f t="shared" si="72"/>
        <v/>
      </c>
      <c r="H767" s="559" t="str">
        <f t="shared" si="73"/>
        <v/>
      </c>
      <c r="I767" s="559" t="str">
        <f t="shared" si="74"/>
        <v/>
      </c>
    </row>
    <row r="768" spans="2:9">
      <c r="B768" s="555" t="str">
        <f t="shared" si="69"/>
        <v/>
      </c>
      <c r="C768" s="556" t="str">
        <f t="shared" si="70"/>
        <v/>
      </c>
      <c r="D768" s="557" t="str">
        <f t="shared" si="71"/>
        <v/>
      </c>
      <c r="E768" s="560"/>
      <c r="F768" s="559"/>
      <c r="G768" s="559" t="str">
        <f t="shared" si="72"/>
        <v/>
      </c>
      <c r="H768" s="559" t="str">
        <f t="shared" si="73"/>
        <v/>
      </c>
      <c r="I768" s="559" t="str">
        <f t="shared" si="74"/>
        <v/>
      </c>
    </row>
    <row r="769" spans="2:9">
      <c r="B769" s="555" t="str">
        <f t="shared" si="69"/>
        <v/>
      </c>
      <c r="C769" s="556" t="str">
        <f t="shared" si="70"/>
        <v/>
      </c>
      <c r="D769" s="557" t="str">
        <f t="shared" si="71"/>
        <v/>
      </c>
      <c r="E769" s="560"/>
      <c r="F769" s="559"/>
      <c r="G769" s="559" t="str">
        <f t="shared" si="72"/>
        <v/>
      </c>
      <c r="H769" s="559" t="str">
        <f t="shared" si="73"/>
        <v/>
      </c>
      <c r="I769" s="559" t="str">
        <f t="shared" si="74"/>
        <v/>
      </c>
    </row>
    <row r="770" spans="2:9">
      <c r="B770" s="555" t="str">
        <f t="shared" si="69"/>
        <v/>
      </c>
      <c r="C770" s="556" t="str">
        <f t="shared" si="70"/>
        <v/>
      </c>
      <c r="D770" s="557" t="str">
        <f t="shared" si="71"/>
        <v/>
      </c>
      <c r="E770" s="560"/>
      <c r="F770" s="559"/>
      <c r="G770" s="559" t="str">
        <f t="shared" si="72"/>
        <v/>
      </c>
      <c r="H770" s="559" t="str">
        <f t="shared" si="73"/>
        <v/>
      </c>
      <c r="I770" s="559" t="str">
        <f t="shared" si="74"/>
        <v/>
      </c>
    </row>
    <row r="771" spans="2:9">
      <c r="B771" s="555" t="str">
        <f t="shared" si="69"/>
        <v/>
      </c>
      <c r="C771" s="556" t="str">
        <f t="shared" si="70"/>
        <v/>
      </c>
      <c r="D771" s="557" t="str">
        <f t="shared" si="71"/>
        <v/>
      </c>
      <c r="E771" s="560"/>
      <c r="F771" s="559"/>
      <c r="G771" s="559" t="str">
        <f t="shared" si="72"/>
        <v/>
      </c>
      <c r="H771" s="559" t="str">
        <f t="shared" si="73"/>
        <v/>
      </c>
      <c r="I771" s="559" t="str">
        <f t="shared" si="74"/>
        <v/>
      </c>
    </row>
    <row r="772" spans="2:9">
      <c r="B772" s="555" t="str">
        <f t="shared" si="69"/>
        <v/>
      </c>
      <c r="C772" s="556" t="str">
        <f t="shared" si="70"/>
        <v/>
      </c>
      <c r="D772" s="557" t="str">
        <f t="shared" si="71"/>
        <v/>
      </c>
      <c r="E772" s="560"/>
      <c r="F772" s="559"/>
      <c r="G772" s="559" t="str">
        <f t="shared" si="72"/>
        <v/>
      </c>
      <c r="H772" s="559" t="str">
        <f t="shared" si="73"/>
        <v/>
      </c>
      <c r="I772" s="559" t="str">
        <f t="shared" si="74"/>
        <v/>
      </c>
    </row>
    <row r="773" spans="2:9">
      <c r="B773" s="555" t="str">
        <f t="shared" si="69"/>
        <v/>
      </c>
      <c r="C773" s="556" t="str">
        <f t="shared" si="70"/>
        <v/>
      </c>
      <c r="D773" s="557" t="str">
        <f t="shared" si="71"/>
        <v/>
      </c>
      <c r="E773" s="560"/>
      <c r="F773" s="559"/>
      <c r="G773" s="559" t="str">
        <f t="shared" si="72"/>
        <v/>
      </c>
      <c r="H773" s="559" t="str">
        <f t="shared" si="73"/>
        <v/>
      </c>
      <c r="I773" s="559" t="str">
        <f t="shared" si="74"/>
        <v/>
      </c>
    </row>
    <row r="774" spans="2:9">
      <c r="B774" s="555" t="str">
        <f t="shared" si="69"/>
        <v/>
      </c>
      <c r="C774" s="556" t="str">
        <f t="shared" si="70"/>
        <v/>
      </c>
      <c r="D774" s="557" t="str">
        <f t="shared" si="71"/>
        <v/>
      </c>
      <c r="E774" s="560"/>
      <c r="F774" s="559"/>
      <c r="G774" s="559" t="str">
        <f t="shared" si="72"/>
        <v/>
      </c>
      <c r="H774" s="559" t="str">
        <f t="shared" si="73"/>
        <v/>
      </c>
      <c r="I774" s="559" t="str">
        <f t="shared" si="74"/>
        <v/>
      </c>
    </row>
    <row r="775" spans="2:9">
      <c r="B775" s="555" t="str">
        <f t="shared" si="69"/>
        <v/>
      </c>
      <c r="C775" s="556" t="str">
        <f t="shared" si="70"/>
        <v/>
      </c>
      <c r="D775" s="557" t="str">
        <f t="shared" si="71"/>
        <v/>
      </c>
      <c r="E775" s="560"/>
      <c r="F775" s="559"/>
      <c r="G775" s="559" t="str">
        <f t="shared" si="72"/>
        <v/>
      </c>
      <c r="H775" s="559" t="str">
        <f t="shared" si="73"/>
        <v/>
      </c>
      <c r="I775" s="559" t="str">
        <f t="shared" si="74"/>
        <v/>
      </c>
    </row>
    <row r="776" spans="2:9">
      <c r="B776" s="555" t="str">
        <f t="shared" si="69"/>
        <v/>
      </c>
      <c r="C776" s="556" t="str">
        <f t="shared" si="70"/>
        <v/>
      </c>
      <c r="D776" s="557" t="str">
        <f t="shared" si="71"/>
        <v/>
      </c>
      <c r="E776" s="560"/>
      <c r="F776" s="559"/>
      <c r="G776" s="559" t="str">
        <f t="shared" si="72"/>
        <v/>
      </c>
      <c r="H776" s="559" t="str">
        <f t="shared" si="73"/>
        <v/>
      </c>
      <c r="I776" s="559" t="str">
        <f t="shared" si="74"/>
        <v/>
      </c>
    </row>
    <row r="777" spans="2:9">
      <c r="B777" s="555" t="str">
        <f t="shared" si="69"/>
        <v/>
      </c>
      <c r="C777" s="556" t="str">
        <f t="shared" si="70"/>
        <v/>
      </c>
      <c r="D777" s="557" t="str">
        <f t="shared" si="71"/>
        <v/>
      </c>
      <c r="E777" s="560"/>
      <c r="F777" s="559"/>
      <c r="G777" s="559" t="str">
        <f t="shared" si="72"/>
        <v/>
      </c>
      <c r="H777" s="559" t="str">
        <f t="shared" si="73"/>
        <v/>
      </c>
      <c r="I777" s="559" t="str">
        <f t="shared" si="74"/>
        <v/>
      </c>
    </row>
    <row r="778" spans="2:9">
      <c r="B778" s="555" t="str">
        <f t="shared" si="69"/>
        <v/>
      </c>
      <c r="C778" s="556" t="str">
        <f t="shared" si="70"/>
        <v/>
      </c>
      <c r="D778" s="557" t="str">
        <f t="shared" si="71"/>
        <v/>
      </c>
      <c r="E778" s="560"/>
      <c r="F778" s="559"/>
      <c r="G778" s="559" t="str">
        <f t="shared" si="72"/>
        <v/>
      </c>
      <c r="H778" s="559" t="str">
        <f t="shared" si="73"/>
        <v/>
      </c>
      <c r="I778" s="559" t="str">
        <f t="shared" si="74"/>
        <v/>
      </c>
    </row>
    <row r="779" spans="2:9">
      <c r="B779" s="555" t="str">
        <f t="shared" si="69"/>
        <v/>
      </c>
      <c r="C779" s="556" t="str">
        <f t="shared" si="70"/>
        <v/>
      </c>
      <c r="D779" s="557" t="str">
        <f t="shared" si="71"/>
        <v/>
      </c>
      <c r="E779" s="560"/>
      <c r="F779" s="559"/>
      <c r="G779" s="559" t="str">
        <f t="shared" si="72"/>
        <v/>
      </c>
      <c r="H779" s="559" t="str">
        <f t="shared" si="73"/>
        <v/>
      </c>
      <c r="I779" s="559" t="str">
        <f t="shared" si="74"/>
        <v/>
      </c>
    </row>
    <row r="780" spans="2:9">
      <c r="B780" s="555" t="str">
        <f t="shared" si="69"/>
        <v/>
      </c>
      <c r="C780" s="556" t="str">
        <f t="shared" si="70"/>
        <v/>
      </c>
      <c r="D780" s="557" t="str">
        <f t="shared" si="71"/>
        <v/>
      </c>
      <c r="E780" s="560"/>
      <c r="F780" s="559"/>
      <c r="G780" s="559" t="str">
        <f t="shared" si="72"/>
        <v/>
      </c>
      <c r="H780" s="559" t="str">
        <f t="shared" si="73"/>
        <v/>
      </c>
      <c r="I780" s="559" t="str">
        <f t="shared" si="74"/>
        <v/>
      </c>
    </row>
    <row r="781" spans="2:9">
      <c r="B781" s="555" t="str">
        <f t="shared" si="69"/>
        <v/>
      </c>
      <c r="C781" s="556" t="str">
        <f t="shared" si="70"/>
        <v/>
      </c>
      <c r="D781" s="557" t="str">
        <f t="shared" si="71"/>
        <v/>
      </c>
      <c r="E781" s="560"/>
      <c r="F781" s="559"/>
      <c r="G781" s="559" t="str">
        <f t="shared" si="72"/>
        <v/>
      </c>
      <c r="H781" s="559" t="str">
        <f t="shared" si="73"/>
        <v/>
      </c>
      <c r="I781" s="559" t="str">
        <f t="shared" si="74"/>
        <v/>
      </c>
    </row>
    <row r="782" spans="2:9">
      <c r="B782" s="555" t="str">
        <f t="shared" si="69"/>
        <v/>
      </c>
      <c r="C782" s="556" t="str">
        <f t="shared" si="70"/>
        <v/>
      </c>
      <c r="D782" s="557" t="str">
        <f t="shared" si="71"/>
        <v/>
      </c>
      <c r="E782" s="560"/>
      <c r="F782" s="559"/>
      <c r="G782" s="559" t="str">
        <f t="shared" si="72"/>
        <v/>
      </c>
      <c r="H782" s="559" t="str">
        <f t="shared" si="73"/>
        <v/>
      </c>
      <c r="I782" s="559" t="str">
        <f t="shared" si="74"/>
        <v/>
      </c>
    </row>
    <row r="783" spans="2:9">
      <c r="B783" s="555" t="str">
        <f t="shared" si="69"/>
        <v/>
      </c>
      <c r="C783" s="556" t="str">
        <f t="shared" si="70"/>
        <v/>
      </c>
      <c r="D783" s="557" t="str">
        <f t="shared" si="71"/>
        <v/>
      </c>
      <c r="E783" s="560"/>
      <c r="F783" s="559"/>
      <c r="G783" s="559" t="str">
        <f t="shared" si="72"/>
        <v/>
      </c>
      <c r="H783" s="559" t="str">
        <f t="shared" si="73"/>
        <v/>
      </c>
      <c r="I783" s="559" t="str">
        <f t="shared" si="74"/>
        <v/>
      </c>
    </row>
    <row r="784" spans="2:9">
      <c r="B784" s="555" t="str">
        <f t="shared" si="69"/>
        <v/>
      </c>
      <c r="C784" s="556" t="str">
        <f t="shared" si="70"/>
        <v/>
      </c>
      <c r="D784" s="557" t="str">
        <f t="shared" si="71"/>
        <v/>
      </c>
      <c r="E784" s="560"/>
      <c r="F784" s="559"/>
      <c r="G784" s="559" t="str">
        <f t="shared" si="72"/>
        <v/>
      </c>
      <c r="H784" s="559" t="str">
        <f t="shared" si="73"/>
        <v/>
      </c>
      <c r="I784" s="559" t="str">
        <f t="shared" si="74"/>
        <v/>
      </c>
    </row>
    <row r="785" spans="2:9">
      <c r="B785" s="555" t="str">
        <f t="shared" si="69"/>
        <v/>
      </c>
      <c r="C785" s="556" t="str">
        <f t="shared" si="70"/>
        <v/>
      </c>
      <c r="D785" s="557" t="str">
        <f t="shared" si="71"/>
        <v/>
      </c>
      <c r="E785" s="560"/>
      <c r="F785" s="559"/>
      <c r="G785" s="559" t="str">
        <f t="shared" si="72"/>
        <v/>
      </c>
      <c r="H785" s="559" t="str">
        <f t="shared" si="73"/>
        <v/>
      </c>
      <c r="I785" s="559" t="str">
        <f t="shared" si="74"/>
        <v/>
      </c>
    </row>
    <row r="786" spans="2:9">
      <c r="B786" s="555" t="str">
        <f t="shared" si="69"/>
        <v/>
      </c>
      <c r="C786" s="556" t="str">
        <f t="shared" si="70"/>
        <v/>
      </c>
      <c r="D786" s="557" t="str">
        <f t="shared" si="71"/>
        <v/>
      </c>
      <c r="E786" s="560"/>
      <c r="F786" s="559"/>
      <c r="G786" s="559" t="str">
        <f t="shared" si="72"/>
        <v/>
      </c>
      <c r="H786" s="559" t="str">
        <f t="shared" si="73"/>
        <v/>
      </c>
      <c r="I786" s="559" t="str">
        <f t="shared" si="74"/>
        <v/>
      </c>
    </row>
    <row r="787" spans="2:9">
      <c r="B787" s="555" t="str">
        <f t="shared" si="69"/>
        <v/>
      </c>
      <c r="C787" s="556" t="str">
        <f t="shared" si="70"/>
        <v/>
      </c>
      <c r="D787" s="557" t="str">
        <f t="shared" si="71"/>
        <v/>
      </c>
      <c r="E787" s="560"/>
      <c r="F787" s="559"/>
      <c r="G787" s="559" t="str">
        <f t="shared" si="72"/>
        <v/>
      </c>
      <c r="H787" s="559" t="str">
        <f t="shared" si="73"/>
        <v/>
      </c>
      <c r="I787" s="559" t="str">
        <f t="shared" si="74"/>
        <v/>
      </c>
    </row>
    <row r="788" spans="2:9">
      <c r="B788" s="555" t="str">
        <f t="shared" si="69"/>
        <v/>
      </c>
      <c r="C788" s="556" t="str">
        <f t="shared" si="70"/>
        <v/>
      </c>
      <c r="D788" s="557" t="str">
        <f t="shared" si="71"/>
        <v/>
      </c>
      <c r="E788" s="560"/>
      <c r="F788" s="559"/>
      <c r="G788" s="559" t="str">
        <f t="shared" si="72"/>
        <v/>
      </c>
      <c r="H788" s="559" t="str">
        <f t="shared" si="73"/>
        <v/>
      </c>
      <c r="I788" s="559" t="str">
        <f t="shared" si="74"/>
        <v/>
      </c>
    </row>
    <row r="789" spans="2:9">
      <c r="B789" s="555" t="str">
        <f t="shared" si="69"/>
        <v/>
      </c>
      <c r="C789" s="556" t="str">
        <f t="shared" si="70"/>
        <v/>
      </c>
      <c r="D789" s="557" t="str">
        <f t="shared" si="71"/>
        <v/>
      </c>
      <c r="E789" s="560"/>
      <c r="F789" s="559"/>
      <c r="G789" s="559" t="str">
        <f t="shared" si="72"/>
        <v/>
      </c>
      <c r="H789" s="559" t="str">
        <f t="shared" si="73"/>
        <v/>
      </c>
      <c r="I789" s="559" t="str">
        <f t="shared" si="74"/>
        <v/>
      </c>
    </row>
    <row r="790" spans="2:9">
      <c r="B790" s="555" t="str">
        <f t="shared" si="69"/>
        <v/>
      </c>
      <c r="C790" s="556" t="str">
        <f t="shared" si="70"/>
        <v/>
      </c>
      <c r="D790" s="557" t="str">
        <f t="shared" si="71"/>
        <v/>
      </c>
      <c r="E790" s="560"/>
      <c r="F790" s="559"/>
      <c r="G790" s="559" t="str">
        <f t="shared" si="72"/>
        <v/>
      </c>
      <c r="H790" s="559" t="str">
        <f t="shared" si="73"/>
        <v/>
      </c>
      <c r="I790" s="559" t="str">
        <f t="shared" si="74"/>
        <v/>
      </c>
    </row>
    <row r="791" spans="2:9">
      <c r="B791" s="555" t="str">
        <f t="shared" si="69"/>
        <v/>
      </c>
      <c r="C791" s="556" t="str">
        <f t="shared" si="70"/>
        <v/>
      </c>
      <c r="D791" s="557" t="str">
        <f t="shared" si="71"/>
        <v/>
      </c>
      <c r="E791" s="560"/>
      <c r="F791" s="559"/>
      <c r="G791" s="559" t="str">
        <f t="shared" si="72"/>
        <v/>
      </c>
      <c r="H791" s="559" t="str">
        <f t="shared" si="73"/>
        <v/>
      </c>
      <c r="I791" s="559" t="str">
        <f t="shared" si="74"/>
        <v/>
      </c>
    </row>
    <row r="792" spans="2:9">
      <c r="B792" s="555" t="str">
        <f t="shared" si="69"/>
        <v/>
      </c>
      <c r="C792" s="556" t="str">
        <f t="shared" si="70"/>
        <v/>
      </c>
      <c r="D792" s="557" t="str">
        <f t="shared" si="71"/>
        <v/>
      </c>
      <c r="E792" s="560"/>
      <c r="F792" s="559"/>
      <c r="G792" s="559" t="str">
        <f t="shared" si="72"/>
        <v/>
      </c>
      <c r="H792" s="559" t="str">
        <f t="shared" si="73"/>
        <v/>
      </c>
      <c r="I792" s="559" t="str">
        <f t="shared" si="74"/>
        <v/>
      </c>
    </row>
    <row r="793" spans="2:9">
      <c r="B793" s="555" t="str">
        <f t="shared" si="69"/>
        <v/>
      </c>
      <c r="C793" s="556" t="str">
        <f t="shared" si="70"/>
        <v/>
      </c>
      <c r="D793" s="557" t="str">
        <f t="shared" si="71"/>
        <v/>
      </c>
      <c r="E793" s="560"/>
      <c r="F793" s="559"/>
      <c r="G793" s="559" t="str">
        <f t="shared" si="72"/>
        <v/>
      </c>
      <c r="H793" s="559" t="str">
        <f t="shared" si="73"/>
        <v/>
      </c>
      <c r="I793" s="559" t="str">
        <f t="shared" si="74"/>
        <v/>
      </c>
    </row>
    <row r="794" spans="2:9">
      <c r="B794" s="555" t="str">
        <f t="shared" si="69"/>
        <v/>
      </c>
      <c r="C794" s="556" t="str">
        <f t="shared" si="70"/>
        <v/>
      </c>
      <c r="D794" s="557" t="str">
        <f t="shared" si="71"/>
        <v/>
      </c>
      <c r="E794" s="560"/>
      <c r="F794" s="559"/>
      <c r="G794" s="559" t="str">
        <f t="shared" si="72"/>
        <v/>
      </c>
      <c r="H794" s="559" t="str">
        <f t="shared" si="73"/>
        <v/>
      </c>
      <c r="I794" s="559" t="str">
        <f t="shared" si="74"/>
        <v/>
      </c>
    </row>
    <row r="795" spans="2:9">
      <c r="B795" s="555" t="str">
        <f t="shared" si="69"/>
        <v/>
      </c>
      <c r="C795" s="556" t="str">
        <f t="shared" si="70"/>
        <v/>
      </c>
      <c r="D795" s="557" t="str">
        <f t="shared" si="71"/>
        <v/>
      </c>
      <c r="E795" s="560"/>
      <c r="F795" s="559"/>
      <c r="G795" s="559" t="str">
        <f t="shared" si="72"/>
        <v/>
      </c>
      <c r="H795" s="559" t="str">
        <f t="shared" si="73"/>
        <v/>
      </c>
      <c r="I795" s="559" t="str">
        <f t="shared" si="74"/>
        <v/>
      </c>
    </row>
    <row r="796" spans="2:9">
      <c r="B796" s="555" t="str">
        <f t="shared" si="69"/>
        <v/>
      </c>
      <c r="C796" s="556" t="str">
        <f t="shared" si="70"/>
        <v/>
      </c>
      <c r="D796" s="557" t="str">
        <f t="shared" si="71"/>
        <v/>
      </c>
      <c r="E796" s="560"/>
      <c r="F796" s="559"/>
      <c r="G796" s="559" t="str">
        <f t="shared" si="72"/>
        <v/>
      </c>
      <c r="H796" s="559" t="str">
        <f t="shared" si="73"/>
        <v/>
      </c>
      <c r="I796" s="559" t="str">
        <f t="shared" si="74"/>
        <v/>
      </c>
    </row>
    <row r="797" spans="2:9">
      <c r="B797" s="555" t="str">
        <f t="shared" si="69"/>
        <v/>
      </c>
      <c r="C797" s="556" t="str">
        <f t="shared" si="70"/>
        <v/>
      </c>
      <c r="D797" s="557" t="str">
        <f t="shared" si="71"/>
        <v/>
      </c>
      <c r="E797" s="560"/>
      <c r="F797" s="559"/>
      <c r="G797" s="559" t="str">
        <f t="shared" si="72"/>
        <v/>
      </c>
      <c r="H797" s="559" t="str">
        <f t="shared" si="73"/>
        <v/>
      </c>
      <c r="I797" s="559" t="str">
        <f t="shared" si="74"/>
        <v/>
      </c>
    </row>
    <row r="798" spans="2:9">
      <c r="B798" s="555" t="str">
        <f t="shared" si="69"/>
        <v/>
      </c>
      <c r="C798" s="556" t="str">
        <f t="shared" si="70"/>
        <v/>
      </c>
      <c r="D798" s="557" t="str">
        <f t="shared" si="71"/>
        <v/>
      </c>
      <c r="E798" s="560"/>
      <c r="F798" s="559"/>
      <c r="G798" s="559" t="str">
        <f t="shared" si="72"/>
        <v/>
      </c>
      <c r="H798" s="559" t="str">
        <f t="shared" si="73"/>
        <v/>
      </c>
      <c r="I798" s="559" t="str">
        <f t="shared" si="74"/>
        <v/>
      </c>
    </row>
    <row r="799" spans="2:9">
      <c r="B799" s="555" t="str">
        <f t="shared" si="69"/>
        <v/>
      </c>
      <c r="C799" s="556" t="str">
        <f t="shared" si="70"/>
        <v/>
      </c>
      <c r="D799" s="557" t="str">
        <f t="shared" si="71"/>
        <v/>
      </c>
      <c r="E799" s="560"/>
      <c r="F799" s="559"/>
      <c r="G799" s="559" t="str">
        <f t="shared" si="72"/>
        <v/>
      </c>
      <c r="H799" s="559" t="str">
        <f t="shared" si="73"/>
        <v/>
      </c>
      <c r="I799" s="559" t="str">
        <f t="shared" si="74"/>
        <v/>
      </c>
    </row>
    <row r="800" spans="2:9">
      <c r="B800" s="555" t="str">
        <f t="shared" si="69"/>
        <v/>
      </c>
      <c r="C800" s="556" t="str">
        <f t="shared" si="70"/>
        <v/>
      </c>
      <c r="D800" s="557" t="str">
        <f t="shared" si="71"/>
        <v/>
      </c>
      <c r="E800" s="560"/>
      <c r="F800" s="559"/>
      <c r="G800" s="559" t="str">
        <f t="shared" si="72"/>
        <v/>
      </c>
      <c r="H800" s="559" t="str">
        <f t="shared" si="73"/>
        <v/>
      </c>
      <c r="I800" s="559" t="str">
        <f t="shared" si="74"/>
        <v/>
      </c>
    </row>
    <row r="801" spans="2:9">
      <c r="B801" s="555" t="str">
        <f t="shared" si="69"/>
        <v/>
      </c>
      <c r="C801" s="556" t="str">
        <f t="shared" si="70"/>
        <v/>
      </c>
      <c r="D801" s="557" t="str">
        <f t="shared" si="71"/>
        <v/>
      </c>
      <c r="E801" s="560"/>
      <c r="F801" s="559"/>
      <c r="G801" s="559" t="str">
        <f t="shared" si="72"/>
        <v/>
      </c>
      <c r="H801" s="559" t="str">
        <f t="shared" si="73"/>
        <v/>
      </c>
      <c r="I801" s="559" t="str">
        <f t="shared" si="74"/>
        <v/>
      </c>
    </row>
    <row r="802" spans="2:9">
      <c r="B802" s="555" t="str">
        <f t="shared" si="69"/>
        <v/>
      </c>
      <c r="C802" s="556" t="str">
        <f t="shared" si="70"/>
        <v/>
      </c>
      <c r="D802" s="557" t="str">
        <f t="shared" si="71"/>
        <v/>
      </c>
      <c r="E802" s="560"/>
      <c r="F802" s="559"/>
      <c r="G802" s="559" t="str">
        <f t="shared" si="72"/>
        <v/>
      </c>
      <c r="H802" s="559" t="str">
        <f t="shared" si="73"/>
        <v/>
      </c>
      <c r="I802" s="559" t="str">
        <f t="shared" si="74"/>
        <v/>
      </c>
    </row>
    <row r="803" spans="2:9">
      <c r="B803" s="555" t="str">
        <f t="shared" si="69"/>
        <v/>
      </c>
      <c r="C803" s="556" t="str">
        <f t="shared" si="70"/>
        <v/>
      </c>
      <c r="D803" s="557" t="str">
        <f t="shared" si="71"/>
        <v/>
      </c>
      <c r="E803" s="560"/>
      <c r="F803" s="559"/>
      <c r="G803" s="559" t="str">
        <f t="shared" si="72"/>
        <v/>
      </c>
      <c r="H803" s="559" t="str">
        <f t="shared" si="73"/>
        <v/>
      </c>
      <c r="I803" s="559" t="str">
        <f t="shared" si="74"/>
        <v/>
      </c>
    </row>
    <row r="804" spans="2:9">
      <c r="B804" s="555" t="str">
        <f t="shared" si="69"/>
        <v/>
      </c>
      <c r="C804" s="556" t="str">
        <f t="shared" si="70"/>
        <v/>
      </c>
      <c r="D804" s="557" t="str">
        <f t="shared" si="71"/>
        <v/>
      </c>
      <c r="E804" s="560"/>
      <c r="F804" s="559"/>
      <c r="G804" s="559" t="str">
        <f t="shared" si="72"/>
        <v/>
      </c>
      <c r="H804" s="559" t="str">
        <f t="shared" si="73"/>
        <v/>
      </c>
      <c r="I804" s="559" t="str">
        <f t="shared" si="74"/>
        <v/>
      </c>
    </row>
    <row r="805" spans="2:9">
      <c r="B805" s="555" t="str">
        <f t="shared" si="69"/>
        <v/>
      </c>
      <c r="C805" s="556" t="str">
        <f t="shared" si="70"/>
        <v/>
      </c>
      <c r="D805" s="557" t="str">
        <f t="shared" si="71"/>
        <v/>
      </c>
      <c r="E805" s="560"/>
      <c r="F805" s="559"/>
      <c r="G805" s="559" t="str">
        <f t="shared" si="72"/>
        <v/>
      </c>
      <c r="H805" s="559" t="str">
        <f t="shared" si="73"/>
        <v/>
      </c>
      <c r="I805" s="559" t="str">
        <f t="shared" si="74"/>
        <v/>
      </c>
    </row>
    <row r="806" spans="2:9">
      <c r="B806" s="555" t="str">
        <f t="shared" si="69"/>
        <v/>
      </c>
      <c r="C806" s="556" t="str">
        <f t="shared" si="70"/>
        <v/>
      </c>
      <c r="D806" s="557" t="str">
        <f t="shared" si="71"/>
        <v/>
      </c>
      <c r="E806" s="560"/>
      <c r="F806" s="559"/>
      <c r="G806" s="559" t="str">
        <f t="shared" si="72"/>
        <v/>
      </c>
      <c r="H806" s="559" t="str">
        <f t="shared" si="73"/>
        <v/>
      </c>
      <c r="I806" s="559" t="str">
        <f t="shared" si="74"/>
        <v/>
      </c>
    </row>
    <row r="807" spans="2:9">
      <c r="B807" s="555" t="str">
        <f t="shared" si="69"/>
        <v/>
      </c>
      <c r="C807" s="556" t="str">
        <f t="shared" si="70"/>
        <v/>
      </c>
      <c r="D807" s="557" t="str">
        <f t="shared" si="71"/>
        <v/>
      </c>
      <c r="E807" s="560"/>
      <c r="F807" s="559"/>
      <c r="G807" s="559" t="str">
        <f t="shared" si="72"/>
        <v/>
      </c>
      <c r="H807" s="559" t="str">
        <f t="shared" si="73"/>
        <v/>
      </c>
      <c r="I807" s="559" t="str">
        <f t="shared" si="74"/>
        <v/>
      </c>
    </row>
    <row r="808" spans="2:9">
      <c r="B808" s="555" t="str">
        <f t="shared" si="69"/>
        <v/>
      </c>
      <c r="C808" s="556" t="str">
        <f t="shared" si="70"/>
        <v/>
      </c>
      <c r="D808" s="557" t="str">
        <f t="shared" si="71"/>
        <v/>
      </c>
      <c r="E808" s="560"/>
      <c r="F808" s="559"/>
      <c r="G808" s="559" t="str">
        <f t="shared" si="72"/>
        <v/>
      </c>
      <c r="H808" s="559" t="str">
        <f t="shared" si="73"/>
        <v/>
      </c>
      <c r="I808" s="559" t="str">
        <f t="shared" si="74"/>
        <v/>
      </c>
    </row>
    <row r="809" spans="2:9">
      <c r="B809" s="555" t="str">
        <f t="shared" si="69"/>
        <v/>
      </c>
      <c r="C809" s="556" t="str">
        <f t="shared" si="70"/>
        <v/>
      </c>
      <c r="D809" s="557" t="str">
        <f t="shared" si="71"/>
        <v/>
      </c>
      <c r="E809" s="560"/>
      <c r="F809" s="559"/>
      <c r="G809" s="559" t="str">
        <f t="shared" si="72"/>
        <v/>
      </c>
      <c r="H809" s="559" t="str">
        <f t="shared" si="73"/>
        <v/>
      </c>
      <c r="I809" s="559" t="str">
        <f t="shared" si="74"/>
        <v/>
      </c>
    </row>
    <row r="810" spans="2:9">
      <c r="B810" s="555" t="str">
        <f t="shared" si="69"/>
        <v/>
      </c>
      <c r="C810" s="556" t="str">
        <f t="shared" si="70"/>
        <v/>
      </c>
      <c r="D810" s="557" t="str">
        <f t="shared" si="71"/>
        <v/>
      </c>
      <c r="E810" s="560"/>
      <c r="F810" s="559"/>
      <c r="G810" s="559" t="str">
        <f t="shared" si="72"/>
        <v/>
      </c>
      <c r="H810" s="559" t="str">
        <f t="shared" si="73"/>
        <v/>
      </c>
      <c r="I810" s="559" t="str">
        <f t="shared" si="74"/>
        <v/>
      </c>
    </row>
    <row r="811" spans="2:9">
      <c r="B811" s="555" t="str">
        <f t="shared" si="69"/>
        <v/>
      </c>
      <c r="C811" s="556" t="str">
        <f t="shared" si="70"/>
        <v/>
      </c>
      <c r="D811" s="557" t="str">
        <f t="shared" si="71"/>
        <v/>
      </c>
      <c r="E811" s="560"/>
      <c r="F811" s="559"/>
      <c r="G811" s="559" t="str">
        <f t="shared" si="72"/>
        <v/>
      </c>
      <c r="H811" s="559" t="str">
        <f t="shared" si="73"/>
        <v/>
      </c>
      <c r="I811" s="559" t="str">
        <f t="shared" si="74"/>
        <v/>
      </c>
    </row>
    <row r="812" spans="2:9">
      <c r="B812" s="555" t="str">
        <f t="shared" si="69"/>
        <v/>
      </c>
      <c r="C812" s="556" t="str">
        <f t="shared" si="70"/>
        <v/>
      </c>
      <c r="D812" s="557" t="str">
        <f t="shared" si="71"/>
        <v/>
      </c>
      <c r="E812" s="560"/>
      <c r="F812" s="559"/>
      <c r="G812" s="559" t="str">
        <f t="shared" si="72"/>
        <v/>
      </c>
      <c r="H812" s="559" t="str">
        <f t="shared" si="73"/>
        <v/>
      </c>
      <c r="I812" s="559" t="str">
        <f t="shared" si="74"/>
        <v/>
      </c>
    </row>
    <row r="813" spans="2:9">
      <c r="B813" s="555" t="str">
        <f t="shared" si="69"/>
        <v/>
      </c>
      <c r="C813" s="556" t="str">
        <f t="shared" si="70"/>
        <v/>
      </c>
      <c r="D813" s="557" t="str">
        <f t="shared" si="71"/>
        <v/>
      </c>
      <c r="E813" s="560"/>
      <c r="F813" s="559"/>
      <c r="G813" s="559" t="str">
        <f t="shared" si="72"/>
        <v/>
      </c>
      <c r="H813" s="559" t="str">
        <f t="shared" si="73"/>
        <v/>
      </c>
      <c r="I813" s="559" t="str">
        <f t="shared" si="74"/>
        <v/>
      </c>
    </row>
    <row r="814" spans="2:9">
      <c r="B814" s="555" t="str">
        <f t="shared" si="69"/>
        <v/>
      </c>
      <c r="C814" s="556" t="str">
        <f t="shared" si="70"/>
        <v/>
      </c>
      <c r="D814" s="557" t="str">
        <f t="shared" si="71"/>
        <v/>
      </c>
      <c r="E814" s="560"/>
      <c r="F814" s="559"/>
      <c r="G814" s="559" t="str">
        <f t="shared" si="72"/>
        <v/>
      </c>
      <c r="H814" s="559" t="str">
        <f t="shared" si="73"/>
        <v/>
      </c>
      <c r="I814" s="559" t="str">
        <f t="shared" si="74"/>
        <v/>
      </c>
    </row>
    <row r="815" spans="2:9">
      <c r="B815" s="555" t="str">
        <f t="shared" si="69"/>
        <v/>
      </c>
      <c r="C815" s="556" t="str">
        <f t="shared" si="70"/>
        <v/>
      </c>
      <c r="D815" s="557" t="str">
        <f t="shared" si="71"/>
        <v/>
      </c>
      <c r="E815" s="560"/>
      <c r="F815" s="559"/>
      <c r="G815" s="559" t="str">
        <f t="shared" si="72"/>
        <v/>
      </c>
      <c r="H815" s="559" t="str">
        <f t="shared" si="73"/>
        <v/>
      </c>
      <c r="I815" s="559" t="str">
        <f t="shared" si="74"/>
        <v/>
      </c>
    </row>
    <row r="816" spans="2:9">
      <c r="B816" s="555" t="str">
        <f t="shared" si="69"/>
        <v/>
      </c>
      <c r="C816" s="556" t="str">
        <f t="shared" si="70"/>
        <v/>
      </c>
      <c r="D816" s="557" t="str">
        <f t="shared" si="71"/>
        <v/>
      </c>
      <c r="E816" s="560"/>
      <c r="F816" s="559"/>
      <c r="G816" s="559" t="str">
        <f t="shared" si="72"/>
        <v/>
      </c>
      <c r="H816" s="559" t="str">
        <f t="shared" si="73"/>
        <v/>
      </c>
      <c r="I816" s="559" t="str">
        <f t="shared" si="74"/>
        <v/>
      </c>
    </row>
    <row r="817" spans="2:9">
      <c r="B817" s="555" t="str">
        <f t="shared" si="69"/>
        <v/>
      </c>
      <c r="C817" s="556" t="str">
        <f t="shared" si="70"/>
        <v/>
      </c>
      <c r="D817" s="557" t="str">
        <f t="shared" si="71"/>
        <v/>
      </c>
      <c r="E817" s="560"/>
      <c r="F817" s="559"/>
      <c r="G817" s="559" t="str">
        <f t="shared" si="72"/>
        <v/>
      </c>
      <c r="H817" s="559" t="str">
        <f t="shared" si="73"/>
        <v/>
      </c>
      <c r="I817" s="559" t="str">
        <f t="shared" si="74"/>
        <v/>
      </c>
    </row>
    <row r="818" spans="2:9">
      <c r="B818" s="555" t="str">
        <f t="shared" si="69"/>
        <v/>
      </c>
      <c r="C818" s="556" t="str">
        <f t="shared" si="70"/>
        <v/>
      </c>
      <c r="D818" s="557" t="str">
        <f t="shared" si="71"/>
        <v/>
      </c>
      <c r="E818" s="560"/>
      <c r="F818" s="559"/>
      <c r="G818" s="559" t="str">
        <f t="shared" si="72"/>
        <v/>
      </c>
      <c r="H818" s="559" t="str">
        <f t="shared" si="73"/>
        <v/>
      </c>
      <c r="I818" s="559" t="str">
        <f t="shared" si="74"/>
        <v/>
      </c>
    </row>
    <row r="819" spans="2:9">
      <c r="B819" s="555" t="str">
        <f t="shared" si="69"/>
        <v/>
      </c>
      <c r="C819" s="556" t="str">
        <f t="shared" si="70"/>
        <v/>
      </c>
      <c r="D819" s="557" t="str">
        <f t="shared" si="71"/>
        <v/>
      </c>
      <c r="E819" s="560"/>
      <c r="F819" s="559"/>
      <c r="G819" s="559" t="str">
        <f t="shared" si="72"/>
        <v/>
      </c>
      <c r="H819" s="559" t="str">
        <f t="shared" si="73"/>
        <v/>
      </c>
      <c r="I819" s="559" t="str">
        <f t="shared" si="74"/>
        <v/>
      </c>
    </row>
    <row r="820" spans="2:9">
      <c r="B820" s="555" t="str">
        <f t="shared" si="69"/>
        <v/>
      </c>
      <c r="C820" s="556" t="str">
        <f t="shared" si="70"/>
        <v/>
      </c>
      <c r="D820" s="557" t="str">
        <f t="shared" si="71"/>
        <v/>
      </c>
      <c r="E820" s="560"/>
      <c r="F820" s="559"/>
      <c r="G820" s="559" t="str">
        <f t="shared" si="72"/>
        <v/>
      </c>
      <c r="H820" s="559" t="str">
        <f t="shared" si="73"/>
        <v/>
      </c>
      <c r="I820" s="559" t="str">
        <f t="shared" si="74"/>
        <v/>
      </c>
    </row>
    <row r="821" spans="2:9">
      <c r="B821" s="555" t="str">
        <f t="shared" si="69"/>
        <v/>
      </c>
      <c r="C821" s="556" t="str">
        <f t="shared" si="70"/>
        <v/>
      </c>
      <c r="D821" s="557" t="str">
        <f t="shared" si="71"/>
        <v/>
      </c>
      <c r="E821" s="560"/>
      <c r="F821" s="559"/>
      <c r="G821" s="559" t="str">
        <f t="shared" si="72"/>
        <v/>
      </c>
      <c r="H821" s="559" t="str">
        <f t="shared" si="73"/>
        <v/>
      </c>
      <c r="I821" s="559" t="str">
        <f t="shared" si="74"/>
        <v/>
      </c>
    </row>
    <row r="822" spans="2:9">
      <c r="B822" s="555" t="str">
        <f t="shared" si="69"/>
        <v/>
      </c>
      <c r="C822" s="556" t="str">
        <f t="shared" si="70"/>
        <v/>
      </c>
      <c r="D822" s="557" t="str">
        <f t="shared" si="71"/>
        <v/>
      </c>
      <c r="E822" s="560"/>
      <c r="F822" s="559"/>
      <c r="G822" s="559" t="str">
        <f t="shared" si="72"/>
        <v/>
      </c>
      <c r="H822" s="559" t="str">
        <f t="shared" si="73"/>
        <v/>
      </c>
      <c r="I822" s="559" t="str">
        <f t="shared" si="74"/>
        <v/>
      </c>
    </row>
    <row r="823" spans="2:9">
      <c r="B823" s="555" t="str">
        <f t="shared" si="69"/>
        <v/>
      </c>
      <c r="C823" s="556" t="str">
        <f t="shared" si="70"/>
        <v/>
      </c>
      <c r="D823" s="557" t="str">
        <f t="shared" si="71"/>
        <v/>
      </c>
      <c r="E823" s="560"/>
      <c r="F823" s="559"/>
      <c r="G823" s="559" t="str">
        <f t="shared" si="72"/>
        <v/>
      </c>
      <c r="H823" s="559" t="str">
        <f t="shared" si="73"/>
        <v/>
      </c>
      <c r="I823" s="559" t="str">
        <f t="shared" si="74"/>
        <v/>
      </c>
    </row>
    <row r="824" spans="2:9">
      <c r="B824" s="555" t="str">
        <f t="shared" si="69"/>
        <v/>
      </c>
      <c r="C824" s="556" t="str">
        <f t="shared" si="70"/>
        <v/>
      </c>
      <c r="D824" s="557" t="str">
        <f t="shared" si="71"/>
        <v/>
      </c>
      <c r="E824" s="560"/>
      <c r="F824" s="559"/>
      <c r="G824" s="559" t="str">
        <f t="shared" si="72"/>
        <v/>
      </c>
      <c r="H824" s="559" t="str">
        <f t="shared" si="73"/>
        <v/>
      </c>
      <c r="I824" s="559" t="str">
        <f t="shared" si="74"/>
        <v/>
      </c>
    </row>
    <row r="825" spans="2:9">
      <c r="B825" s="555" t="str">
        <f t="shared" si="69"/>
        <v/>
      </c>
      <c r="C825" s="556" t="str">
        <f t="shared" si="70"/>
        <v/>
      </c>
      <c r="D825" s="557" t="str">
        <f t="shared" si="71"/>
        <v/>
      </c>
      <c r="E825" s="560"/>
      <c r="F825" s="559"/>
      <c r="G825" s="559" t="str">
        <f t="shared" si="72"/>
        <v/>
      </c>
      <c r="H825" s="559" t="str">
        <f t="shared" si="73"/>
        <v/>
      </c>
      <c r="I825" s="559" t="str">
        <f t="shared" si="74"/>
        <v/>
      </c>
    </row>
    <row r="826" spans="2:9">
      <c r="B826" s="555" t="str">
        <f t="shared" si="69"/>
        <v/>
      </c>
      <c r="C826" s="556" t="str">
        <f t="shared" si="70"/>
        <v/>
      </c>
      <c r="D826" s="557" t="str">
        <f t="shared" si="71"/>
        <v/>
      </c>
      <c r="E826" s="560"/>
      <c r="F826" s="559"/>
      <c r="G826" s="559" t="str">
        <f t="shared" si="72"/>
        <v/>
      </c>
      <c r="H826" s="559" t="str">
        <f t="shared" si="73"/>
        <v/>
      </c>
      <c r="I826" s="559" t="str">
        <f t="shared" si="74"/>
        <v/>
      </c>
    </row>
    <row r="827" spans="2:9">
      <c r="B827" s="555" t="str">
        <f t="shared" si="69"/>
        <v/>
      </c>
      <c r="C827" s="556" t="str">
        <f t="shared" si="70"/>
        <v/>
      </c>
      <c r="D827" s="557" t="str">
        <f t="shared" si="71"/>
        <v/>
      </c>
      <c r="E827" s="560"/>
      <c r="F827" s="559"/>
      <c r="G827" s="559" t="str">
        <f t="shared" si="72"/>
        <v/>
      </c>
      <c r="H827" s="559" t="str">
        <f t="shared" si="73"/>
        <v/>
      </c>
      <c r="I827" s="559" t="str">
        <f t="shared" si="74"/>
        <v/>
      </c>
    </row>
    <row r="828" spans="2:9">
      <c r="B828" s="555" t="str">
        <f t="shared" si="69"/>
        <v/>
      </c>
      <c r="C828" s="556" t="str">
        <f t="shared" si="70"/>
        <v/>
      </c>
      <c r="D828" s="557" t="str">
        <f t="shared" si="71"/>
        <v/>
      </c>
      <c r="E828" s="560"/>
      <c r="F828" s="559"/>
      <c r="G828" s="559" t="str">
        <f t="shared" si="72"/>
        <v/>
      </c>
      <c r="H828" s="559" t="str">
        <f t="shared" si="73"/>
        <v/>
      </c>
      <c r="I828" s="559" t="str">
        <f t="shared" si="74"/>
        <v/>
      </c>
    </row>
    <row r="829" spans="2:9">
      <c r="B829" s="555" t="str">
        <f t="shared" ref="B829:B840" si="75">IF(I828="","",IF(roundOpt,IF(OR(B828&gt;=nper,ROUND(I828,2)&lt;=0),"",B828+1),IF(OR(B828&gt;=nper,I828&lt;=0),"",B828+1)))</f>
        <v/>
      </c>
      <c r="C829" s="556" t="str">
        <f t="shared" ref="C829:C840" si="76">IF(B829="","",IF(OR(periods_per_year=26,periods_per_year=52),IF(periods_per_year=26,IF(B829=1,fpdate,C828+14),IF(periods_per_year=52,IF(B829=1,fpdate,C828+7),"n/a")),IF(periods_per_year=24,DATE(YEAR(fpdate),MONTH(fpdate)+(B829-1)/2+IF(AND(DAY(fpdate)&gt;=15,MOD(B829,2)=0),1,0),IF(MOD(B829,2)=0,IF(DAY(fpdate)&gt;=15,DAY(fpdate)-14,DAY(fpdate)+14),DAY(fpdate))),IF(DAY(DATE(YEAR(fpdate),MONTH(fpdate)+(B829-1)*months_per_period,DAY(fpdate)))&lt;&gt;DAY(fpdate),DATE(YEAR(fpdate),MONTH(fpdate)+(B829-1)*months_per_period+1,0),DATE(YEAR(fpdate),MONTH(fpdate)+(B829-1)*months_per_period,DAY(fpdate))))))</f>
        <v/>
      </c>
      <c r="D829" s="557" t="str">
        <f t="shared" ref="D829:D840" si="77">IF(B829="","",IF(roundOpt,IF(OR(B829=nper,payment&gt;ROUND((1+rate)*I828,2)),ROUND((1+rate)*I828,2),payment),IF(OR(B829=nper,payment&gt;(1+rate)*I828),(1+rate)*I828,payment)))</f>
        <v/>
      </c>
      <c r="E829" s="560"/>
      <c r="F829" s="559"/>
      <c r="G829" s="559" t="str">
        <f t="shared" ref="G829:G840" si="78">IF(B829="","",IF(AND(B829=1,pmtType=1),0,IF(roundOpt,ROUND(rate*I828,2),rate*I828)))</f>
        <v/>
      </c>
      <c r="H829" s="559" t="str">
        <f t="shared" ref="H829:H840" si="79">IF(B829="","",D829-G829+E829)</f>
        <v/>
      </c>
      <c r="I829" s="559" t="str">
        <f t="shared" ref="I829:I840" si="80">IF(B829="","",I828-H829)</f>
        <v/>
      </c>
    </row>
    <row r="830" spans="2:9">
      <c r="B830" s="555" t="str">
        <f t="shared" si="75"/>
        <v/>
      </c>
      <c r="C830" s="556" t="str">
        <f t="shared" si="76"/>
        <v/>
      </c>
      <c r="D830" s="557" t="str">
        <f t="shared" si="77"/>
        <v/>
      </c>
      <c r="E830" s="560"/>
      <c r="F830" s="559"/>
      <c r="G830" s="559" t="str">
        <f t="shared" si="78"/>
        <v/>
      </c>
      <c r="H830" s="559" t="str">
        <f t="shared" si="79"/>
        <v/>
      </c>
      <c r="I830" s="559" t="str">
        <f t="shared" si="80"/>
        <v/>
      </c>
    </row>
    <row r="831" spans="2:9">
      <c r="B831" s="555" t="str">
        <f t="shared" si="75"/>
        <v/>
      </c>
      <c r="C831" s="556" t="str">
        <f t="shared" si="76"/>
        <v/>
      </c>
      <c r="D831" s="557" t="str">
        <f t="shared" si="77"/>
        <v/>
      </c>
      <c r="E831" s="560"/>
      <c r="F831" s="559"/>
      <c r="G831" s="559" t="str">
        <f t="shared" si="78"/>
        <v/>
      </c>
      <c r="H831" s="559" t="str">
        <f t="shared" si="79"/>
        <v/>
      </c>
      <c r="I831" s="559" t="str">
        <f t="shared" si="80"/>
        <v/>
      </c>
    </row>
    <row r="832" spans="2:9">
      <c r="B832" s="555" t="str">
        <f t="shared" si="75"/>
        <v/>
      </c>
      <c r="C832" s="556" t="str">
        <f t="shared" si="76"/>
        <v/>
      </c>
      <c r="D832" s="557" t="str">
        <f t="shared" si="77"/>
        <v/>
      </c>
      <c r="E832" s="560"/>
      <c r="F832" s="559"/>
      <c r="G832" s="559" t="str">
        <f t="shared" si="78"/>
        <v/>
      </c>
      <c r="H832" s="559" t="str">
        <f t="shared" si="79"/>
        <v/>
      </c>
      <c r="I832" s="559" t="str">
        <f t="shared" si="80"/>
        <v/>
      </c>
    </row>
    <row r="833" spans="2:9">
      <c r="B833" s="555" t="str">
        <f t="shared" si="75"/>
        <v/>
      </c>
      <c r="C833" s="556" t="str">
        <f t="shared" si="76"/>
        <v/>
      </c>
      <c r="D833" s="557" t="str">
        <f t="shared" si="77"/>
        <v/>
      </c>
      <c r="E833" s="560"/>
      <c r="F833" s="559"/>
      <c r="G833" s="559" t="str">
        <f t="shared" si="78"/>
        <v/>
      </c>
      <c r="H833" s="559" t="str">
        <f t="shared" si="79"/>
        <v/>
      </c>
      <c r="I833" s="559" t="str">
        <f t="shared" si="80"/>
        <v/>
      </c>
    </row>
    <row r="834" spans="2:9">
      <c r="B834" s="555" t="str">
        <f t="shared" si="75"/>
        <v/>
      </c>
      <c r="C834" s="556" t="str">
        <f t="shared" si="76"/>
        <v/>
      </c>
      <c r="D834" s="557" t="str">
        <f t="shared" si="77"/>
        <v/>
      </c>
      <c r="E834" s="560"/>
      <c r="F834" s="559"/>
      <c r="G834" s="559" t="str">
        <f t="shared" si="78"/>
        <v/>
      </c>
      <c r="H834" s="559" t="str">
        <f t="shared" si="79"/>
        <v/>
      </c>
      <c r="I834" s="559" t="str">
        <f t="shared" si="80"/>
        <v/>
      </c>
    </row>
    <row r="835" spans="2:9">
      <c r="B835" s="555" t="str">
        <f t="shared" si="75"/>
        <v/>
      </c>
      <c r="C835" s="556" t="str">
        <f t="shared" si="76"/>
        <v/>
      </c>
      <c r="D835" s="557" t="str">
        <f t="shared" si="77"/>
        <v/>
      </c>
      <c r="E835" s="560"/>
      <c r="F835" s="559"/>
      <c r="G835" s="559" t="str">
        <f t="shared" si="78"/>
        <v/>
      </c>
      <c r="H835" s="559" t="str">
        <f t="shared" si="79"/>
        <v/>
      </c>
      <c r="I835" s="559" t="str">
        <f t="shared" si="80"/>
        <v/>
      </c>
    </row>
    <row r="836" spans="2:9">
      <c r="B836" s="555" t="str">
        <f t="shared" si="75"/>
        <v/>
      </c>
      <c r="C836" s="556" t="str">
        <f t="shared" si="76"/>
        <v/>
      </c>
      <c r="D836" s="557" t="str">
        <f t="shared" si="77"/>
        <v/>
      </c>
      <c r="E836" s="560"/>
      <c r="F836" s="559"/>
      <c r="G836" s="559" t="str">
        <f t="shared" si="78"/>
        <v/>
      </c>
      <c r="H836" s="559" t="str">
        <f t="shared" si="79"/>
        <v/>
      </c>
      <c r="I836" s="559" t="str">
        <f t="shared" si="80"/>
        <v/>
      </c>
    </row>
    <row r="837" spans="2:9">
      <c r="B837" s="555" t="str">
        <f t="shared" si="75"/>
        <v/>
      </c>
      <c r="C837" s="556" t="str">
        <f t="shared" si="76"/>
        <v/>
      </c>
      <c r="D837" s="557" t="str">
        <f t="shared" si="77"/>
        <v/>
      </c>
      <c r="E837" s="560"/>
      <c r="F837" s="559"/>
      <c r="G837" s="559" t="str">
        <f t="shared" si="78"/>
        <v/>
      </c>
      <c r="H837" s="559" t="str">
        <f t="shared" si="79"/>
        <v/>
      </c>
      <c r="I837" s="559" t="str">
        <f t="shared" si="80"/>
        <v/>
      </c>
    </row>
    <row r="838" spans="2:9">
      <c r="B838" s="555" t="str">
        <f t="shared" si="75"/>
        <v/>
      </c>
      <c r="C838" s="556" t="str">
        <f t="shared" si="76"/>
        <v/>
      </c>
      <c r="D838" s="557" t="str">
        <f t="shared" si="77"/>
        <v/>
      </c>
      <c r="E838" s="560"/>
      <c r="F838" s="559"/>
      <c r="G838" s="559" t="str">
        <f t="shared" si="78"/>
        <v/>
      </c>
      <c r="H838" s="559" t="str">
        <f t="shared" si="79"/>
        <v/>
      </c>
      <c r="I838" s="559" t="str">
        <f t="shared" si="80"/>
        <v/>
      </c>
    </row>
    <row r="839" spans="2:9">
      <c r="B839" s="555" t="str">
        <f t="shared" si="75"/>
        <v/>
      </c>
      <c r="C839" s="556" t="str">
        <f t="shared" si="76"/>
        <v/>
      </c>
      <c r="D839" s="557" t="str">
        <f t="shared" si="77"/>
        <v/>
      </c>
      <c r="E839" s="560"/>
      <c r="F839" s="559"/>
      <c r="G839" s="559" t="str">
        <f t="shared" si="78"/>
        <v/>
      </c>
      <c r="H839" s="559" t="str">
        <f t="shared" si="79"/>
        <v/>
      </c>
      <c r="I839" s="559" t="str">
        <f t="shared" si="80"/>
        <v/>
      </c>
    </row>
    <row r="840" spans="2:9">
      <c r="B840" s="555" t="str">
        <f t="shared" si="75"/>
        <v/>
      </c>
      <c r="C840" s="556" t="str">
        <f t="shared" si="76"/>
        <v/>
      </c>
      <c r="D840" s="557" t="str">
        <f t="shared" si="77"/>
        <v/>
      </c>
      <c r="E840" s="563"/>
      <c r="F840" s="559"/>
      <c r="G840" s="559" t="str">
        <f t="shared" si="78"/>
        <v/>
      </c>
      <c r="H840" s="559" t="str">
        <f t="shared" si="79"/>
        <v/>
      </c>
      <c r="I840" s="559" t="str">
        <f t="shared" si="80"/>
        <v/>
      </c>
    </row>
    <row r="841" spans="2:9">
      <c r="B841" s="564"/>
      <c r="C841" s="565"/>
      <c r="D841" s="565"/>
      <c r="E841" s="565" t="s">
        <v>712</v>
      </c>
      <c r="F841" s="565"/>
      <c r="G841" s="564"/>
      <c r="H841" s="564"/>
      <c r="I841" s="564"/>
    </row>
  </sheetData>
  <sheetProtection algorithmName="SHA-512" hashValue="4a6HwNbkVUigkAZu1wbTMQBOL5fvU5J9RXE/G055oKp+aGSRrzxyW1K3M7KOla8jGvdGnW3sTLcM1yYCujvI3g==" saltValue="9P6iuNwA86fwEaH55lCZwg==" spinCount="100000" sheet="1" formatCells="0" formatColumns="0" formatRows="0"/>
  <conditionalFormatting sqref="B61:I840">
    <cfRule type="expression" dxfId="19" priority="1" stopIfTrue="1">
      <formula>MOD($B61,periods_per_year)=0</formula>
    </cfRule>
  </conditionalFormatting>
  <conditionalFormatting sqref="E11">
    <cfRule type="expression" dxfId="18" priority="2" stopIfTrue="1">
      <formula>compound_period&gt;periods_per_year</formula>
    </cfRule>
  </conditionalFormatting>
  <dataValidations count="3">
    <dataValidation type="list" showInputMessage="1" showErrorMessage="1" sqref="E10:E11">
      <formula1>$J$6:$J$13</formula1>
    </dataValidation>
    <dataValidation type="list" showInputMessage="1" showErrorMessage="1" sqref="E13">
      <formula1>"On,Off"</formula1>
    </dataValidation>
    <dataValidation type="list" showInputMessage="1" showErrorMessage="1" sqref="E12">
      <formula1>"End of Period, Beginning of Period"</formula1>
    </dataValidation>
  </dataValidations>
  <printOptions horizontalCentered="1" headings="1" gridLines="1"/>
  <pageMargins left="0.5" right="0.5" top="0.85" bottom="0.5" header="0.5" footer="0.5"/>
  <pageSetup scale="52" fitToHeight="0" orientation="portrait" cellComments="asDisplayed" r:id="rId1"/>
  <headerFooter>
    <oddHeader>&amp;L&amp;F&amp;RPage &amp;P of &amp;N</oddHeader>
    <oddFooter>&amp;L&amp;A&amp;R&amp;D &amp;T</oddFooter>
    <firstFooter>&amp;R&amp;8Page &amp;P of &amp;N</firstFooter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1"/>
  <sheetViews>
    <sheetView view="pageBreakPreview" zoomScaleSheetLayoutView="100" workbookViewId="0"/>
  </sheetViews>
  <sheetFormatPr defaultColWidth="8.85546875" defaultRowHeight="15"/>
  <cols>
    <col min="1" max="1" width="17.140625" style="573" customWidth="1"/>
    <col min="2" max="3" width="16.5703125" style="573" customWidth="1"/>
    <col min="4" max="4" width="14.5703125" style="573" customWidth="1"/>
    <col min="5" max="5" width="16.5703125" style="573" customWidth="1"/>
    <col min="6" max="6" width="12.7109375" style="573" customWidth="1"/>
    <col min="7" max="7" width="16.5703125" style="573" customWidth="1"/>
    <col min="8" max="16384" width="8.85546875" style="573"/>
  </cols>
  <sheetData>
    <row r="1" spans="1:6" ht="15.75">
      <c r="A1" s="570" t="s">
        <v>717</v>
      </c>
      <c r="B1" s="570"/>
      <c r="C1" s="570"/>
      <c r="D1" s="570"/>
      <c r="E1" s="571"/>
      <c r="F1" s="572"/>
    </row>
    <row r="2" spans="1:6" ht="15.75">
      <c r="A2" s="574" t="s">
        <v>39</v>
      </c>
      <c r="B2" s="575">
        <f>Dashboard!E28</f>
        <v>12000000</v>
      </c>
      <c r="C2" s="576"/>
      <c r="D2" s="576"/>
      <c r="E2" s="576"/>
      <c r="F2" s="572"/>
    </row>
    <row r="3" spans="1:6" ht="15.75">
      <c r="A3" s="574" t="s">
        <v>40</v>
      </c>
      <c r="B3" s="577">
        <f>Dashboard!F7</f>
        <v>3.2500000000000001E-2</v>
      </c>
      <c r="C3" s="571"/>
      <c r="D3" s="571"/>
      <c r="E3" s="571"/>
      <c r="F3" s="572"/>
    </row>
    <row r="4" spans="1:6" ht="15.75">
      <c r="A4" s="574" t="s">
        <v>41</v>
      </c>
      <c r="B4" s="575">
        <f>Dashboard!E31</f>
        <v>0</v>
      </c>
      <c r="C4" s="578"/>
      <c r="D4" s="571"/>
      <c r="E4" s="571"/>
      <c r="F4" s="572"/>
    </row>
    <row r="5" spans="1:6" ht="15.75">
      <c r="A5" s="579" t="s">
        <v>42</v>
      </c>
      <c r="B5" s="579" t="s">
        <v>43</v>
      </c>
      <c r="C5" s="579" t="s">
        <v>44</v>
      </c>
      <c r="D5" s="580" t="s">
        <v>45</v>
      </c>
      <c r="E5" s="580" t="s">
        <v>46</v>
      </c>
      <c r="F5" s="581" t="s">
        <v>47</v>
      </c>
    </row>
    <row r="6" spans="1:6" ht="15.75">
      <c r="A6" s="581">
        <v>1</v>
      </c>
      <c r="B6" s="582">
        <f>B2</f>
        <v>12000000</v>
      </c>
      <c r="C6" s="582"/>
      <c r="D6" s="582">
        <f>+B6*$B$3*0.5</f>
        <v>195000</v>
      </c>
      <c r="E6" s="583"/>
      <c r="F6" s="584">
        <f>Dashboard!E7</f>
        <v>2024</v>
      </c>
    </row>
    <row r="7" spans="1:6" ht="15.75">
      <c r="A7" s="581"/>
      <c r="B7" s="571">
        <f t="shared" ref="B7:B67" si="0">B6-C6</f>
        <v>12000000</v>
      </c>
      <c r="C7" s="571" t="e">
        <f>+B6/$B$4</f>
        <v>#DIV/0!</v>
      </c>
      <c r="D7" s="571">
        <f>+D6</f>
        <v>195000</v>
      </c>
      <c r="E7" s="571" t="e">
        <f>SUM(C6:D7)</f>
        <v>#DIV/0!</v>
      </c>
      <c r="F7" s="585">
        <f>+F6</f>
        <v>2024</v>
      </c>
    </row>
    <row r="8" spans="1:6" ht="15.75">
      <c r="A8" s="581">
        <v>2</v>
      </c>
      <c r="B8" s="582" t="e">
        <f>B7-C7</f>
        <v>#DIV/0!</v>
      </c>
      <c r="C8" s="582"/>
      <c r="D8" s="582" t="e">
        <f>+B8*$B$3*0.5</f>
        <v>#DIV/0!</v>
      </c>
      <c r="E8" s="583"/>
      <c r="F8" s="586">
        <f>+F6+1</f>
        <v>2025</v>
      </c>
    </row>
    <row r="9" spans="1:6" ht="15.75">
      <c r="A9" s="581"/>
      <c r="B9" s="571" t="e">
        <f>B8-C8</f>
        <v>#DIV/0!</v>
      </c>
      <c r="C9" s="571" t="e">
        <f>+C7</f>
        <v>#DIV/0!</v>
      </c>
      <c r="D9" s="571" t="e">
        <f>+D8</f>
        <v>#DIV/0!</v>
      </c>
      <c r="E9" s="571">
        <f>IF($B$4&gt;1,SUM(C8:D9),0)</f>
        <v>0</v>
      </c>
      <c r="F9" s="585">
        <f>+F8</f>
        <v>2025</v>
      </c>
    </row>
    <row r="10" spans="1:6" ht="15.75">
      <c r="A10" s="581">
        <v>3</v>
      </c>
      <c r="B10" s="582" t="e">
        <f t="shared" si="0"/>
        <v>#DIV/0!</v>
      </c>
      <c r="C10" s="582"/>
      <c r="D10" s="582" t="e">
        <f>+B10*$B$3*0.5</f>
        <v>#DIV/0!</v>
      </c>
      <c r="E10" s="583"/>
      <c r="F10" s="586">
        <f>+F8+1</f>
        <v>2026</v>
      </c>
    </row>
    <row r="11" spans="1:6" ht="15.75">
      <c r="A11" s="581"/>
      <c r="B11" s="571" t="e">
        <f t="shared" si="0"/>
        <v>#DIV/0!</v>
      </c>
      <c r="C11" s="571" t="e">
        <f>+C9</f>
        <v>#DIV/0!</v>
      </c>
      <c r="D11" s="571" t="e">
        <f>+D10</f>
        <v>#DIV/0!</v>
      </c>
      <c r="E11" s="571">
        <f>IF($B$4&gt;2,SUM(C10:D11),0)</f>
        <v>0</v>
      </c>
      <c r="F11" s="585">
        <f>+F10</f>
        <v>2026</v>
      </c>
    </row>
    <row r="12" spans="1:6" ht="15.75">
      <c r="A12" s="581">
        <v>4</v>
      </c>
      <c r="B12" s="582" t="e">
        <f t="shared" si="0"/>
        <v>#DIV/0!</v>
      </c>
      <c r="C12" s="582"/>
      <c r="D12" s="582" t="e">
        <f>+B12*$B$3*0.5</f>
        <v>#DIV/0!</v>
      </c>
      <c r="E12" s="583"/>
      <c r="F12" s="586">
        <f>+F10+1</f>
        <v>2027</v>
      </c>
    </row>
    <row r="13" spans="1:6" ht="15.75">
      <c r="A13" s="581"/>
      <c r="B13" s="571" t="e">
        <f t="shared" si="0"/>
        <v>#DIV/0!</v>
      </c>
      <c r="C13" s="571" t="e">
        <f t="shared" ref="C13:C43" si="1">C11</f>
        <v>#DIV/0!</v>
      </c>
      <c r="D13" s="571" t="e">
        <f>+D12</f>
        <v>#DIV/0!</v>
      </c>
      <c r="E13" s="571">
        <f>IF($B$4&gt;3,SUM(C12:D13),0)</f>
        <v>0</v>
      </c>
      <c r="F13" s="585">
        <f>+F12</f>
        <v>2027</v>
      </c>
    </row>
    <row r="14" spans="1:6" ht="15.75">
      <c r="A14" s="581">
        <v>5</v>
      </c>
      <c r="B14" s="582" t="e">
        <f t="shared" si="0"/>
        <v>#DIV/0!</v>
      </c>
      <c r="C14" s="582"/>
      <c r="D14" s="582" t="e">
        <f>+B14*$B$3*0.5</f>
        <v>#DIV/0!</v>
      </c>
      <c r="E14" s="583"/>
      <c r="F14" s="586">
        <f>+F12+1</f>
        <v>2028</v>
      </c>
    </row>
    <row r="15" spans="1:6" ht="15.75">
      <c r="A15" s="581"/>
      <c r="B15" s="571" t="e">
        <f t="shared" si="0"/>
        <v>#DIV/0!</v>
      </c>
      <c r="C15" s="571" t="e">
        <f t="shared" si="1"/>
        <v>#DIV/0!</v>
      </c>
      <c r="D15" s="571" t="e">
        <f>+D14</f>
        <v>#DIV/0!</v>
      </c>
      <c r="E15" s="571">
        <f>IF($B$4&gt;4,SUM(C14:D15),0)</f>
        <v>0</v>
      </c>
      <c r="F15" s="585">
        <f>+F14</f>
        <v>2028</v>
      </c>
    </row>
    <row r="16" spans="1:6" ht="15.75">
      <c r="A16" s="581">
        <v>6</v>
      </c>
      <c r="B16" s="582" t="e">
        <f t="shared" si="0"/>
        <v>#DIV/0!</v>
      </c>
      <c r="C16" s="582"/>
      <c r="D16" s="582" t="e">
        <f>+B16*$B$3*0.5</f>
        <v>#DIV/0!</v>
      </c>
      <c r="E16" s="583"/>
      <c r="F16" s="586">
        <f>+F14+1</f>
        <v>2029</v>
      </c>
    </row>
    <row r="17" spans="1:7" ht="15.75">
      <c r="A17" s="581"/>
      <c r="B17" s="571" t="e">
        <f t="shared" si="0"/>
        <v>#DIV/0!</v>
      </c>
      <c r="C17" s="571" t="e">
        <f t="shared" si="1"/>
        <v>#DIV/0!</v>
      </c>
      <c r="D17" s="571" t="e">
        <f>+D16</f>
        <v>#DIV/0!</v>
      </c>
      <c r="E17" s="571">
        <f>IF($B$4&gt;5,SUM(C16:D17),0)</f>
        <v>0</v>
      </c>
      <c r="F17" s="585">
        <f>+F16</f>
        <v>2029</v>
      </c>
    </row>
    <row r="18" spans="1:7" ht="15.75">
      <c r="A18" s="581">
        <v>7</v>
      </c>
      <c r="B18" s="582" t="e">
        <f t="shared" si="0"/>
        <v>#DIV/0!</v>
      </c>
      <c r="C18" s="582"/>
      <c r="D18" s="582" t="e">
        <f>+B18*$B$3*0.5</f>
        <v>#DIV/0!</v>
      </c>
      <c r="E18" s="583"/>
      <c r="F18" s="586">
        <f>+F16+1</f>
        <v>2030</v>
      </c>
    </row>
    <row r="19" spans="1:7" ht="15.75">
      <c r="A19" s="581"/>
      <c r="B19" s="571" t="e">
        <f t="shared" si="0"/>
        <v>#DIV/0!</v>
      </c>
      <c r="C19" s="571" t="e">
        <f t="shared" si="1"/>
        <v>#DIV/0!</v>
      </c>
      <c r="D19" s="571" t="e">
        <f>+D18</f>
        <v>#DIV/0!</v>
      </c>
      <c r="E19" s="571">
        <f>IF($B$4&gt;6,SUM(C18:D19),0)</f>
        <v>0</v>
      </c>
      <c r="F19" s="585">
        <f>+F18</f>
        <v>2030</v>
      </c>
    </row>
    <row r="20" spans="1:7" ht="15.75">
      <c r="A20" s="581">
        <v>8</v>
      </c>
      <c r="B20" s="582" t="e">
        <f t="shared" si="0"/>
        <v>#DIV/0!</v>
      </c>
      <c r="C20" s="582"/>
      <c r="D20" s="582" t="e">
        <f>+B20*$B$3*0.5</f>
        <v>#DIV/0!</v>
      </c>
      <c r="E20" s="583"/>
      <c r="F20" s="586">
        <f>+F18+1</f>
        <v>2031</v>
      </c>
    </row>
    <row r="21" spans="1:7" ht="15.75">
      <c r="A21" s="581"/>
      <c r="B21" s="571" t="e">
        <f t="shared" si="0"/>
        <v>#DIV/0!</v>
      </c>
      <c r="C21" s="571" t="e">
        <f t="shared" si="1"/>
        <v>#DIV/0!</v>
      </c>
      <c r="D21" s="571" t="e">
        <f>+D20</f>
        <v>#DIV/0!</v>
      </c>
      <c r="E21" s="571">
        <f>IF($B$4&gt;7,SUM(C20:D21),0)</f>
        <v>0</v>
      </c>
      <c r="F21" s="585">
        <f>+F20</f>
        <v>2031</v>
      </c>
    </row>
    <row r="22" spans="1:7" ht="15.75">
      <c r="A22" s="581">
        <v>9</v>
      </c>
      <c r="B22" s="582" t="e">
        <f t="shared" si="0"/>
        <v>#DIV/0!</v>
      </c>
      <c r="C22" s="582"/>
      <c r="D22" s="582" t="e">
        <f>+B22*$B$3*0.5</f>
        <v>#DIV/0!</v>
      </c>
      <c r="E22" s="583"/>
      <c r="F22" s="586">
        <f>+F20+1</f>
        <v>2032</v>
      </c>
      <c r="G22" s="603" t="s">
        <v>719</v>
      </c>
    </row>
    <row r="23" spans="1:7" ht="15.75">
      <c r="A23" s="581"/>
      <c r="B23" s="571" t="e">
        <f t="shared" si="0"/>
        <v>#DIV/0!</v>
      </c>
      <c r="C23" s="571" t="e">
        <f t="shared" si="1"/>
        <v>#DIV/0!</v>
      </c>
      <c r="D23" s="571" t="e">
        <f>+D22</f>
        <v>#DIV/0!</v>
      </c>
      <c r="E23" s="571">
        <f>IF($B$4&gt;8,SUM(C22:D23),0)</f>
        <v>0</v>
      </c>
      <c r="F23" s="585">
        <f>+F22</f>
        <v>2032</v>
      </c>
      <c r="G23" s="602" t="e">
        <f>SUM(E7:E23)</f>
        <v>#DIV/0!</v>
      </c>
    </row>
    <row r="24" spans="1:7" ht="15.75">
      <c r="A24" s="581">
        <v>10</v>
      </c>
      <c r="B24" s="582" t="e">
        <f t="shared" si="0"/>
        <v>#DIV/0!</v>
      </c>
      <c r="C24" s="582"/>
      <c r="D24" s="582" t="e">
        <f>+B24*$B$3*0.5</f>
        <v>#DIV/0!</v>
      </c>
      <c r="E24" s="583"/>
      <c r="F24" s="586">
        <f>+F22+1</f>
        <v>2033</v>
      </c>
    </row>
    <row r="25" spans="1:7" ht="15.75">
      <c r="A25" s="581"/>
      <c r="B25" s="571" t="e">
        <f t="shared" si="0"/>
        <v>#DIV/0!</v>
      </c>
      <c r="C25" s="571" t="e">
        <f t="shared" si="1"/>
        <v>#DIV/0!</v>
      </c>
      <c r="D25" s="571" t="e">
        <f>+D24</f>
        <v>#DIV/0!</v>
      </c>
      <c r="E25" s="571">
        <f>IF($B$4&gt;9,SUM(C24:D25),0)</f>
        <v>0</v>
      </c>
      <c r="F25" s="585">
        <f>+F24</f>
        <v>2033</v>
      </c>
    </row>
    <row r="26" spans="1:7" ht="15.75">
      <c r="A26" s="581">
        <v>11</v>
      </c>
      <c r="B26" s="582" t="e">
        <f t="shared" si="0"/>
        <v>#DIV/0!</v>
      </c>
      <c r="C26" s="582"/>
      <c r="D26" s="582" t="e">
        <f>+B26*$B$3*0.5</f>
        <v>#DIV/0!</v>
      </c>
      <c r="E26" s="583"/>
      <c r="F26" s="586">
        <f>+F24+1</f>
        <v>2034</v>
      </c>
    </row>
    <row r="27" spans="1:7" ht="15.75">
      <c r="A27" s="581"/>
      <c r="B27" s="571" t="e">
        <f t="shared" si="0"/>
        <v>#DIV/0!</v>
      </c>
      <c r="C27" s="571" t="e">
        <f t="shared" si="1"/>
        <v>#DIV/0!</v>
      </c>
      <c r="D27" s="571" t="e">
        <f>+D26</f>
        <v>#DIV/0!</v>
      </c>
      <c r="E27" s="571">
        <f>IF($B$4&gt;10,SUM(C26:D27),0)</f>
        <v>0</v>
      </c>
      <c r="F27" s="585">
        <f>+F26</f>
        <v>2034</v>
      </c>
    </row>
    <row r="28" spans="1:7" ht="15.75">
      <c r="A28" s="581">
        <v>12</v>
      </c>
      <c r="B28" s="582" t="e">
        <f t="shared" si="0"/>
        <v>#DIV/0!</v>
      </c>
      <c r="C28" s="582"/>
      <c r="D28" s="582" t="e">
        <f>+B28*$B$3*0.5</f>
        <v>#DIV/0!</v>
      </c>
      <c r="E28" s="583"/>
      <c r="F28" s="586">
        <f>+F26+1</f>
        <v>2035</v>
      </c>
    </row>
    <row r="29" spans="1:7" ht="15.75">
      <c r="A29" s="581"/>
      <c r="B29" s="571" t="e">
        <f t="shared" si="0"/>
        <v>#DIV/0!</v>
      </c>
      <c r="C29" s="571" t="e">
        <f>+C27</f>
        <v>#DIV/0!</v>
      </c>
      <c r="D29" s="571" t="e">
        <f>+D28</f>
        <v>#DIV/0!</v>
      </c>
      <c r="E29" s="571">
        <f>IF($B$4&gt;11,SUM(C28:D29),0)</f>
        <v>0</v>
      </c>
      <c r="F29" s="585">
        <f>+F28</f>
        <v>2035</v>
      </c>
    </row>
    <row r="30" spans="1:7" ht="15.75">
      <c r="A30" s="581">
        <v>13</v>
      </c>
      <c r="B30" s="582" t="e">
        <f t="shared" si="0"/>
        <v>#DIV/0!</v>
      </c>
      <c r="C30" s="582"/>
      <c r="D30" s="582" t="e">
        <f>+B30*$B$3*0.5</f>
        <v>#DIV/0!</v>
      </c>
      <c r="E30" s="583"/>
      <c r="F30" s="586">
        <f>+F28+1</f>
        <v>2036</v>
      </c>
    </row>
    <row r="31" spans="1:7" ht="15.75">
      <c r="A31" s="581"/>
      <c r="B31" s="571" t="e">
        <f t="shared" si="0"/>
        <v>#DIV/0!</v>
      </c>
      <c r="C31" s="571" t="e">
        <f t="shared" si="1"/>
        <v>#DIV/0!</v>
      </c>
      <c r="D31" s="571" t="e">
        <f>+D30</f>
        <v>#DIV/0!</v>
      </c>
      <c r="E31" s="571">
        <f>IF($B$4&gt;12,SUM(C30:D31),0)</f>
        <v>0</v>
      </c>
      <c r="F31" s="585">
        <f>+F30</f>
        <v>2036</v>
      </c>
    </row>
    <row r="32" spans="1:7" ht="15.75">
      <c r="A32" s="581">
        <v>14</v>
      </c>
      <c r="B32" s="582" t="e">
        <f t="shared" si="0"/>
        <v>#DIV/0!</v>
      </c>
      <c r="C32" s="582"/>
      <c r="D32" s="582" t="e">
        <f>+B32*$B$3*0.5</f>
        <v>#DIV/0!</v>
      </c>
      <c r="E32" s="583"/>
      <c r="F32" s="586">
        <f>+F30+1</f>
        <v>2037</v>
      </c>
    </row>
    <row r="33" spans="1:7" ht="15.75">
      <c r="A33" s="581"/>
      <c r="B33" s="571" t="e">
        <f t="shared" si="0"/>
        <v>#DIV/0!</v>
      </c>
      <c r="C33" s="571" t="e">
        <f>+C31</f>
        <v>#DIV/0!</v>
      </c>
      <c r="D33" s="571" t="e">
        <f>+D32</f>
        <v>#DIV/0!</v>
      </c>
      <c r="E33" s="571">
        <f>IF($B$4&gt;13,SUM(C32:D33),0)</f>
        <v>0</v>
      </c>
      <c r="F33" s="585">
        <f>+F32</f>
        <v>2037</v>
      </c>
    </row>
    <row r="34" spans="1:7" ht="15.75">
      <c r="A34" s="581">
        <v>15</v>
      </c>
      <c r="B34" s="582" t="e">
        <f t="shared" si="0"/>
        <v>#DIV/0!</v>
      </c>
      <c r="C34" s="582"/>
      <c r="D34" s="582" t="e">
        <f>+B34*$B$3*0.5</f>
        <v>#DIV/0!</v>
      </c>
      <c r="E34" s="583"/>
      <c r="F34" s="586">
        <f>+F32+1</f>
        <v>2038</v>
      </c>
    </row>
    <row r="35" spans="1:7" ht="15.75">
      <c r="A35" s="581"/>
      <c r="B35" s="571" t="e">
        <f t="shared" si="0"/>
        <v>#DIV/0!</v>
      </c>
      <c r="C35" s="571" t="e">
        <f t="shared" si="1"/>
        <v>#DIV/0!</v>
      </c>
      <c r="D35" s="571" t="e">
        <f>+D34</f>
        <v>#DIV/0!</v>
      </c>
      <c r="E35" s="571">
        <f>IF($B$4&gt;14,SUM(C34:D35),0)</f>
        <v>0</v>
      </c>
      <c r="F35" s="585">
        <f>+F34</f>
        <v>2038</v>
      </c>
    </row>
    <row r="36" spans="1:7" ht="15.75">
      <c r="A36" s="581">
        <v>16</v>
      </c>
      <c r="B36" s="582" t="e">
        <f t="shared" si="0"/>
        <v>#DIV/0!</v>
      </c>
      <c r="C36" s="582"/>
      <c r="D36" s="582" t="e">
        <f>+B36*$B$3*0.5</f>
        <v>#DIV/0!</v>
      </c>
      <c r="E36" s="583"/>
      <c r="F36" s="586">
        <f>+F34+1</f>
        <v>2039</v>
      </c>
    </row>
    <row r="37" spans="1:7" ht="15.75">
      <c r="A37" s="581"/>
      <c r="B37" s="571" t="e">
        <f t="shared" si="0"/>
        <v>#DIV/0!</v>
      </c>
      <c r="C37" s="571" t="e">
        <f>+C35</f>
        <v>#DIV/0!</v>
      </c>
      <c r="D37" s="571" t="e">
        <f>+D36</f>
        <v>#DIV/0!</v>
      </c>
      <c r="E37" s="571">
        <f>IF($B$4&gt;15,SUM(C36:D37),0)</f>
        <v>0</v>
      </c>
      <c r="F37" s="585">
        <f>+F36</f>
        <v>2039</v>
      </c>
    </row>
    <row r="38" spans="1:7" ht="15.75">
      <c r="A38" s="581">
        <v>17</v>
      </c>
      <c r="B38" s="582" t="e">
        <f t="shared" si="0"/>
        <v>#DIV/0!</v>
      </c>
      <c r="C38" s="582"/>
      <c r="D38" s="582" t="e">
        <f>+B38*$B$3*0.5</f>
        <v>#DIV/0!</v>
      </c>
      <c r="E38" s="583"/>
      <c r="F38" s="586">
        <f>+F36+1</f>
        <v>2040</v>
      </c>
    </row>
    <row r="39" spans="1:7" ht="15.75">
      <c r="A39" s="581"/>
      <c r="B39" s="571" t="e">
        <f t="shared" si="0"/>
        <v>#DIV/0!</v>
      </c>
      <c r="C39" s="571" t="e">
        <f t="shared" si="1"/>
        <v>#DIV/0!</v>
      </c>
      <c r="D39" s="571" t="e">
        <f>+D38</f>
        <v>#DIV/0!</v>
      </c>
      <c r="E39" s="571">
        <f>IF($B$4&gt;16,SUM(C38:D39),0)</f>
        <v>0</v>
      </c>
      <c r="F39" s="585">
        <f>+F38</f>
        <v>2040</v>
      </c>
    </row>
    <row r="40" spans="1:7" ht="15.75">
      <c r="A40" s="581">
        <v>18</v>
      </c>
      <c r="B40" s="582" t="e">
        <f t="shared" si="0"/>
        <v>#DIV/0!</v>
      </c>
      <c r="C40" s="582"/>
      <c r="D40" s="582" t="e">
        <f>+B40*$B$3*0.5</f>
        <v>#DIV/0!</v>
      </c>
      <c r="E40" s="583"/>
      <c r="F40" s="586">
        <f>+F38+1</f>
        <v>2041</v>
      </c>
    </row>
    <row r="41" spans="1:7" ht="15.75">
      <c r="A41" s="581"/>
      <c r="B41" s="571" t="e">
        <f t="shared" si="0"/>
        <v>#DIV/0!</v>
      </c>
      <c r="C41" s="571" t="e">
        <f t="shared" si="1"/>
        <v>#DIV/0!</v>
      </c>
      <c r="D41" s="571" t="e">
        <f>+D40</f>
        <v>#DIV/0!</v>
      </c>
      <c r="E41" s="571">
        <f>IF($B$4&gt;17,SUM(C40:D41),0)</f>
        <v>0</v>
      </c>
      <c r="F41" s="585">
        <f>+F40</f>
        <v>2041</v>
      </c>
    </row>
    <row r="42" spans="1:7" ht="15.75">
      <c r="A42" s="581">
        <v>19</v>
      </c>
      <c r="B42" s="582" t="e">
        <f t="shared" si="0"/>
        <v>#DIV/0!</v>
      </c>
      <c r="C42" s="582"/>
      <c r="D42" s="582" t="e">
        <f>+B42*$B$3*0.5</f>
        <v>#DIV/0!</v>
      </c>
      <c r="E42" s="583"/>
      <c r="F42" s="586">
        <f>+F40+1</f>
        <v>2042</v>
      </c>
    </row>
    <row r="43" spans="1:7" ht="15.75">
      <c r="A43" s="581"/>
      <c r="B43" s="571" t="e">
        <f t="shared" si="0"/>
        <v>#DIV/0!</v>
      </c>
      <c r="C43" s="571" t="e">
        <f t="shared" si="1"/>
        <v>#DIV/0!</v>
      </c>
      <c r="D43" s="571" t="e">
        <f>+D42</f>
        <v>#DIV/0!</v>
      </c>
      <c r="E43" s="571">
        <f>IF($B$4&gt;18,SUM(C42:D43),0)</f>
        <v>0</v>
      </c>
      <c r="F43" s="585">
        <f>+F42</f>
        <v>2042</v>
      </c>
    </row>
    <row r="44" spans="1:7" ht="15.75">
      <c r="A44" s="581">
        <v>20</v>
      </c>
      <c r="B44" s="582" t="e">
        <f t="shared" si="0"/>
        <v>#DIV/0!</v>
      </c>
      <c r="C44" s="582"/>
      <c r="D44" s="582" t="e">
        <f>+B44*$B$3*0.5</f>
        <v>#DIV/0!</v>
      </c>
      <c r="E44" s="583"/>
      <c r="F44" s="586">
        <f>+F42+1</f>
        <v>2043</v>
      </c>
    </row>
    <row r="45" spans="1:7" ht="15.75">
      <c r="A45" s="581"/>
      <c r="B45" s="571" t="e">
        <f>ROUND(B44-C44,0)</f>
        <v>#DIV/0!</v>
      </c>
      <c r="C45" s="571" t="e">
        <f>ROUND(C43,0)</f>
        <v>#DIV/0!</v>
      </c>
      <c r="D45" s="571" t="e">
        <f>+D44</f>
        <v>#DIV/0!</v>
      </c>
      <c r="E45" s="571">
        <f>IF($B$4&gt;19,SUM(C44:D45),0)</f>
        <v>0</v>
      </c>
      <c r="F45" s="585">
        <f>+F44</f>
        <v>2043</v>
      </c>
      <c r="G45" s="587"/>
    </row>
    <row r="46" spans="1:7" ht="15.75">
      <c r="A46" s="581">
        <v>21</v>
      </c>
      <c r="B46" s="582" t="e">
        <f t="shared" si="0"/>
        <v>#DIV/0!</v>
      </c>
      <c r="C46" s="582"/>
      <c r="D46" s="582" t="e">
        <f>+B46*$B$3*0.5</f>
        <v>#DIV/0!</v>
      </c>
      <c r="E46" s="583"/>
      <c r="F46" s="586">
        <f>+F44+1</f>
        <v>2044</v>
      </c>
    </row>
    <row r="47" spans="1:7" ht="15.75">
      <c r="A47" s="571"/>
      <c r="B47" s="571" t="e">
        <f t="shared" si="0"/>
        <v>#DIV/0!</v>
      </c>
      <c r="C47" s="571" t="e">
        <f>IF($B$4=20,0,+C45)</f>
        <v>#DIV/0!</v>
      </c>
      <c r="D47" s="571" t="e">
        <f>+D46</f>
        <v>#DIV/0!</v>
      </c>
      <c r="E47" s="571">
        <f>IF($B$4&gt;20,SUM(C46:D47),0)</f>
        <v>0</v>
      </c>
      <c r="F47" s="585">
        <f>+F46</f>
        <v>2044</v>
      </c>
    </row>
    <row r="48" spans="1:7" ht="15.75">
      <c r="A48" s="581">
        <v>22</v>
      </c>
      <c r="B48" s="582" t="e">
        <f t="shared" si="0"/>
        <v>#DIV/0!</v>
      </c>
      <c r="C48" s="582"/>
      <c r="D48" s="582" t="e">
        <f>+B48*$B$3*0.5</f>
        <v>#DIV/0!</v>
      </c>
      <c r="E48" s="583"/>
      <c r="F48" s="586">
        <f>+F46+1</f>
        <v>2045</v>
      </c>
    </row>
    <row r="49" spans="1:6" ht="15.75">
      <c r="A49" s="571"/>
      <c r="B49" s="571" t="e">
        <f t="shared" si="0"/>
        <v>#DIV/0!</v>
      </c>
      <c r="C49" s="571" t="e">
        <f>+C47</f>
        <v>#DIV/0!</v>
      </c>
      <c r="D49" s="571" t="e">
        <f>+D48</f>
        <v>#DIV/0!</v>
      </c>
      <c r="E49" s="571">
        <f>IF($B$4&gt;21,SUM(C48:D49),0)</f>
        <v>0</v>
      </c>
      <c r="F49" s="585">
        <f>+F48</f>
        <v>2045</v>
      </c>
    </row>
    <row r="50" spans="1:6" ht="15.75">
      <c r="A50" s="581">
        <v>23</v>
      </c>
      <c r="B50" s="582" t="e">
        <f t="shared" si="0"/>
        <v>#DIV/0!</v>
      </c>
      <c r="C50" s="582"/>
      <c r="D50" s="582" t="e">
        <f>+B50*$B$3*0.5</f>
        <v>#DIV/0!</v>
      </c>
      <c r="E50" s="583"/>
      <c r="F50" s="586">
        <f>+F48+1</f>
        <v>2046</v>
      </c>
    </row>
    <row r="51" spans="1:6" ht="15.75">
      <c r="A51" s="571"/>
      <c r="B51" s="571" t="e">
        <f t="shared" si="0"/>
        <v>#DIV/0!</v>
      </c>
      <c r="C51" s="571" t="e">
        <f>+C49</f>
        <v>#DIV/0!</v>
      </c>
      <c r="D51" s="571" t="e">
        <f>+D50</f>
        <v>#DIV/0!</v>
      </c>
      <c r="E51" s="571">
        <f>IF($B$4&gt;22,SUM(C50:D51),0)</f>
        <v>0</v>
      </c>
      <c r="F51" s="585">
        <f>+F50</f>
        <v>2046</v>
      </c>
    </row>
    <row r="52" spans="1:6" ht="15.75">
      <c r="A52" s="581">
        <v>24</v>
      </c>
      <c r="B52" s="582" t="e">
        <f t="shared" si="0"/>
        <v>#DIV/0!</v>
      </c>
      <c r="C52" s="582"/>
      <c r="D52" s="582" t="e">
        <f>+B52*$B$3*0.5</f>
        <v>#DIV/0!</v>
      </c>
      <c r="E52" s="583"/>
      <c r="F52" s="586">
        <f>+F50+1</f>
        <v>2047</v>
      </c>
    </row>
    <row r="53" spans="1:6" ht="15.75">
      <c r="A53" s="571"/>
      <c r="B53" s="571" t="e">
        <f t="shared" si="0"/>
        <v>#DIV/0!</v>
      </c>
      <c r="C53" s="571" t="e">
        <f>+C51</f>
        <v>#DIV/0!</v>
      </c>
      <c r="D53" s="571" t="e">
        <f>+D52</f>
        <v>#DIV/0!</v>
      </c>
      <c r="E53" s="571">
        <f>IF($B$4&gt;23,SUM(C52:D53),0)</f>
        <v>0</v>
      </c>
      <c r="F53" s="585">
        <f>+F52</f>
        <v>2047</v>
      </c>
    </row>
    <row r="54" spans="1:6" ht="15.75">
      <c r="A54" s="581">
        <v>25</v>
      </c>
      <c r="B54" s="582" t="e">
        <f t="shared" si="0"/>
        <v>#DIV/0!</v>
      </c>
      <c r="C54" s="582"/>
      <c r="D54" s="582" t="e">
        <f>+B54*$B$3*0.5</f>
        <v>#DIV/0!</v>
      </c>
      <c r="E54" s="583"/>
      <c r="F54" s="586">
        <f>+F52+1</f>
        <v>2048</v>
      </c>
    </row>
    <row r="55" spans="1:6" ht="15.75">
      <c r="A55" s="571"/>
      <c r="B55" s="571" t="e">
        <f t="shared" si="0"/>
        <v>#DIV/0!</v>
      </c>
      <c r="C55" s="571" t="e">
        <f>+C53</f>
        <v>#DIV/0!</v>
      </c>
      <c r="D55" s="571" t="e">
        <f>+D54</f>
        <v>#DIV/0!</v>
      </c>
      <c r="E55" s="571">
        <f>IF($B$4&gt;24,SUM(C54:D55),0)</f>
        <v>0</v>
      </c>
      <c r="F55" s="585">
        <f>+F54</f>
        <v>2048</v>
      </c>
    </row>
    <row r="56" spans="1:6" ht="15.75">
      <c r="A56" s="581">
        <v>26</v>
      </c>
      <c r="B56" s="582" t="e">
        <f t="shared" si="0"/>
        <v>#DIV/0!</v>
      </c>
      <c r="C56" s="582"/>
      <c r="D56" s="582" t="e">
        <f>+B56*$B$3*0.5</f>
        <v>#DIV/0!</v>
      </c>
      <c r="E56" s="583"/>
      <c r="F56" s="586">
        <f>+F54+1</f>
        <v>2049</v>
      </c>
    </row>
    <row r="57" spans="1:6" ht="15.75">
      <c r="A57" s="571"/>
      <c r="B57" s="571" t="e">
        <f t="shared" si="0"/>
        <v>#DIV/0!</v>
      </c>
      <c r="C57" s="571" t="e">
        <f>+C55</f>
        <v>#DIV/0!</v>
      </c>
      <c r="D57" s="571" t="e">
        <f>+D56</f>
        <v>#DIV/0!</v>
      </c>
      <c r="E57" s="571">
        <f>IF($B$4&gt;25,SUM(C56:D57),0)</f>
        <v>0</v>
      </c>
      <c r="F57" s="585">
        <f>+F56</f>
        <v>2049</v>
      </c>
    </row>
    <row r="58" spans="1:6" ht="15.75">
      <c r="A58" s="581">
        <v>27</v>
      </c>
      <c r="B58" s="582" t="e">
        <f>B57-C57</f>
        <v>#DIV/0!</v>
      </c>
      <c r="C58" s="582"/>
      <c r="D58" s="582" t="e">
        <f>+B58*$B$3*0.5</f>
        <v>#DIV/0!</v>
      </c>
      <c r="E58" s="583"/>
      <c r="F58" s="586">
        <f>+F56+1</f>
        <v>2050</v>
      </c>
    </row>
    <row r="59" spans="1:6" ht="15.75">
      <c r="A59" s="571"/>
      <c r="B59" s="571" t="e">
        <f t="shared" si="0"/>
        <v>#DIV/0!</v>
      </c>
      <c r="C59" s="571" t="e">
        <f>+C57</f>
        <v>#DIV/0!</v>
      </c>
      <c r="D59" s="571" t="e">
        <f>+D58</f>
        <v>#DIV/0!</v>
      </c>
      <c r="E59" s="571">
        <f>IF($B$4&gt;26,SUM(C58:D59),0)</f>
        <v>0</v>
      </c>
      <c r="F59" s="585">
        <f>+F58</f>
        <v>2050</v>
      </c>
    </row>
    <row r="60" spans="1:6" ht="15.75">
      <c r="A60" s="581">
        <v>28</v>
      </c>
      <c r="B60" s="582" t="e">
        <f t="shared" si="0"/>
        <v>#DIV/0!</v>
      </c>
      <c r="C60" s="582"/>
      <c r="D60" s="582" t="e">
        <f>+B60*$B$3*0.5</f>
        <v>#DIV/0!</v>
      </c>
      <c r="E60" s="583"/>
      <c r="F60" s="586">
        <f>+F58+1</f>
        <v>2051</v>
      </c>
    </row>
    <row r="61" spans="1:6" ht="15.75">
      <c r="A61" s="571"/>
      <c r="B61" s="571" t="e">
        <f t="shared" si="0"/>
        <v>#DIV/0!</v>
      </c>
      <c r="C61" s="571" t="e">
        <f>+C59</f>
        <v>#DIV/0!</v>
      </c>
      <c r="D61" s="571" t="e">
        <f>+D60</f>
        <v>#DIV/0!</v>
      </c>
      <c r="E61" s="571">
        <f>IF($B$4&gt;27,SUM(C60:D61),0)</f>
        <v>0</v>
      </c>
      <c r="F61" s="585">
        <f>+F60</f>
        <v>2051</v>
      </c>
    </row>
    <row r="62" spans="1:6" ht="15.75">
      <c r="A62" s="581">
        <v>29</v>
      </c>
      <c r="B62" s="582" t="e">
        <f t="shared" si="0"/>
        <v>#DIV/0!</v>
      </c>
      <c r="C62" s="582"/>
      <c r="D62" s="582" t="e">
        <f>+B62*$B$3*0.5</f>
        <v>#DIV/0!</v>
      </c>
      <c r="E62" s="583"/>
      <c r="F62" s="586">
        <f>+F60+1</f>
        <v>2052</v>
      </c>
    </row>
    <row r="63" spans="1:6" ht="15.75">
      <c r="A63" s="571"/>
      <c r="B63" s="571" t="e">
        <f t="shared" si="0"/>
        <v>#DIV/0!</v>
      </c>
      <c r="C63" s="571" t="e">
        <f>+C61</f>
        <v>#DIV/0!</v>
      </c>
      <c r="D63" s="571" t="e">
        <f>+D62</f>
        <v>#DIV/0!</v>
      </c>
      <c r="E63" s="571">
        <f>IF($B$4&gt;28,SUM(C62:D63),0)</f>
        <v>0</v>
      </c>
      <c r="F63" s="585">
        <f>+F62</f>
        <v>2052</v>
      </c>
    </row>
    <row r="64" spans="1:6" ht="15.75">
      <c r="A64" s="581">
        <v>30</v>
      </c>
      <c r="B64" s="582" t="e">
        <f>IF($B$4=29,0,B63-C63)</f>
        <v>#DIV/0!</v>
      </c>
      <c r="C64" s="582"/>
      <c r="D64" s="582" t="e">
        <f>+B64*$B$3*0.5</f>
        <v>#DIV/0!</v>
      </c>
      <c r="E64" s="583"/>
      <c r="F64" s="586">
        <f>+F62+1</f>
        <v>2053</v>
      </c>
    </row>
    <row r="65" spans="1:7" ht="15.75">
      <c r="A65" s="571"/>
      <c r="B65" s="571" t="e">
        <f>B64-C64</f>
        <v>#DIV/0!</v>
      </c>
      <c r="C65" s="571" t="e">
        <f>IF($B$4=29,0,C63)</f>
        <v>#DIV/0!</v>
      </c>
      <c r="D65" s="571" t="e">
        <f>+D64</f>
        <v>#DIV/0!</v>
      </c>
      <c r="E65" s="571">
        <f>IF($B$4&gt;29,SUM(C64:D65),0)</f>
        <v>0</v>
      </c>
      <c r="F65" s="585">
        <f>+F64</f>
        <v>2053</v>
      </c>
    </row>
    <row r="66" spans="1:7" ht="15.75">
      <c r="A66" s="581">
        <v>31</v>
      </c>
      <c r="B66" s="582" t="e">
        <f>B65-C65</f>
        <v>#DIV/0!</v>
      </c>
      <c r="C66" s="582"/>
      <c r="D66" s="582" t="e">
        <f>+B66*$B$3*0.5</f>
        <v>#DIV/0!</v>
      </c>
      <c r="E66" s="583"/>
      <c r="F66" s="586">
        <f>+F64+1</f>
        <v>2054</v>
      </c>
    </row>
    <row r="67" spans="1:7" ht="15.75">
      <c r="A67" s="571"/>
      <c r="B67" s="588" t="e">
        <f t="shared" si="0"/>
        <v>#DIV/0!</v>
      </c>
      <c r="C67" s="588"/>
      <c r="D67" s="588" t="e">
        <f>+D66</f>
        <v>#DIV/0!</v>
      </c>
      <c r="E67" s="588">
        <f>IF($B$4&gt;30,SUM(C66:D67),0)</f>
        <v>0</v>
      </c>
      <c r="F67" s="589">
        <f>+F66</f>
        <v>2054</v>
      </c>
      <c r="G67" s="590"/>
    </row>
    <row r="68" spans="1:7" ht="15.75">
      <c r="A68" s="571"/>
      <c r="B68" s="571"/>
      <c r="C68" s="570" t="e">
        <f>SUM(C6:C67)</f>
        <v>#DIV/0!</v>
      </c>
      <c r="D68" s="570" t="e">
        <f>SUM(D6:D67)</f>
        <v>#DIV/0!</v>
      </c>
      <c r="E68" s="598">
        <f>SUM(E26:E65)</f>
        <v>0</v>
      </c>
      <c r="F68" s="571"/>
    </row>
    <row r="69" spans="1:7" ht="15.75">
      <c r="A69" s="571"/>
      <c r="B69" s="571"/>
      <c r="C69" s="570"/>
      <c r="D69" s="570"/>
      <c r="E69" s="598"/>
      <c r="F69" s="571"/>
    </row>
    <row r="70" spans="1:7" ht="18.75">
      <c r="C70" s="599"/>
      <c r="D70" s="600" t="s">
        <v>718</v>
      </c>
      <c r="E70" s="601">
        <f>SUM(E25:E67)</f>
        <v>0</v>
      </c>
    </row>
    <row r="71" spans="1:7">
      <c r="D71" s="591"/>
      <c r="E71" s="592"/>
    </row>
  </sheetData>
  <sheetProtection algorithmName="SHA-512" hashValue="T+4gm6YALZ9ShIPlKnJLFOGO5UcVsP36m1NYKNJEKLg9odn0YInLXIm+7rVw1q8wooiaz5jGS0iOekF2+h1NqQ==" saltValue="zZXRAZ6JD+bTtO4YzNXLmw==" spinCount="100000" sheet="1" objects="1" scenarios="1"/>
  <printOptions headings="1" gridLines="1"/>
  <pageMargins left="0.7" right="0.7" top="0.75" bottom="0.75" header="0.3" footer="0.3"/>
  <pageSetup scale="79" orientation="portrait" r:id="rId1"/>
  <headerFooter>
    <oddHeader>&amp;L&amp;F&amp;RPage &amp;P of &amp;N</oddHeader>
    <oddFooter>&amp;L&amp;A&amp;R&amp;D &amp;T</oddFooter>
  </headerFooter>
  <rowBreaks count="1" manualBreakCount="1">
    <brk id="4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L841"/>
  <sheetViews>
    <sheetView showGridLines="0" view="pageBreakPreview" zoomScaleNormal="100" zoomScaleSheetLayoutView="100" workbookViewId="0">
      <selection activeCell="E8" sqref="E8"/>
    </sheetView>
  </sheetViews>
  <sheetFormatPr defaultColWidth="9.140625" defaultRowHeight="12.75"/>
  <cols>
    <col min="1" max="1" width="10.28515625" style="510" customWidth="1"/>
    <col min="2" max="2" width="6.42578125" style="510" customWidth="1"/>
    <col min="3" max="3" width="9.42578125" style="510" customWidth="1"/>
    <col min="4" max="4" width="12.140625" style="510" customWidth="1"/>
    <col min="5" max="5" width="18.7109375" style="510" customWidth="1"/>
    <col min="6" max="6" width="5.28515625" style="510" customWidth="1"/>
    <col min="7" max="7" width="10.7109375" style="510" customWidth="1"/>
    <col min="8" max="8" width="11.85546875" style="510" customWidth="1"/>
    <col min="9" max="9" width="16.5703125" style="510" customWidth="1"/>
    <col min="10" max="10" width="16.42578125" style="510" hidden="1" customWidth="1"/>
    <col min="11" max="11" width="19" style="510" customWidth="1"/>
    <col min="12" max="12" width="13.7109375" style="510" customWidth="1"/>
    <col min="13" max="16384" width="9.140625" style="510"/>
  </cols>
  <sheetData>
    <row r="1" spans="2:10" ht="22.9" customHeight="1">
      <c r="B1" s="593" t="s">
        <v>716</v>
      </c>
      <c r="C1" s="508"/>
      <c r="D1" s="594"/>
      <c r="E1" s="508"/>
      <c r="F1" s="508"/>
      <c r="G1" s="508"/>
      <c r="H1" s="509"/>
      <c r="I1" s="509"/>
    </row>
    <row r="2" spans="2:10" ht="12.75" customHeight="1">
      <c r="B2" s="511"/>
      <c r="C2" s="512"/>
      <c r="D2" s="512"/>
      <c r="E2" s="512"/>
      <c r="F2" s="512"/>
      <c r="G2" s="512"/>
      <c r="H2" s="512"/>
      <c r="I2" s="513" t="str">
        <f ca="1">"© 2008-" &amp; YEAR(TODAY()) &amp; " Vertex42 LLC"</f>
        <v>© 2008-2022 Vertex42 LLC</v>
      </c>
    </row>
    <row r="5" spans="2:10" ht="14.25">
      <c r="B5" s="514" t="s">
        <v>670</v>
      </c>
      <c r="C5" s="515"/>
      <c r="D5" s="515"/>
      <c r="E5" s="515"/>
      <c r="G5" s="514" t="s">
        <v>671</v>
      </c>
      <c r="H5" s="516"/>
      <c r="I5" s="516"/>
      <c r="J5" s="517" t="s">
        <v>672</v>
      </c>
    </row>
    <row r="6" spans="2:10" ht="15" customHeight="1">
      <c r="B6" s="512"/>
      <c r="C6" s="512"/>
      <c r="D6" s="518" t="s">
        <v>673</v>
      </c>
      <c r="E6" s="595">
        <f>Dashboard!E28</f>
        <v>12000000</v>
      </c>
      <c r="H6" s="519" t="s">
        <v>674</v>
      </c>
      <c r="I6" s="520">
        <f>((1+E7/E15)^(E15/E14))-1</f>
        <v>3.2499999999999973E-2</v>
      </c>
      <c r="J6" s="510" t="s">
        <v>152</v>
      </c>
    </row>
    <row r="7" spans="2:10" ht="15" customHeight="1">
      <c r="B7" s="512"/>
      <c r="C7" s="512"/>
      <c r="D7" s="518" t="s">
        <v>675</v>
      </c>
      <c r="E7" s="521">
        <f>Dashboard!F7</f>
        <v>3.2500000000000001E-2</v>
      </c>
      <c r="H7" s="519" t="s">
        <v>676</v>
      </c>
      <c r="I7" s="522">
        <f>SUM(G61:G840)+SUM(H61:H840)</f>
        <v>15987343.490000002</v>
      </c>
      <c r="J7" s="510" t="s">
        <v>677</v>
      </c>
    </row>
    <row r="8" spans="2:10" ht="15" customHeight="1">
      <c r="B8" s="512"/>
      <c r="C8" s="512"/>
      <c r="D8" s="518" t="s">
        <v>678</v>
      </c>
      <c r="E8" s="523">
        <f>Dashboard!E33</f>
        <v>20</v>
      </c>
      <c r="H8" s="519" t="s">
        <v>679</v>
      </c>
      <c r="I8" s="524">
        <f>SUM(G60:G840)</f>
        <v>3987343.49</v>
      </c>
      <c r="J8" s="510" t="s">
        <v>680</v>
      </c>
    </row>
    <row r="9" spans="2:10" ht="15" customHeight="1">
      <c r="B9" s="512"/>
      <c r="C9" s="512"/>
      <c r="D9" s="518" t="s">
        <v>681</v>
      </c>
      <c r="E9" s="525">
        <v>45108</v>
      </c>
      <c r="H9" s="519" t="s">
        <v>682</v>
      </c>
      <c r="I9" s="526">
        <f>IF(AND(SUM(E61:E840)=0,roundOpt)," - ",(nper*(-PMT(rate,nper,loan_amount,,pmtType))-loan_amount)-I8)</f>
        <v>-2.6819070801138878E-2</v>
      </c>
      <c r="J9" s="510" t="s">
        <v>683</v>
      </c>
    </row>
    <row r="10" spans="2:10" ht="15" customHeight="1">
      <c r="B10" s="512" t="e">
        <f>+#REF!</f>
        <v>#REF!</v>
      </c>
      <c r="C10" s="512"/>
      <c r="D10" s="518" t="s">
        <v>684</v>
      </c>
      <c r="E10" s="525" t="s">
        <v>685</v>
      </c>
      <c r="I10" s="527" t="str">
        <f ca="1">IF(AND(NOT(I840=""),I840&gt;0.004),"ERROR: Limit is "&amp;OFFSET(B841,-1,0,1,1)&amp;" payments",".")</f>
        <v>.</v>
      </c>
      <c r="J10" s="510" t="s">
        <v>686</v>
      </c>
    </row>
    <row r="11" spans="2:10" ht="15" customHeight="1">
      <c r="B11" s="512"/>
      <c r="C11" s="512"/>
      <c r="D11" s="518" t="s">
        <v>687</v>
      </c>
      <c r="E11" s="528" t="str">
        <f>E10</f>
        <v>annual</v>
      </c>
      <c r="I11" s="529" t="str">
        <f>IF(E15&gt;E14,"Warning: negative amortization",".")</f>
        <v>.</v>
      </c>
      <c r="J11" s="510" t="s">
        <v>688</v>
      </c>
    </row>
    <row r="12" spans="2:10" ht="15" customHeight="1">
      <c r="B12" s="512"/>
      <c r="C12" s="512"/>
      <c r="D12" s="518" t="s">
        <v>689</v>
      </c>
      <c r="E12" s="528" t="s">
        <v>690</v>
      </c>
      <c r="J12" s="510" t="s">
        <v>691</v>
      </c>
    </row>
    <row r="13" spans="2:10" ht="15" customHeight="1">
      <c r="B13" s="512"/>
      <c r="C13" s="512"/>
      <c r="D13" s="518" t="s">
        <v>692</v>
      </c>
      <c r="E13" s="528" t="s">
        <v>693</v>
      </c>
      <c r="I13" s="529"/>
      <c r="J13" s="510" t="s">
        <v>694</v>
      </c>
    </row>
    <row r="14" spans="2:10" ht="15" customHeight="1">
      <c r="B14" s="512"/>
      <c r="C14" s="512"/>
      <c r="D14" s="530" t="s">
        <v>695</v>
      </c>
      <c r="E14" s="512">
        <f>INDEX({1;2;4;6;12;24;26;52},MATCH('FY24 Level-Payment'!$E$10,$J$6:$J$13,0))</f>
        <v>1</v>
      </c>
    </row>
    <row r="15" spans="2:10" ht="15" customHeight="1">
      <c r="B15" s="512"/>
      <c r="C15" s="512"/>
      <c r="D15" s="530" t="s">
        <v>687</v>
      </c>
      <c r="E15" s="512">
        <f>INDEX({1;2;4;6;12;24;26;52},MATCH('FY24 Level-Payment'!$E$11,$J$6:$J$13,0))</f>
        <v>1</v>
      </c>
    </row>
    <row r="16" spans="2:10" ht="15" customHeight="1">
      <c r="B16" s="512"/>
      <c r="C16" s="512"/>
      <c r="D16" s="530" t="s">
        <v>689</v>
      </c>
      <c r="E16" s="512">
        <f>IF('FY24 Level-Payment'!$E$12="End of Period",0,1)</f>
        <v>1</v>
      </c>
    </row>
    <row r="17" spans="2:11" ht="15" customHeight="1">
      <c r="B17" s="512"/>
      <c r="C17" s="512"/>
      <c r="D17" s="530" t="s">
        <v>696</v>
      </c>
      <c r="E17" s="512">
        <f>12/$E$14</f>
        <v>12</v>
      </c>
    </row>
    <row r="18" spans="2:11" ht="15" customHeight="1">
      <c r="B18" s="512"/>
      <c r="C18" s="512"/>
      <c r="D18" s="530" t="s">
        <v>697</v>
      </c>
      <c r="E18" s="512">
        <f>$E$8*$E$14</f>
        <v>20</v>
      </c>
    </row>
    <row r="19" spans="2:11" ht="15" customHeight="1">
      <c r="B19" s="512"/>
      <c r="C19" s="512"/>
      <c r="D19" s="530" t="s">
        <v>698</v>
      </c>
      <c r="E19" s="513" t="b">
        <f>(E13="On")</f>
        <v>1</v>
      </c>
    </row>
    <row r="20" spans="2:11">
      <c r="I20" s="531" t="s">
        <v>699</v>
      </c>
    </row>
    <row r="21" spans="2:11" ht="15.75">
      <c r="D21" s="532" t="str">
        <f>E10&amp;" Payment"</f>
        <v>annual Payment</v>
      </c>
      <c r="E21" s="533">
        <f>IF(roundOpt,ROUND(-PMT(rate,nper,$E$6,,pmtType),2),-PMT(rate,nper,$E$6,,pmtType))</f>
        <v>799367.17</v>
      </c>
      <c r="I21" s="531"/>
    </row>
    <row r="22" spans="2:11">
      <c r="I22" s="531"/>
    </row>
    <row r="23" spans="2:11" ht="15">
      <c r="B23" s="534" t="s">
        <v>700</v>
      </c>
      <c r="C23" s="534"/>
      <c r="D23" s="534"/>
      <c r="E23" s="534"/>
      <c r="F23" s="534"/>
      <c r="G23" s="534"/>
      <c r="H23" s="534"/>
      <c r="I23" s="534"/>
    </row>
    <row r="24" spans="2:11" ht="26.25" thickBot="1">
      <c r="B24" s="535"/>
      <c r="C24" s="536" t="s">
        <v>42</v>
      </c>
      <c r="D24" s="537" t="s">
        <v>701</v>
      </c>
      <c r="E24" s="537" t="s">
        <v>702</v>
      </c>
      <c r="F24" s="537"/>
      <c r="G24" s="537" t="s">
        <v>703</v>
      </c>
      <c r="H24" s="537" t="s">
        <v>704</v>
      </c>
      <c r="I24" s="537" t="s">
        <v>705</v>
      </c>
      <c r="K24" s="538" t="s">
        <v>706</v>
      </c>
    </row>
    <row r="25" spans="2:11">
      <c r="B25" s="539"/>
      <c r="C25" s="540"/>
      <c r="D25" s="539"/>
      <c r="E25" s="539"/>
      <c r="F25" s="539"/>
      <c r="G25" s="539"/>
      <c r="H25" s="541"/>
      <c r="I25" s="542">
        <f>loan_amount</f>
        <v>12000000</v>
      </c>
      <c r="K25" s="543">
        <f>loan_amount</f>
        <v>12000000</v>
      </c>
    </row>
    <row r="26" spans="2:11">
      <c r="B26" s="544"/>
      <c r="C26" s="544">
        <f>YEAR(fpdate)</f>
        <v>2023</v>
      </c>
      <c r="D26" s="545">
        <f>SUMIF($C$60:$C$841,"&lt;="&amp;DATE($C26,12,31),$D$60:$D$841)-SUM(D$25:D25)</f>
        <v>799367.17</v>
      </c>
      <c r="E26" s="545">
        <f>SUMIF($C$60:$C$841,"&lt;="&amp;DATE($C26,12,31),$E$60:$E$841)-SUM(E$25:E25)</f>
        <v>0</v>
      </c>
      <c r="F26" s="546"/>
      <c r="G26" s="545">
        <f>SUMIF($C$60:$C$841,"&lt;="&amp;DATE($C26,12,31),$G$60:$G$841)-SUM(G$25:G25)</f>
        <v>0</v>
      </c>
      <c r="H26" s="545">
        <f>SUMIF($C$60:$C$841,"&lt;="&amp;DATE($C26,12,31),$H$60:$H$841)-SUM(H$25:H25)</f>
        <v>799367.17</v>
      </c>
      <c r="I26" s="545">
        <f>I25-H26</f>
        <v>11200632.83</v>
      </c>
      <c r="K26" s="547">
        <f t="shared" ref="K26:K54" si="0">K25-H26</f>
        <v>11200632.83</v>
      </c>
    </row>
    <row r="27" spans="2:11">
      <c r="B27" s="548"/>
      <c r="C27" s="544">
        <f>C26+1</f>
        <v>2024</v>
      </c>
      <c r="D27" s="545">
        <f>SUMIF($C$60:$C$841,"&lt;="&amp;DATE($C27,12,31),$D$60:$D$841)-SUM(D$25:D26)</f>
        <v>799367.17</v>
      </c>
      <c r="E27" s="545">
        <f>SUMIF($C$60:$C$841,"&lt;="&amp;DATE($C27,12,31),$E$60:$E$841)-SUM(E$25:E26)</f>
        <v>0</v>
      </c>
      <c r="F27" s="546"/>
      <c r="G27" s="545">
        <f>SUMIF($C$60:$C$841,"&lt;="&amp;DATE($C27,12,31),$G$60:$G$841)-SUM(G$25:G26)</f>
        <v>364020.57</v>
      </c>
      <c r="H27" s="545">
        <f>SUMIF($C$60:$C$841,"&lt;="&amp;DATE($C27,12,31),$H$60:$H$841)-SUM(H$25:H26)</f>
        <v>435346.6</v>
      </c>
      <c r="I27" s="545">
        <f>I26-H27</f>
        <v>10765286.23</v>
      </c>
      <c r="K27" s="547">
        <f t="shared" si="0"/>
        <v>10765286.23</v>
      </c>
    </row>
    <row r="28" spans="2:11">
      <c r="B28" s="548"/>
      <c r="C28" s="544">
        <f>C27+1</f>
        <v>2025</v>
      </c>
      <c r="D28" s="545">
        <f>SUMIF($C$60:$C$841,"&lt;="&amp;DATE($C28,12,31),$D$60:$D$841)-SUM(D$25:D27)</f>
        <v>799367.17000000016</v>
      </c>
      <c r="E28" s="545">
        <f>SUMIF($C$60:$C$841,"&lt;="&amp;DATE($C28,12,31),$E$60:$E$841)-SUM(E$25:E27)</f>
        <v>0</v>
      </c>
      <c r="F28" s="546"/>
      <c r="G28" s="545">
        <f>SUMIF($C$60:$C$841,"&lt;="&amp;DATE($C28,12,31),$G$60:$G$841)-SUM(G$25:G27)</f>
        <v>349871.8</v>
      </c>
      <c r="H28" s="545">
        <f>SUMIF($C$60:$C$841,"&lt;="&amp;DATE($C28,12,31),$H$60:$H$841)-SUM(H$25:H27)</f>
        <v>449495.37000000011</v>
      </c>
      <c r="I28" s="545">
        <f>I27-H28</f>
        <v>10315790.859999999</v>
      </c>
      <c r="K28" s="547">
        <f t="shared" si="0"/>
        <v>10315790.859999999</v>
      </c>
    </row>
    <row r="29" spans="2:11">
      <c r="B29" s="548"/>
      <c r="C29" s="544">
        <f>C28+1</f>
        <v>2026</v>
      </c>
      <c r="D29" s="545">
        <f>SUMIF($C$60:$C$841,"&lt;="&amp;DATE($C29,12,31),$D$60:$D$841)-SUM(D$25:D28)</f>
        <v>799367.16999999993</v>
      </c>
      <c r="E29" s="545">
        <f>SUMIF($C$60:$C$841,"&lt;="&amp;DATE($C29,12,31),$E$60:$E$841)-SUM(E$25:E28)</f>
        <v>0</v>
      </c>
      <c r="F29" s="546"/>
      <c r="G29" s="545">
        <f>SUMIF($C$60:$C$841,"&lt;="&amp;DATE($C29,12,31),$G$60:$G$841)-SUM(G$25:G28)</f>
        <v>335263.20000000007</v>
      </c>
      <c r="H29" s="545">
        <f>SUMIF($C$60:$C$841,"&lt;="&amp;DATE($C29,12,31),$H$60:$H$841)-SUM(H$25:H28)</f>
        <v>464103.9700000002</v>
      </c>
      <c r="I29" s="545">
        <f>I28-H29</f>
        <v>9851686.8899999987</v>
      </c>
      <c r="K29" s="547">
        <f t="shared" si="0"/>
        <v>9851686.8899999987</v>
      </c>
    </row>
    <row r="30" spans="2:11">
      <c r="B30" s="548"/>
      <c r="C30" s="544">
        <f t="shared" ref="C30:C56" si="1">C29+1</f>
        <v>2027</v>
      </c>
      <c r="D30" s="545">
        <f>SUMIF($C$60:$C$841,"&lt;="&amp;DATE($C30,12,31),$D$60:$D$841)-SUM(D$25:D29)</f>
        <v>799367.16999999993</v>
      </c>
      <c r="E30" s="545">
        <f>SUMIF($C$60:$C$841,"&lt;="&amp;DATE($C30,12,31),$E$60:$E$841)-SUM(E$25:E29)</f>
        <v>0</v>
      </c>
      <c r="F30" s="546"/>
      <c r="G30" s="545">
        <f>SUMIF($C$60:$C$841,"&lt;="&amp;DATE($C30,12,31),$G$60:$G$841)-SUM(G$25:G29)</f>
        <v>320179.82000000007</v>
      </c>
      <c r="H30" s="545">
        <f>SUMIF($C$60:$C$841,"&lt;="&amp;DATE($C30,12,31),$H$60:$H$841)-SUM(H$25:H29)</f>
        <v>479187.35000000009</v>
      </c>
      <c r="I30" s="545">
        <f t="shared" ref="I30:I56" si="2">I29-H30</f>
        <v>9372499.5399999991</v>
      </c>
      <c r="K30" s="547">
        <f t="shared" si="0"/>
        <v>9372499.5399999991</v>
      </c>
    </row>
    <row r="31" spans="2:11">
      <c r="B31" s="548"/>
      <c r="C31" s="544">
        <f t="shared" si="1"/>
        <v>2028</v>
      </c>
      <c r="D31" s="545">
        <f>SUMIF($C$60:$C$841,"&lt;="&amp;DATE($C31,12,31),$D$60:$D$841)-SUM(D$25:D30)</f>
        <v>799367.17000000039</v>
      </c>
      <c r="E31" s="545">
        <f>SUMIF($C$60:$C$841,"&lt;="&amp;DATE($C31,12,31),$E$60:$E$841)-SUM(E$25:E30)</f>
        <v>0</v>
      </c>
      <c r="F31" s="546"/>
      <c r="G31" s="545">
        <f>SUMIF($C$60:$C$841,"&lt;="&amp;DATE($C31,12,31),$G$60:$G$841)-SUM(G$25:G30)</f>
        <v>304606.24</v>
      </c>
      <c r="H31" s="545">
        <f>SUMIF($C$60:$C$841,"&lt;="&amp;DATE($C31,12,31),$H$60:$H$841)-SUM(H$25:H30)</f>
        <v>494760.93000000017</v>
      </c>
      <c r="I31" s="545">
        <f t="shared" si="2"/>
        <v>8877738.6099999994</v>
      </c>
      <c r="K31" s="547">
        <f t="shared" si="0"/>
        <v>8877738.6099999994</v>
      </c>
    </row>
    <row r="32" spans="2:11">
      <c r="B32" s="548"/>
      <c r="C32" s="544">
        <f t="shared" si="1"/>
        <v>2029</v>
      </c>
      <c r="D32" s="545">
        <f>SUMIF($C$60:$C$841,"&lt;="&amp;DATE($C32,12,31),$D$60:$D$841)-SUM(D$25:D31)</f>
        <v>799367.16999999993</v>
      </c>
      <c r="E32" s="545">
        <f>SUMIF($C$60:$C$841,"&lt;="&amp;DATE($C32,12,31),$E$60:$E$841)-SUM(E$25:E31)</f>
        <v>0</v>
      </c>
      <c r="F32" s="546"/>
      <c r="G32" s="545">
        <f>SUMIF($C$60:$C$841,"&lt;="&amp;DATE($C32,12,31),$G$60:$G$841)-SUM(G$25:G31)</f>
        <v>288526.5</v>
      </c>
      <c r="H32" s="545">
        <f>SUMIF($C$60:$C$841,"&lt;="&amp;DATE($C32,12,31),$H$60:$H$841)-SUM(H$25:H31)</f>
        <v>510840.66999999993</v>
      </c>
      <c r="I32" s="545">
        <f t="shared" si="2"/>
        <v>8366897.9399999995</v>
      </c>
      <c r="K32" s="547">
        <f t="shared" si="0"/>
        <v>8366897.9399999995</v>
      </c>
    </row>
    <row r="33" spans="2:12">
      <c r="B33" s="548"/>
      <c r="C33" s="544">
        <f t="shared" si="1"/>
        <v>2030</v>
      </c>
      <c r="D33" s="545">
        <f>SUMIF($C$60:$C$841,"&lt;="&amp;DATE($C33,12,31),$D$60:$D$841)-SUM(D$25:D32)</f>
        <v>799367.16999999993</v>
      </c>
      <c r="E33" s="545">
        <f>SUMIF($C$60:$C$841,"&lt;="&amp;DATE($C33,12,31),$E$60:$E$841)-SUM(E$25:E32)</f>
        <v>0</v>
      </c>
      <c r="F33" s="546"/>
      <c r="G33" s="545">
        <f>SUMIF($C$60:$C$841,"&lt;="&amp;DATE($C33,12,31),$G$60:$G$841)-SUM(G$25:G32)</f>
        <v>271924.17999999993</v>
      </c>
      <c r="H33" s="545">
        <f>SUMIF($C$60:$C$841,"&lt;="&amp;DATE($C33,12,31),$H$60:$H$841)-SUM(H$25:H32)</f>
        <v>527442.99000000022</v>
      </c>
      <c r="I33" s="545">
        <f t="shared" si="2"/>
        <v>7839454.9499999993</v>
      </c>
      <c r="K33" s="547">
        <f t="shared" si="0"/>
        <v>7839454.9499999993</v>
      </c>
      <c r="L33" s="538" t="s">
        <v>719</v>
      </c>
    </row>
    <row r="34" spans="2:12">
      <c r="B34" s="548"/>
      <c r="C34" s="544">
        <f t="shared" si="1"/>
        <v>2031</v>
      </c>
      <c r="D34" s="545">
        <f>SUMIF($C$60:$C$841,"&lt;="&amp;DATE($C34,12,31),$D$60:$D$841)-SUM(D$25:D33)</f>
        <v>799367.16999999993</v>
      </c>
      <c r="E34" s="545">
        <f>SUMIF($C$60:$C$841,"&lt;="&amp;DATE($C34,12,31),$E$60:$E$841)-SUM(E$25:E33)</f>
        <v>0</v>
      </c>
      <c r="F34" s="546"/>
      <c r="G34" s="545">
        <f>SUMIF($C$60:$C$841,"&lt;="&amp;DATE($C34,12,31),$G$60:$G$841)-SUM(G$25:G33)</f>
        <v>254782.29000000004</v>
      </c>
      <c r="H34" s="545">
        <f>SUMIF($C$60:$C$841,"&lt;="&amp;DATE($C34,12,31),$H$60:$H$841)-SUM(H$25:H33)</f>
        <v>544584.87999999989</v>
      </c>
      <c r="I34" s="545">
        <f t="shared" si="2"/>
        <v>7294870.0699999994</v>
      </c>
      <c r="K34" s="547">
        <f t="shared" si="0"/>
        <v>7294870.0699999994</v>
      </c>
      <c r="L34" s="604">
        <f>SUM(D26:D34)</f>
        <v>7194304.5300000003</v>
      </c>
    </row>
    <row r="35" spans="2:12">
      <c r="B35" s="548"/>
      <c r="C35" s="544">
        <f t="shared" si="1"/>
        <v>2032</v>
      </c>
      <c r="D35" s="545">
        <f>SUMIF($C$60:$C$841,"&lt;="&amp;DATE($C35,12,31),$D$60:$D$841)-SUM(D$25:D34)</f>
        <v>799367.16999999993</v>
      </c>
      <c r="E35" s="545">
        <f>SUMIF($C$60:$C$841,"&lt;="&amp;DATE($C35,12,31),$E$60:$E$841)-SUM(E$25:E34)</f>
        <v>0</v>
      </c>
      <c r="F35" s="546"/>
      <c r="G35" s="545">
        <f>SUMIF($C$60:$C$841,"&lt;="&amp;DATE($C35,12,31),$G$60:$G$841)-SUM(G$25:G34)</f>
        <v>237083.2799999998</v>
      </c>
      <c r="H35" s="545">
        <f>SUMIF($C$60:$C$841,"&lt;="&amp;DATE($C35,12,31),$H$60:$H$841)-SUM(H$25:H34)</f>
        <v>562283.88999999966</v>
      </c>
      <c r="I35" s="545">
        <f t="shared" si="2"/>
        <v>6732586.1799999997</v>
      </c>
      <c r="K35" s="547">
        <f t="shared" si="0"/>
        <v>6732586.1799999997</v>
      </c>
    </row>
    <row r="36" spans="2:12">
      <c r="B36" s="548"/>
      <c r="C36" s="544">
        <f t="shared" si="1"/>
        <v>2033</v>
      </c>
      <c r="D36" s="545">
        <f>SUMIF($C$60:$C$841,"&lt;="&amp;DATE($C36,12,31),$D$60:$D$841)-SUM(D$25:D35)</f>
        <v>799367.17000000086</v>
      </c>
      <c r="E36" s="545">
        <f>SUMIF($C$60:$C$841,"&lt;="&amp;DATE($C36,12,31),$E$60:$E$841)-SUM(E$25:E35)</f>
        <v>0</v>
      </c>
      <c r="F36" s="546"/>
      <c r="G36" s="545">
        <f>SUMIF($C$60:$C$841,"&lt;="&amp;DATE($C36,12,31),$G$60:$G$841)-SUM(G$25:G35)</f>
        <v>218809.04999999981</v>
      </c>
      <c r="H36" s="545">
        <f>SUMIF($C$60:$C$841,"&lt;="&amp;DATE($C36,12,31),$H$60:$H$841)-SUM(H$25:H35)</f>
        <v>580558.12000000011</v>
      </c>
      <c r="I36" s="545">
        <f t="shared" si="2"/>
        <v>6152028.0599999996</v>
      </c>
      <c r="K36" s="547">
        <f t="shared" si="0"/>
        <v>6152028.0599999996</v>
      </c>
    </row>
    <row r="37" spans="2:12">
      <c r="B37" s="548"/>
      <c r="C37" s="544">
        <f t="shared" si="1"/>
        <v>2034</v>
      </c>
      <c r="D37" s="545">
        <f>SUMIF($C$60:$C$841,"&lt;="&amp;DATE($C37,12,31),$D$60:$D$841)-SUM(D$25:D36)</f>
        <v>799367.16999999993</v>
      </c>
      <c r="E37" s="545">
        <f>SUMIF($C$60:$C$841,"&lt;="&amp;DATE($C37,12,31),$E$60:$E$841)-SUM(E$25:E36)</f>
        <v>0</v>
      </c>
      <c r="F37" s="546"/>
      <c r="G37" s="545">
        <f>SUMIF($C$60:$C$841,"&lt;="&amp;DATE($C37,12,31),$G$60:$G$841)-SUM(G$25:G36)</f>
        <v>199940.91000000015</v>
      </c>
      <c r="H37" s="545">
        <f>SUMIF($C$60:$C$841,"&lt;="&amp;DATE($C37,12,31),$H$60:$H$841)-SUM(H$25:H36)</f>
        <v>599426.25999999978</v>
      </c>
      <c r="I37" s="545">
        <f t="shared" si="2"/>
        <v>5552601.7999999998</v>
      </c>
      <c r="K37" s="547">
        <f t="shared" si="0"/>
        <v>5552601.7999999998</v>
      </c>
    </row>
    <row r="38" spans="2:12">
      <c r="B38" s="548"/>
      <c r="C38" s="544">
        <f t="shared" si="1"/>
        <v>2035</v>
      </c>
      <c r="D38" s="545">
        <f>SUMIF($C$60:$C$841,"&lt;="&amp;DATE($C38,12,31),$D$60:$D$841)-SUM(D$25:D37)</f>
        <v>799367.16999999993</v>
      </c>
      <c r="E38" s="545">
        <f>SUMIF($C$60:$C$841,"&lt;="&amp;DATE($C38,12,31),$E$60:$E$841)-SUM(E$25:E37)</f>
        <v>0</v>
      </c>
      <c r="F38" s="546"/>
      <c r="G38" s="545">
        <f>SUMIF($C$60:$C$841,"&lt;="&amp;DATE($C38,12,31),$G$60:$G$841)-SUM(G$25:G37)</f>
        <v>180459.56000000006</v>
      </c>
      <c r="H38" s="545">
        <f>SUMIF($C$60:$C$841,"&lt;="&amp;DATE($C38,12,31),$H$60:$H$841)-SUM(H$25:H37)</f>
        <v>618907.61000000034</v>
      </c>
      <c r="I38" s="545">
        <f t="shared" si="2"/>
        <v>4933694.1899999995</v>
      </c>
      <c r="K38" s="547">
        <f t="shared" si="0"/>
        <v>4933694.1899999995</v>
      </c>
    </row>
    <row r="39" spans="2:12">
      <c r="B39" s="548"/>
      <c r="C39" s="544">
        <f t="shared" si="1"/>
        <v>2036</v>
      </c>
      <c r="D39" s="545">
        <f>SUMIF($C$60:$C$841,"&lt;="&amp;DATE($C39,12,31),$D$60:$D$841)-SUM(D$25:D38)</f>
        <v>799367.16999999993</v>
      </c>
      <c r="E39" s="545">
        <f>SUMIF($C$60:$C$841,"&lt;="&amp;DATE($C39,12,31),$E$60:$E$841)-SUM(E$25:E38)</f>
        <v>0</v>
      </c>
      <c r="F39" s="546"/>
      <c r="G39" s="545">
        <f>SUMIF($C$60:$C$841,"&lt;="&amp;DATE($C39,12,31),$G$60:$G$841)-SUM(G$25:G38)</f>
        <v>160345.06000000006</v>
      </c>
      <c r="H39" s="545">
        <f>SUMIF($C$60:$C$841,"&lt;="&amp;DATE($C39,12,31),$H$60:$H$841)-SUM(H$25:H38)</f>
        <v>639022.11000000034</v>
      </c>
      <c r="I39" s="545">
        <f t="shared" si="2"/>
        <v>4294672.0799999991</v>
      </c>
      <c r="K39" s="547">
        <f t="shared" si="0"/>
        <v>4294672.0799999991</v>
      </c>
    </row>
    <row r="40" spans="2:12">
      <c r="B40" s="548"/>
      <c r="C40" s="544">
        <f t="shared" si="1"/>
        <v>2037</v>
      </c>
      <c r="D40" s="545">
        <f>SUMIF($C$60:$C$841,"&lt;="&amp;DATE($C40,12,31),$D$60:$D$841)-SUM(D$25:D39)</f>
        <v>799367.16999999993</v>
      </c>
      <c r="E40" s="545">
        <f>SUMIF($C$60:$C$841,"&lt;="&amp;DATE($C40,12,31),$E$60:$E$841)-SUM(E$25:E39)</f>
        <v>0</v>
      </c>
      <c r="F40" s="546"/>
      <c r="G40" s="545">
        <f>SUMIF($C$60:$C$841,"&lt;="&amp;DATE($C40,12,31),$G$60:$G$841)-SUM(G$25:G39)</f>
        <v>139576.83999999985</v>
      </c>
      <c r="H40" s="545">
        <f>SUMIF($C$60:$C$841,"&lt;="&amp;DATE($C40,12,31),$H$60:$H$841)-SUM(H$25:H39)</f>
        <v>659790.33000000007</v>
      </c>
      <c r="I40" s="545">
        <f t="shared" si="2"/>
        <v>3634881.7499999991</v>
      </c>
      <c r="K40" s="547">
        <f t="shared" si="0"/>
        <v>3634881.7499999991</v>
      </c>
    </row>
    <row r="41" spans="2:12">
      <c r="B41" s="548"/>
      <c r="C41" s="544">
        <f t="shared" si="1"/>
        <v>2038</v>
      </c>
      <c r="D41" s="545">
        <f>SUMIF($C$60:$C$841,"&lt;="&amp;DATE($C41,12,31),$D$60:$D$841)-SUM(D$25:D40)</f>
        <v>799367.16999999993</v>
      </c>
      <c r="E41" s="545">
        <f>SUMIF($C$60:$C$841,"&lt;="&amp;DATE($C41,12,31),$E$60:$E$841)-SUM(E$25:E40)</f>
        <v>0</v>
      </c>
      <c r="F41" s="546"/>
      <c r="G41" s="545">
        <f>SUMIF($C$60:$C$841,"&lt;="&amp;DATE($C41,12,31),$G$60:$G$841)-SUM(G$25:G40)</f>
        <v>118133.66000000015</v>
      </c>
      <c r="H41" s="545">
        <f>SUMIF($C$60:$C$841,"&lt;="&amp;DATE($C41,12,31),$H$60:$H$841)-SUM(H$25:H40)</f>
        <v>681233.51000000071</v>
      </c>
      <c r="I41" s="545">
        <f t="shared" si="2"/>
        <v>2953648.2399999984</v>
      </c>
      <c r="K41" s="547">
        <f t="shared" si="0"/>
        <v>2953648.2399999984</v>
      </c>
    </row>
    <row r="42" spans="2:12">
      <c r="B42" s="548"/>
      <c r="C42" s="544">
        <f t="shared" si="1"/>
        <v>2039</v>
      </c>
      <c r="D42" s="545">
        <f>SUMIF($C$60:$C$841,"&lt;="&amp;DATE($C42,12,31),$D$60:$D$841)-SUM(D$25:D41)</f>
        <v>799367.16999999993</v>
      </c>
      <c r="E42" s="545">
        <f>SUMIF($C$60:$C$841,"&lt;="&amp;DATE($C42,12,31),$E$60:$E$841)-SUM(E$25:E41)</f>
        <v>0</v>
      </c>
      <c r="F42" s="546"/>
      <c r="G42" s="545">
        <f>SUMIF($C$60:$C$841,"&lt;="&amp;DATE($C42,12,31),$G$60:$G$841)-SUM(G$25:G41)</f>
        <v>95993.569999999832</v>
      </c>
      <c r="H42" s="545">
        <f>SUMIF($C$60:$C$841,"&lt;="&amp;DATE($C42,12,31),$H$60:$H$841)-SUM(H$25:H41)</f>
        <v>703373.59999999963</v>
      </c>
      <c r="I42" s="545">
        <f t="shared" si="2"/>
        <v>2250274.6399999987</v>
      </c>
      <c r="K42" s="547">
        <f t="shared" si="0"/>
        <v>2250274.6399999987</v>
      </c>
    </row>
    <row r="43" spans="2:12">
      <c r="B43" s="548"/>
      <c r="C43" s="544">
        <f t="shared" si="1"/>
        <v>2040</v>
      </c>
      <c r="D43" s="545">
        <f>SUMIF($C$60:$C$841,"&lt;="&amp;DATE($C43,12,31),$D$60:$D$841)-SUM(D$25:D42)</f>
        <v>799367.16999999993</v>
      </c>
      <c r="E43" s="545">
        <f>SUMIF($C$60:$C$841,"&lt;="&amp;DATE($C43,12,31),$E$60:$E$841)-SUM(E$25:E42)</f>
        <v>0</v>
      </c>
      <c r="F43" s="546"/>
      <c r="G43" s="545">
        <f>SUMIF($C$60:$C$841,"&lt;="&amp;DATE($C43,12,31),$G$60:$G$841)-SUM(G$25:G42)</f>
        <v>73133.930000000168</v>
      </c>
      <c r="H43" s="545">
        <f>SUMIF($C$60:$C$841,"&lt;="&amp;DATE($C43,12,31),$H$60:$H$841)-SUM(H$25:H42)</f>
        <v>726233.24000000022</v>
      </c>
      <c r="I43" s="545">
        <f t="shared" si="2"/>
        <v>1524041.3999999985</v>
      </c>
      <c r="K43" s="547">
        <f t="shared" si="0"/>
        <v>1524041.3999999985</v>
      </c>
    </row>
    <row r="44" spans="2:12">
      <c r="B44" s="548"/>
      <c r="C44" s="544">
        <f t="shared" si="1"/>
        <v>2041</v>
      </c>
      <c r="D44" s="545">
        <f>SUMIF($C$60:$C$841,"&lt;="&amp;DATE($C44,12,31),$D$60:$D$841)-SUM(D$25:D43)</f>
        <v>799367.16999999993</v>
      </c>
      <c r="E44" s="545">
        <f>SUMIF($C$60:$C$841,"&lt;="&amp;DATE($C44,12,31),$E$60:$E$841)-SUM(E$25:E43)</f>
        <v>0</v>
      </c>
      <c r="F44" s="546"/>
      <c r="G44" s="545">
        <f>SUMIF($C$60:$C$841,"&lt;="&amp;DATE($C44,12,31),$G$60:$G$841)-SUM(G$25:G43)</f>
        <v>49531.350000000093</v>
      </c>
      <c r="H44" s="545">
        <f>SUMIF($C$60:$C$841,"&lt;="&amp;DATE($C44,12,31),$H$60:$H$841)-SUM(H$25:H43)</f>
        <v>749835.8200000003</v>
      </c>
      <c r="I44" s="545">
        <f t="shared" si="2"/>
        <v>774205.57999999821</v>
      </c>
      <c r="K44" s="547">
        <f t="shared" si="0"/>
        <v>774205.57999999821</v>
      </c>
    </row>
    <row r="45" spans="2:12">
      <c r="B45" s="548"/>
      <c r="C45" s="544">
        <f t="shared" si="1"/>
        <v>2042</v>
      </c>
      <c r="D45" s="545">
        <f>SUMIF($C$60:$C$841,"&lt;="&amp;DATE($C45,12,31),$D$60:$D$841)-SUM(D$25:D44)</f>
        <v>799367.25999999978</v>
      </c>
      <c r="E45" s="545">
        <f>SUMIF($C$60:$C$841,"&lt;="&amp;DATE($C45,12,31),$E$60:$E$841)-SUM(E$25:E44)</f>
        <v>0</v>
      </c>
      <c r="F45" s="546"/>
      <c r="G45" s="545">
        <f>SUMIF($C$60:$C$841,"&lt;="&amp;DATE($C45,12,31),$G$60:$G$841)-SUM(G$25:G44)</f>
        <v>25161.680000000168</v>
      </c>
      <c r="H45" s="545">
        <f>SUMIF($C$60:$C$841,"&lt;="&amp;DATE($C45,12,31),$H$60:$H$841)-SUM(H$25:H44)</f>
        <v>774205.58000000007</v>
      </c>
      <c r="I45" s="545">
        <f t="shared" si="2"/>
        <v>-1.862645149230957E-9</v>
      </c>
      <c r="K45" s="547">
        <f t="shared" si="0"/>
        <v>-1.862645149230957E-9</v>
      </c>
    </row>
    <row r="46" spans="2:12">
      <c r="B46" s="548"/>
      <c r="C46" s="544">
        <f t="shared" si="1"/>
        <v>2043</v>
      </c>
      <c r="D46" s="545">
        <f>SUMIF($C$60:$C$841,"&lt;="&amp;DATE($C46,12,31),$D$60:$D$841)-SUM(D$25:D45)</f>
        <v>0</v>
      </c>
      <c r="E46" s="545">
        <f>SUMIF($C$60:$C$841,"&lt;="&amp;DATE($C46,12,31),$E$60:$E$841)-SUM(E$25:E45)</f>
        <v>0</v>
      </c>
      <c r="F46" s="546"/>
      <c r="G46" s="545">
        <f>SUMIF($C$60:$C$841,"&lt;="&amp;DATE($C46,12,31),$G$60:$G$841)-SUM(G$25:G45)</f>
        <v>0</v>
      </c>
      <c r="H46" s="545">
        <f>SUMIF($C$60:$C$841,"&lt;="&amp;DATE($C46,12,31),$H$60:$H$841)-SUM(H$25:H45)</f>
        <v>0</v>
      </c>
      <c r="I46" s="545">
        <f t="shared" si="2"/>
        <v>-1.862645149230957E-9</v>
      </c>
      <c r="K46" s="547">
        <f t="shared" si="0"/>
        <v>-1.862645149230957E-9</v>
      </c>
    </row>
    <row r="47" spans="2:12">
      <c r="B47" s="548"/>
      <c r="C47" s="544">
        <f t="shared" si="1"/>
        <v>2044</v>
      </c>
      <c r="D47" s="545">
        <f>SUMIF($C$60:$C$841,"&lt;="&amp;DATE($C47,12,31),$D$60:$D$841)-SUM(D$25:D46)</f>
        <v>0</v>
      </c>
      <c r="E47" s="545">
        <f>SUMIF($C$60:$C$841,"&lt;="&amp;DATE($C47,12,31),$E$60:$E$841)-SUM(E$25:E46)</f>
        <v>0</v>
      </c>
      <c r="F47" s="546"/>
      <c r="G47" s="545">
        <f>SUMIF($C$60:$C$841,"&lt;="&amp;DATE($C47,12,31),$G$60:$G$841)-SUM(G$25:G46)</f>
        <v>0</v>
      </c>
      <c r="H47" s="545">
        <f>SUMIF($C$60:$C$841,"&lt;="&amp;DATE($C47,12,31),$H$60:$H$841)-SUM(H$25:H46)</f>
        <v>0</v>
      </c>
      <c r="I47" s="545">
        <f t="shared" si="2"/>
        <v>-1.862645149230957E-9</v>
      </c>
      <c r="K47" s="547">
        <f t="shared" si="0"/>
        <v>-1.862645149230957E-9</v>
      </c>
    </row>
    <row r="48" spans="2:12">
      <c r="B48" s="548"/>
      <c r="C48" s="544">
        <f t="shared" si="1"/>
        <v>2045</v>
      </c>
      <c r="D48" s="545">
        <f>SUMIF($C$60:$C$841,"&lt;="&amp;DATE($C48,12,31),$D$60:$D$841)-SUM(D$25:D47)</f>
        <v>0</v>
      </c>
      <c r="E48" s="545">
        <f>SUMIF($C$60:$C$841,"&lt;="&amp;DATE($C48,12,31),$E$60:$E$841)-SUM(E$25:E47)</f>
        <v>0</v>
      </c>
      <c r="F48" s="546"/>
      <c r="G48" s="545">
        <f>SUMIF($C$60:$C$841,"&lt;="&amp;DATE($C48,12,31),$G$60:$G$841)-SUM(G$25:G47)</f>
        <v>0</v>
      </c>
      <c r="H48" s="545">
        <f>SUMIF($C$60:$C$841,"&lt;="&amp;DATE($C48,12,31),$H$60:$H$841)-SUM(H$25:H47)</f>
        <v>0</v>
      </c>
      <c r="I48" s="545">
        <f t="shared" si="2"/>
        <v>-1.862645149230957E-9</v>
      </c>
      <c r="K48" s="547">
        <f t="shared" si="0"/>
        <v>-1.862645149230957E-9</v>
      </c>
    </row>
    <row r="49" spans="2:11">
      <c r="B49" s="548"/>
      <c r="C49" s="544">
        <f t="shared" si="1"/>
        <v>2046</v>
      </c>
      <c r="D49" s="545">
        <f>SUMIF($C$60:$C$841,"&lt;="&amp;DATE($C49,12,31),$D$60:$D$841)-SUM(D$25:D48)</f>
        <v>0</v>
      </c>
      <c r="E49" s="545">
        <f>SUMIF($C$60:$C$841,"&lt;="&amp;DATE($C49,12,31),$E$60:$E$841)-SUM(E$25:E48)</f>
        <v>0</v>
      </c>
      <c r="F49" s="546"/>
      <c r="G49" s="545">
        <f>SUMIF($C$60:$C$841,"&lt;="&amp;DATE($C49,12,31),$G$60:$G$841)-SUM(G$25:G48)</f>
        <v>0</v>
      </c>
      <c r="H49" s="545">
        <f>SUMIF($C$60:$C$841,"&lt;="&amp;DATE($C49,12,31),$H$60:$H$841)-SUM(H$25:H48)</f>
        <v>0</v>
      </c>
      <c r="I49" s="545">
        <f t="shared" si="2"/>
        <v>-1.862645149230957E-9</v>
      </c>
      <c r="K49" s="547">
        <f t="shared" si="0"/>
        <v>-1.862645149230957E-9</v>
      </c>
    </row>
    <row r="50" spans="2:11">
      <c r="B50" s="548"/>
      <c r="C50" s="544">
        <f t="shared" si="1"/>
        <v>2047</v>
      </c>
      <c r="D50" s="545">
        <f>SUMIF($C$60:$C$841,"&lt;="&amp;DATE($C50,12,31),$D$60:$D$841)-SUM(D$25:D49)</f>
        <v>0</v>
      </c>
      <c r="E50" s="545">
        <f>SUMIF($C$60:$C$841,"&lt;="&amp;DATE($C50,12,31),$E$60:$E$841)-SUM(E$25:E49)</f>
        <v>0</v>
      </c>
      <c r="F50" s="546"/>
      <c r="G50" s="545">
        <f>SUMIF($C$60:$C$841,"&lt;="&amp;DATE($C50,12,31),$G$60:$G$841)-SUM(G$25:G49)</f>
        <v>0</v>
      </c>
      <c r="H50" s="545">
        <f>SUMIF($C$60:$C$841,"&lt;="&amp;DATE($C50,12,31),$H$60:$H$841)-SUM(H$25:H49)</f>
        <v>0</v>
      </c>
      <c r="I50" s="545">
        <f t="shared" si="2"/>
        <v>-1.862645149230957E-9</v>
      </c>
      <c r="K50" s="547">
        <f t="shared" si="0"/>
        <v>-1.862645149230957E-9</v>
      </c>
    </row>
    <row r="51" spans="2:11">
      <c r="B51" s="548"/>
      <c r="C51" s="544">
        <f t="shared" si="1"/>
        <v>2048</v>
      </c>
      <c r="D51" s="545">
        <f>SUMIF($C$60:$C$841,"&lt;="&amp;DATE($C51,12,31),$D$60:$D$841)-SUM(D$25:D50)</f>
        <v>0</v>
      </c>
      <c r="E51" s="545">
        <f>SUMIF($C$60:$C$841,"&lt;="&amp;DATE($C51,12,31),$E$60:$E$841)-SUM(E$25:E50)</f>
        <v>0</v>
      </c>
      <c r="F51" s="546"/>
      <c r="G51" s="545">
        <f>SUMIF($C$60:$C$841,"&lt;="&amp;DATE($C51,12,31),$G$60:$G$841)-SUM(G$25:G50)</f>
        <v>0</v>
      </c>
      <c r="H51" s="545">
        <f>SUMIF($C$60:$C$841,"&lt;="&amp;DATE($C51,12,31),$H$60:$H$841)-SUM(H$25:H50)</f>
        <v>0</v>
      </c>
      <c r="I51" s="545">
        <f t="shared" si="2"/>
        <v>-1.862645149230957E-9</v>
      </c>
      <c r="K51" s="547">
        <f t="shared" si="0"/>
        <v>-1.862645149230957E-9</v>
      </c>
    </row>
    <row r="52" spans="2:11">
      <c r="B52" s="548"/>
      <c r="C52" s="544">
        <f t="shared" si="1"/>
        <v>2049</v>
      </c>
      <c r="D52" s="545">
        <f>SUMIF($C$60:$C$841,"&lt;="&amp;DATE($C52,12,31),$D$60:$D$841)-SUM(D$25:D51)</f>
        <v>0</v>
      </c>
      <c r="E52" s="545">
        <f>SUMIF($C$60:$C$841,"&lt;="&amp;DATE($C52,12,31),$E$60:$E$841)-SUM(E$25:E51)</f>
        <v>0</v>
      </c>
      <c r="F52" s="546"/>
      <c r="G52" s="545">
        <f>SUMIF($C$60:$C$841,"&lt;="&amp;DATE($C52,12,31),$G$60:$G$841)-SUM(G$25:G51)</f>
        <v>0</v>
      </c>
      <c r="H52" s="545">
        <f>SUMIF($C$60:$C$841,"&lt;="&amp;DATE($C52,12,31),$H$60:$H$841)-SUM(H$25:H51)</f>
        <v>0</v>
      </c>
      <c r="I52" s="545">
        <f t="shared" si="2"/>
        <v>-1.862645149230957E-9</v>
      </c>
      <c r="K52" s="547">
        <f t="shared" si="0"/>
        <v>-1.862645149230957E-9</v>
      </c>
    </row>
    <row r="53" spans="2:11">
      <c r="B53" s="548"/>
      <c r="C53" s="544">
        <f t="shared" si="1"/>
        <v>2050</v>
      </c>
      <c r="D53" s="545">
        <f>SUMIF($C$60:$C$841,"&lt;="&amp;DATE($C53,12,31),$D$60:$D$841)-SUM(D$25:D52)</f>
        <v>0</v>
      </c>
      <c r="E53" s="545">
        <f>SUMIF($C$60:$C$841,"&lt;="&amp;DATE($C53,12,31),$E$60:$E$841)-SUM(E$25:E52)</f>
        <v>0</v>
      </c>
      <c r="F53" s="546"/>
      <c r="G53" s="545">
        <f>SUMIF($C$60:$C$841,"&lt;="&amp;DATE($C53,12,31),$G$60:$G$841)-SUM(G$25:G52)</f>
        <v>0</v>
      </c>
      <c r="H53" s="545">
        <f>SUMIF($C$60:$C$841,"&lt;="&amp;DATE($C53,12,31),$H$60:$H$841)-SUM(H$25:H52)</f>
        <v>0</v>
      </c>
      <c r="I53" s="545">
        <f t="shared" si="2"/>
        <v>-1.862645149230957E-9</v>
      </c>
      <c r="K53" s="547">
        <f t="shared" si="0"/>
        <v>-1.862645149230957E-9</v>
      </c>
    </row>
    <row r="54" spans="2:11">
      <c r="B54" s="548"/>
      <c r="C54" s="544">
        <f t="shared" si="1"/>
        <v>2051</v>
      </c>
      <c r="D54" s="545">
        <f>SUMIF($C$60:$C$841,"&lt;="&amp;DATE($C54,12,31),$D$60:$D$841)-SUM(D$25:D53)</f>
        <v>0</v>
      </c>
      <c r="E54" s="545">
        <f>SUMIF($C$60:$C$841,"&lt;="&amp;DATE($C54,12,31),$E$60:$E$841)-SUM(E$25:E53)</f>
        <v>0</v>
      </c>
      <c r="F54" s="546"/>
      <c r="G54" s="545">
        <f>SUMIF($C$60:$C$841,"&lt;="&amp;DATE($C54,12,31),$G$60:$G$841)-SUM(G$25:G53)</f>
        <v>0</v>
      </c>
      <c r="H54" s="545">
        <f>SUMIF($C$60:$C$841,"&lt;="&amp;DATE($C54,12,31),$H$60:$H$841)-SUM(H$25:H53)</f>
        <v>0</v>
      </c>
      <c r="I54" s="545">
        <f t="shared" si="2"/>
        <v>-1.862645149230957E-9</v>
      </c>
      <c r="K54" s="547">
        <f t="shared" si="0"/>
        <v>-1.862645149230957E-9</v>
      </c>
    </row>
    <row r="55" spans="2:11">
      <c r="B55" s="548"/>
      <c r="C55" s="544">
        <f t="shared" si="1"/>
        <v>2052</v>
      </c>
      <c r="D55" s="545">
        <f>SUMIF($C$60:$C$841,"&lt;="&amp;DATE($C55,12,31),$D$60:$D$841)-SUM(D$25:D54)</f>
        <v>0</v>
      </c>
      <c r="E55" s="545">
        <f>SUMIF($C$60:$C$841,"&lt;="&amp;DATE($C55,12,31),$E$60:$E$841)-SUM(E$25:E54)</f>
        <v>0</v>
      </c>
      <c r="F55" s="546"/>
      <c r="G55" s="545">
        <f>SUMIF($C$60:$C$841,"&lt;="&amp;DATE($C55,12,31),$G$60:$G$841)-SUM(G$25:G54)</f>
        <v>0</v>
      </c>
      <c r="H55" s="545">
        <f>SUMIF($C$60:$C$841,"&lt;="&amp;DATE($C55,12,31),$H$60:$H$841)-SUM(H$25:H54)</f>
        <v>0</v>
      </c>
      <c r="I55" s="545">
        <f t="shared" si="2"/>
        <v>-1.862645149230957E-9</v>
      </c>
      <c r="K55" s="547"/>
    </row>
    <row r="56" spans="2:11">
      <c r="B56" s="548"/>
      <c r="C56" s="544">
        <f t="shared" si="1"/>
        <v>2053</v>
      </c>
      <c r="D56" s="545">
        <f>SUMIF($C$60:$C$841,"&lt;="&amp;DATE($C56,12,31),$D$60:$D$841)-SUM(D$25:D55)</f>
        <v>0</v>
      </c>
      <c r="E56" s="545">
        <f>SUMIF($C$60:$C$841,"&lt;="&amp;DATE($C56,12,31),$E$60:$E$841)-SUM(E$25:E55)</f>
        <v>0</v>
      </c>
      <c r="F56" s="546"/>
      <c r="G56" s="545">
        <f>SUMIF($C$60:$C$841,"&lt;="&amp;DATE($C56,12,31),$G$60:$G$841)-SUM(G$25:G55)</f>
        <v>0</v>
      </c>
      <c r="H56" s="545">
        <f>SUMIF($C$60:$C$841,"&lt;="&amp;DATE($C56,12,31),$H$60:$H$841)-SUM(H$25:H55)</f>
        <v>0</v>
      </c>
      <c r="I56" s="545">
        <f t="shared" si="2"/>
        <v>-1.862645149230957E-9</v>
      </c>
    </row>
    <row r="57" spans="2:11">
      <c r="I57" s="531"/>
    </row>
    <row r="58" spans="2:11" ht="15">
      <c r="B58" s="534" t="s">
        <v>707</v>
      </c>
      <c r="C58" s="534"/>
      <c r="D58" s="534"/>
      <c r="E58" s="534"/>
      <c r="F58" s="534"/>
      <c r="G58" s="534"/>
      <c r="H58" s="534"/>
    </row>
    <row r="59" spans="2:11" ht="26.25" thickBot="1">
      <c r="B59" s="549" t="s">
        <v>708</v>
      </c>
      <c r="C59" s="550" t="s">
        <v>709</v>
      </c>
      <c r="D59" s="550" t="s">
        <v>710</v>
      </c>
      <c r="E59" s="550" t="s">
        <v>711</v>
      </c>
      <c r="F59" s="537"/>
      <c r="G59" s="551" t="s">
        <v>45</v>
      </c>
      <c r="H59" s="551" t="s">
        <v>44</v>
      </c>
      <c r="I59" s="551" t="s">
        <v>492</v>
      </c>
    </row>
    <row r="60" spans="2:11">
      <c r="B60" s="552"/>
      <c r="C60" s="553"/>
      <c r="D60" s="552"/>
      <c r="E60" s="552"/>
      <c r="F60" s="552"/>
      <c r="G60" s="554"/>
      <c r="H60" s="554"/>
      <c r="I60" s="554">
        <f>$E$6</f>
        <v>12000000</v>
      </c>
    </row>
    <row r="61" spans="2:11">
      <c r="B61" s="555">
        <f t="shared" ref="B61:B124" si="3">IF(I60="","",IF(roundOpt,IF(OR(B60&gt;=nper,ROUND(I60,2)&lt;=0),"",B60+1),IF(OR(B60&gt;=nper,I60&lt;=0),"",B60+1)))</f>
        <v>1</v>
      </c>
      <c r="C61" s="556">
        <f t="shared" ref="C61:C124" si="4">IF(B61="","",IF(OR(periods_per_year=26,periods_per_year=52),IF(periods_per_year=26,IF(B61=1,fpdate,C60+14),IF(periods_per_year=52,IF(B61=1,fpdate,C60+7),"n/a")),IF(periods_per_year=24,DATE(YEAR(fpdate),MONTH(fpdate)+(B61-1)/2+IF(AND(DAY(fpdate)&gt;=15,MOD(B61,2)=0),1,0),IF(MOD(B61,2)=0,IF(DAY(fpdate)&gt;=15,DAY(fpdate)-14,DAY(fpdate)+14),DAY(fpdate))),IF(DAY(DATE(YEAR(fpdate),MONTH(fpdate)+(B61-1)*months_per_period,DAY(fpdate)))&lt;&gt;DAY(fpdate),DATE(YEAR(fpdate),MONTH(fpdate)+(B61-1)*months_per_period+1,0),DATE(YEAR(fpdate),MONTH(fpdate)+(B61-1)*months_per_period,DAY(fpdate))))))</f>
        <v>45108</v>
      </c>
      <c r="D61" s="557">
        <f t="shared" ref="D61:D124" si="5">IF(B61="","",IF(roundOpt,IF(OR(B61=nper,payment&gt;ROUND((1+rate)*I60,2)),ROUND((1+rate)*I60,2),payment),IF(OR(B61=nper,payment&gt;(1+rate)*I60),(1+rate)*I60,payment)))</f>
        <v>799367.17</v>
      </c>
      <c r="E61" s="558"/>
      <c r="F61" s="559"/>
      <c r="G61" s="559">
        <f t="shared" ref="G61:G124" si="6">IF(B61="","",IF(AND(B61=1,pmtType=1),0,IF(roundOpt,ROUND(rate*I60,2),rate*I60)))</f>
        <v>0</v>
      </c>
      <c r="H61" s="559">
        <f t="shared" ref="H61:H124" si="7">IF(B61="","",D61-G61+E61)</f>
        <v>799367.17</v>
      </c>
      <c r="I61" s="559">
        <f t="shared" ref="I61:I124" si="8">IF(B61="","",I60-H61)</f>
        <v>11200632.83</v>
      </c>
    </row>
    <row r="62" spans="2:11">
      <c r="B62" s="555">
        <f t="shared" si="3"/>
        <v>2</v>
      </c>
      <c r="C62" s="556">
        <f t="shared" si="4"/>
        <v>45474</v>
      </c>
      <c r="D62" s="557">
        <f t="shared" si="5"/>
        <v>799367.17</v>
      </c>
      <c r="E62" s="560"/>
      <c r="F62" s="559"/>
      <c r="G62" s="559">
        <f t="shared" si="6"/>
        <v>364020.57</v>
      </c>
      <c r="H62" s="559">
        <f t="shared" si="7"/>
        <v>435346.60000000003</v>
      </c>
      <c r="I62" s="559">
        <f t="shared" si="8"/>
        <v>10765286.23</v>
      </c>
    </row>
    <row r="63" spans="2:11">
      <c r="B63" s="555">
        <f t="shared" si="3"/>
        <v>3</v>
      </c>
      <c r="C63" s="556">
        <f t="shared" si="4"/>
        <v>45839</v>
      </c>
      <c r="D63" s="557">
        <f t="shared" si="5"/>
        <v>799367.17</v>
      </c>
      <c r="E63" s="560"/>
      <c r="F63" s="559"/>
      <c r="G63" s="559">
        <f t="shared" si="6"/>
        <v>349871.8</v>
      </c>
      <c r="H63" s="559">
        <f t="shared" si="7"/>
        <v>449495.37000000005</v>
      </c>
      <c r="I63" s="559">
        <f t="shared" si="8"/>
        <v>10315790.860000001</v>
      </c>
    </row>
    <row r="64" spans="2:11">
      <c r="B64" s="555">
        <f t="shared" si="3"/>
        <v>4</v>
      </c>
      <c r="C64" s="556">
        <f t="shared" si="4"/>
        <v>46204</v>
      </c>
      <c r="D64" s="557">
        <f t="shared" si="5"/>
        <v>799367.17</v>
      </c>
      <c r="E64" s="560"/>
      <c r="F64" s="559"/>
      <c r="G64" s="559">
        <f t="shared" si="6"/>
        <v>335263.2</v>
      </c>
      <c r="H64" s="559">
        <f t="shared" si="7"/>
        <v>464103.97000000003</v>
      </c>
      <c r="I64" s="559">
        <f t="shared" si="8"/>
        <v>9851686.8900000006</v>
      </c>
    </row>
    <row r="65" spans="2:10" ht="15">
      <c r="B65" s="555">
        <f t="shared" si="3"/>
        <v>5</v>
      </c>
      <c r="C65" s="556">
        <f t="shared" si="4"/>
        <v>46569</v>
      </c>
      <c r="D65" s="557">
        <f t="shared" si="5"/>
        <v>799367.17</v>
      </c>
      <c r="E65" s="560"/>
      <c r="F65" s="559"/>
      <c r="G65" s="559">
        <f t="shared" si="6"/>
        <v>320179.82</v>
      </c>
      <c r="H65" s="559">
        <f t="shared" si="7"/>
        <v>479187.35000000003</v>
      </c>
      <c r="I65" s="559">
        <f t="shared" si="8"/>
        <v>9372499.540000001</v>
      </c>
      <c r="J65" s="561"/>
    </row>
    <row r="66" spans="2:10" ht="15">
      <c r="B66" s="555">
        <f t="shared" si="3"/>
        <v>6</v>
      </c>
      <c r="C66" s="556">
        <f t="shared" si="4"/>
        <v>46935</v>
      </c>
      <c r="D66" s="557">
        <f t="shared" si="5"/>
        <v>799367.17</v>
      </c>
      <c r="E66" s="560"/>
      <c r="F66" s="559"/>
      <c r="G66" s="559">
        <f t="shared" si="6"/>
        <v>304606.24</v>
      </c>
      <c r="H66" s="559">
        <f t="shared" si="7"/>
        <v>494760.93000000005</v>
      </c>
      <c r="I66" s="559">
        <f t="shared" si="8"/>
        <v>8877738.6100000013</v>
      </c>
      <c r="J66" s="561"/>
    </row>
    <row r="67" spans="2:10" ht="15">
      <c r="B67" s="555">
        <f t="shared" si="3"/>
        <v>7</v>
      </c>
      <c r="C67" s="556">
        <f t="shared" si="4"/>
        <v>47300</v>
      </c>
      <c r="D67" s="557">
        <f t="shared" si="5"/>
        <v>799367.17</v>
      </c>
      <c r="E67" s="560"/>
      <c r="F67" s="559"/>
      <c r="G67" s="559">
        <f t="shared" si="6"/>
        <v>288526.5</v>
      </c>
      <c r="H67" s="559">
        <f t="shared" si="7"/>
        <v>510840.67000000004</v>
      </c>
      <c r="I67" s="559">
        <f t="shared" si="8"/>
        <v>8366897.9400000013</v>
      </c>
      <c r="J67" s="562"/>
    </row>
    <row r="68" spans="2:10">
      <c r="B68" s="555">
        <f t="shared" si="3"/>
        <v>8</v>
      </c>
      <c r="C68" s="556">
        <f t="shared" si="4"/>
        <v>47665</v>
      </c>
      <c r="D68" s="557">
        <f t="shared" si="5"/>
        <v>799367.17</v>
      </c>
      <c r="E68" s="560"/>
      <c r="F68" s="559"/>
      <c r="G68" s="559">
        <f t="shared" si="6"/>
        <v>271924.18</v>
      </c>
      <c r="H68" s="559">
        <f t="shared" si="7"/>
        <v>527442.99</v>
      </c>
      <c r="I68" s="559">
        <f t="shared" si="8"/>
        <v>7839454.9500000011</v>
      </c>
    </row>
    <row r="69" spans="2:10">
      <c r="B69" s="555">
        <f t="shared" si="3"/>
        <v>9</v>
      </c>
      <c r="C69" s="556">
        <f t="shared" si="4"/>
        <v>48030</v>
      </c>
      <c r="D69" s="557">
        <f t="shared" si="5"/>
        <v>799367.17</v>
      </c>
      <c r="E69" s="560"/>
      <c r="F69" s="559"/>
      <c r="G69" s="559">
        <f t="shared" si="6"/>
        <v>254782.29</v>
      </c>
      <c r="H69" s="559">
        <f t="shared" si="7"/>
        <v>544584.88</v>
      </c>
      <c r="I69" s="559">
        <f t="shared" si="8"/>
        <v>7294870.0700000012</v>
      </c>
    </row>
    <row r="70" spans="2:10">
      <c r="B70" s="555">
        <f t="shared" si="3"/>
        <v>10</v>
      </c>
      <c r="C70" s="556">
        <f t="shared" si="4"/>
        <v>48396</v>
      </c>
      <c r="D70" s="557">
        <f t="shared" si="5"/>
        <v>799367.17</v>
      </c>
      <c r="E70" s="560"/>
      <c r="F70" s="559"/>
      <c r="G70" s="559">
        <f t="shared" si="6"/>
        <v>237083.28</v>
      </c>
      <c r="H70" s="559">
        <f t="shared" si="7"/>
        <v>562283.89</v>
      </c>
      <c r="I70" s="559">
        <f t="shared" si="8"/>
        <v>6732586.1800000016</v>
      </c>
    </row>
    <row r="71" spans="2:10">
      <c r="B71" s="555">
        <f t="shared" si="3"/>
        <v>11</v>
      </c>
      <c r="C71" s="556">
        <f t="shared" si="4"/>
        <v>48761</v>
      </c>
      <c r="D71" s="557">
        <f t="shared" si="5"/>
        <v>799367.17</v>
      </c>
      <c r="E71" s="560"/>
      <c r="F71" s="559"/>
      <c r="G71" s="559">
        <f t="shared" si="6"/>
        <v>218809.05</v>
      </c>
      <c r="H71" s="559">
        <f t="shared" si="7"/>
        <v>580558.12000000011</v>
      </c>
      <c r="I71" s="559">
        <f t="shared" si="8"/>
        <v>6152028.0600000015</v>
      </c>
    </row>
    <row r="72" spans="2:10">
      <c r="B72" s="555">
        <f t="shared" si="3"/>
        <v>12</v>
      </c>
      <c r="C72" s="556">
        <f t="shared" si="4"/>
        <v>49126</v>
      </c>
      <c r="D72" s="557">
        <f t="shared" si="5"/>
        <v>799367.17</v>
      </c>
      <c r="E72" s="560"/>
      <c r="F72" s="559"/>
      <c r="G72" s="559">
        <f t="shared" si="6"/>
        <v>199940.91</v>
      </c>
      <c r="H72" s="559">
        <f t="shared" si="7"/>
        <v>599426.26</v>
      </c>
      <c r="I72" s="559">
        <f t="shared" si="8"/>
        <v>5552601.8000000017</v>
      </c>
    </row>
    <row r="73" spans="2:10">
      <c r="B73" s="555">
        <f t="shared" si="3"/>
        <v>13</v>
      </c>
      <c r="C73" s="556">
        <f t="shared" si="4"/>
        <v>49491</v>
      </c>
      <c r="D73" s="557">
        <f t="shared" si="5"/>
        <v>799367.17</v>
      </c>
      <c r="E73" s="560"/>
      <c r="F73" s="559"/>
      <c r="G73" s="559">
        <f t="shared" si="6"/>
        <v>180459.56</v>
      </c>
      <c r="H73" s="559">
        <f t="shared" si="7"/>
        <v>618907.6100000001</v>
      </c>
      <c r="I73" s="559">
        <f t="shared" si="8"/>
        <v>4933694.1900000013</v>
      </c>
    </row>
    <row r="74" spans="2:10">
      <c r="B74" s="555">
        <f t="shared" si="3"/>
        <v>14</v>
      </c>
      <c r="C74" s="556">
        <f t="shared" si="4"/>
        <v>49857</v>
      </c>
      <c r="D74" s="557">
        <f t="shared" si="5"/>
        <v>799367.17</v>
      </c>
      <c r="E74" s="560"/>
      <c r="F74" s="559"/>
      <c r="G74" s="559">
        <f t="shared" si="6"/>
        <v>160345.06</v>
      </c>
      <c r="H74" s="559">
        <f t="shared" si="7"/>
        <v>639022.1100000001</v>
      </c>
      <c r="I74" s="559">
        <f t="shared" si="8"/>
        <v>4294672.080000001</v>
      </c>
    </row>
    <row r="75" spans="2:10">
      <c r="B75" s="555">
        <f t="shared" si="3"/>
        <v>15</v>
      </c>
      <c r="C75" s="556">
        <f t="shared" si="4"/>
        <v>50222</v>
      </c>
      <c r="D75" s="557">
        <f t="shared" si="5"/>
        <v>799367.17</v>
      </c>
      <c r="E75" s="560"/>
      <c r="F75" s="559"/>
      <c r="G75" s="559">
        <f t="shared" si="6"/>
        <v>139576.84</v>
      </c>
      <c r="H75" s="559">
        <f t="shared" si="7"/>
        <v>659790.33000000007</v>
      </c>
      <c r="I75" s="559">
        <f t="shared" si="8"/>
        <v>3634881.7500000009</v>
      </c>
    </row>
    <row r="76" spans="2:10">
      <c r="B76" s="555">
        <f t="shared" si="3"/>
        <v>16</v>
      </c>
      <c r="C76" s="556">
        <f t="shared" si="4"/>
        <v>50587</v>
      </c>
      <c r="D76" s="557">
        <f t="shared" si="5"/>
        <v>799367.17</v>
      </c>
      <c r="E76" s="560"/>
      <c r="F76" s="559"/>
      <c r="G76" s="559">
        <f t="shared" si="6"/>
        <v>118133.66</v>
      </c>
      <c r="H76" s="559">
        <f t="shared" si="7"/>
        <v>681233.51</v>
      </c>
      <c r="I76" s="559">
        <f t="shared" si="8"/>
        <v>2953648.2400000012</v>
      </c>
    </row>
    <row r="77" spans="2:10">
      <c r="B77" s="555">
        <f t="shared" si="3"/>
        <v>17</v>
      </c>
      <c r="C77" s="556">
        <f t="shared" si="4"/>
        <v>50952</v>
      </c>
      <c r="D77" s="557">
        <f t="shared" si="5"/>
        <v>799367.17</v>
      </c>
      <c r="E77" s="560"/>
      <c r="F77" s="559"/>
      <c r="G77" s="559">
        <f t="shared" si="6"/>
        <v>95993.57</v>
      </c>
      <c r="H77" s="559">
        <f t="shared" si="7"/>
        <v>703373.60000000009</v>
      </c>
      <c r="I77" s="559">
        <f t="shared" si="8"/>
        <v>2250274.6400000011</v>
      </c>
    </row>
    <row r="78" spans="2:10">
      <c r="B78" s="555">
        <f t="shared" si="3"/>
        <v>18</v>
      </c>
      <c r="C78" s="556">
        <f t="shared" si="4"/>
        <v>51318</v>
      </c>
      <c r="D78" s="557">
        <f t="shared" si="5"/>
        <v>799367.17</v>
      </c>
      <c r="E78" s="560"/>
      <c r="F78" s="559"/>
      <c r="G78" s="559">
        <f t="shared" si="6"/>
        <v>73133.929999999993</v>
      </c>
      <c r="H78" s="559">
        <f t="shared" si="7"/>
        <v>726233.24</v>
      </c>
      <c r="I78" s="559">
        <f t="shared" si="8"/>
        <v>1524041.4000000011</v>
      </c>
    </row>
    <row r="79" spans="2:10">
      <c r="B79" s="555">
        <f t="shared" si="3"/>
        <v>19</v>
      </c>
      <c r="C79" s="556">
        <f t="shared" si="4"/>
        <v>51683</v>
      </c>
      <c r="D79" s="557">
        <f t="shared" si="5"/>
        <v>799367.17</v>
      </c>
      <c r="E79" s="560"/>
      <c r="F79" s="559"/>
      <c r="G79" s="559">
        <f t="shared" si="6"/>
        <v>49531.35</v>
      </c>
      <c r="H79" s="559">
        <f t="shared" si="7"/>
        <v>749835.82000000007</v>
      </c>
      <c r="I79" s="559">
        <f t="shared" si="8"/>
        <v>774205.58000000101</v>
      </c>
    </row>
    <row r="80" spans="2:10">
      <c r="B80" s="555">
        <f t="shared" si="3"/>
        <v>20</v>
      </c>
      <c r="C80" s="556">
        <f t="shared" si="4"/>
        <v>52048</v>
      </c>
      <c r="D80" s="557">
        <f t="shared" si="5"/>
        <v>799367.26</v>
      </c>
      <c r="E80" s="560"/>
      <c r="F80" s="559"/>
      <c r="G80" s="559">
        <f t="shared" si="6"/>
        <v>25161.68</v>
      </c>
      <c r="H80" s="559">
        <f t="shared" si="7"/>
        <v>774205.58</v>
      </c>
      <c r="I80" s="559">
        <f t="shared" si="8"/>
        <v>1.0477378964424133E-9</v>
      </c>
    </row>
    <row r="81" spans="2:9">
      <c r="B81" s="555" t="str">
        <f t="shared" si="3"/>
        <v/>
      </c>
      <c r="C81" s="556" t="str">
        <f t="shared" si="4"/>
        <v/>
      </c>
      <c r="D81" s="557" t="str">
        <f t="shared" si="5"/>
        <v/>
      </c>
      <c r="E81" s="560"/>
      <c r="F81" s="559"/>
      <c r="G81" s="559" t="str">
        <f t="shared" si="6"/>
        <v/>
      </c>
      <c r="H81" s="559" t="str">
        <f t="shared" si="7"/>
        <v/>
      </c>
      <c r="I81" s="559" t="str">
        <f t="shared" si="8"/>
        <v/>
      </c>
    </row>
    <row r="82" spans="2:9">
      <c r="B82" s="555" t="str">
        <f t="shared" si="3"/>
        <v/>
      </c>
      <c r="C82" s="556" t="str">
        <f t="shared" si="4"/>
        <v/>
      </c>
      <c r="D82" s="557" t="str">
        <f t="shared" si="5"/>
        <v/>
      </c>
      <c r="E82" s="560"/>
      <c r="F82" s="559"/>
      <c r="G82" s="559" t="str">
        <f t="shared" si="6"/>
        <v/>
      </c>
      <c r="H82" s="559" t="str">
        <f t="shared" si="7"/>
        <v/>
      </c>
      <c r="I82" s="559" t="str">
        <f t="shared" si="8"/>
        <v/>
      </c>
    </row>
    <row r="83" spans="2:9">
      <c r="B83" s="555" t="str">
        <f t="shared" si="3"/>
        <v/>
      </c>
      <c r="C83" s="556" t="str">
        <f t="shared" si="4"/>
        <v/>
      </c>
      <c r="D83" s="557" t="str">
        <f t="shared" si="5"/>
        <v/>
      </c>
      <c r="E83" s="560"/>
      <c r="F83" s="559"/>
      <c r="G83" s="559" t="str">
        <f t="shared" si="6"/>
        <v/>
      </c>
      <c r="H83" s="559" t="str">
        <f t="shared" si="7"/>
        <v/>
      </c>
      <c r="I83" s="559" t="str">
        <f t="shared" si="8"/>
        <v/>
      </c>
    </row>
    <row r="84" spans="2:9">
      <c r="B84" s="555" t="str">
        <f t="shared" si="3"/>
        <v/>
      </c>
      <c r="C84" s="556" t="str">
        <f t="shared" si="4"/>
        <v/>
      </c>
      <c r="D84" s="557" t="str">
        <f t="shared" si="5"/>
        <v/>
      </c>
      <c r="E84" s="560"/>
      <c r="F84" s="559"/>
      <c r="G84" s="559" t="str">
        <f t="shared" si="6"/>
        <v/>
      </c>
      <c r="H84" s="559" t="str">
        <f t="shared" si="7"/>
        <v/>
      </c>
      <c r="I84" s="559" t="str">
        <f t="shared" si="8"/>
        <v/>
      </c>
    </row>
    <row r="85" spans="2:9">
      <c r="B85" s="555" t="str">
        <f t="shared" si="3"/>
        <v/>
      </c>
      <c r="C85" s="556" t="str">
        <f t="shared" si="4"/>
        <v/>
      </c>
      <c r="D85" s="557" t="str">
        <f t="shared" si="5"/>
        <v/>
      </c>
      <c r="E85" s="560"/>
      <c r="F85" s="559"/>
      <c r="G85" s="559" t="str">
        <f t="shared" si="6"/>
        <v/>
      </c>
      <c r="H85" s="559" t="str">
        <f t="shared" si="7"/>
        <v/>
      </c>
      <c r="I85" s="559" t="str">
        <f t="shared" si="8"/>
        <v/>
      </c>
    </row>
    <row r="86" spans="2:9">
      <c r="B86" s="555" t="str">
        <f t="shared" si="3"/>
        <v/>
      </c>
      <c r="C86" s="556" t="str">
        <f t="shared" si="4"/>
        <v/>
      </c>
      <c r="D86" s="557" t="str">
        <f t="shared" si="5"/>
        <v/>
      </c>
      <c r="E86" s="560"/>
      <c r="F86" s="559"/>
      <c r="G86" s="559" t="str">
        <f t="shared" si="6"/>
        <v/>
      </c>
      <c r="H86" s="559" t="str">
        <f t="shared" si="7"/>
        <v/>
      </c>
      <c r="I86" s="559" t="str">
        <f t="shared" si="8"/>
        <v/>
      </c>
    </row>
    <row r="87" spans="2:9">
      <c r="B87" s="555" t="str">
        <f t="shared" si="3"/>
        <v/>
      </c>
      <c r="C87" s="556" t="str">
        <f t="shared" si="4"/>
        <v/>
      </c>
      <c r="D87" s="557" t="str">
        <f t="shared" si="5"/>
        <v/>
      </c>
      <c r="E87" s="560"/>
      <c r="F87" s="559"/>
      <c r="G87" s="559" t="str">
        <f t="shared" si="6"/>
        <v/>
      </c>
      <c r="H87" s="559" t="str">
        <f t="shared" si="7"/>
        <v/>
      </c>
      <c r="I87" s="559" t="str">
        <f t="shared" si="8"/>
        <v/>
      </c>
    </row>
    <row r="88" spans="2:9">
      <c r="B88" s="555" t="str">
        <f t="shared" si="3"/>
        <v/>
      </c>
      <c r="C88" s="556" t="str">
        <f t="shared" si="4"/>
        <v/>
      </c>
      <c r="D88" s="557" t="str">
        <f t="shared" si="5"/>
        <v/>
      </c>
      <c r="E88" s="560"/>
      <c r="F88" s="559"/>
      <c r="G88" s="559" t="str">
        <f t="shared" si="6"/>
        <v/>
      </c>
      <c r="H88" s="559" t="str">
        <f t="shared" si="7"/>
        <v/>
      </c>
      <c r="I88" s="559" t="str">
        <f t="shared" si="8"/>
        <v/>
      </c>
    </row>
    <row r="89" spans="2:9">
      <c r="B89" s="555" t="str">
        <f t="shared" si="3"/>
        <v/>
      </c>
      <c r="C89" s="556" t="str">
        <f t="shared" si="4"/>
        <v/>
      </c>
      <c r="D89" s="557" t="str">
        <f t="shared" si="5"/>
        <v/>
      </c>
      <c r="E89" s="560"/>
      <c r="F89" s="559"/>
      <c r="G89" s="559" t="str">
        <f t="shared" si="6"/>
        <v/>
      </c>
      <c r="H89" s="559" t="str">
        <f t="shared" si="7"/>
        <v/>
      </c>
      <c r="I89" s="559" t="str">
        <f t="shared" si="8"/>
        <v/>
      </c>
    </row>
    <row r="90" spans="2:9">
      <c r="B90" s="555" t="str">
        <f t="shared" si="3"/>
        <v/>
      </c>
      <c r="C90" s="556" t="str">
        <f t="shared" si="4"/>
        <v/>
      </c>
      <c r="D90" s="557" t="str">
        <f t="shared" si="5"/>
        <v/>
      </c>
      <c r="E90" s="560"/>
      <c r="F90" s="559"/>
      <c r="G90" s="559" t="str">
        <f t="shared" si="6"/>
        <v/>
      </c>
      <c r="H90" s="559" t="str">
        <f t="shared" si="7"/>
        <v/>
      </c>
      <c r="I90" s="559" t="str">
        <f t="shared" si="8"/>
        <v/>
      </c>
    </row>
    <row r="91" spans="2:9">
      <c r="B91" s="555"/>
      <c r="C91" s="556"/>
      <c r="D91" s="557"/>
      <c r="E91" s="560"/>
      <c r="F91" s="559"/>
      <c r="G91" s="559"/>
      <c r="H91" s="559"/>
      <c r="I91" s="559"/>
    </row>
    <row r="92" spans="2:9" ht="15.75">
      <c r="B92" s="555"/>
      <c r="C92" s="556"/>
      <c r="D92" s="596" t="s">
        <v>718</v>
      </c>
      <c r="E92" s="597">
        <f>SUM(D35:D56)</f>
        <v>8793038.9600000009</v>
      </c>
      <c r="F92" s="559"/>
      <c r="G92" s="559"/>
      <c r="H92" s="559"/>
      <c r="I92" s="559"/>
    </row>
    <row r="93" spans="2:9">
      <c r="B93" s="555"/>
      <c r="C93" s="556"/>
      <c r="D93" s="557"/>
      <c r="E93" s="560"/>
      <c r="F93" s="559"/>
      <c r="G93" s="559"/>
      <c r="H93" s="559"/>
      <c r="I93" s="559"/>
    </row>
    <row r="94" spans="2:9">
      <c r="B94" s="555"/>
      <c r="C94" s="556"/>
      <c r="D94" s="557"/>
      <c r="E94" s="560"/>
      <c r="F94" s="559"/>
      <c r="G94" s="559"/>
      <c r="H94" s="559"/>
      <c r="I94" s="559"/>
    </row>
    <row r="95" spans="2:9">
      <c r="B95" s="555"/>
      <c r="C95" s="556"/>
      <c r="D95" s="557"/>
      <c r="E95" s="560"/>
      <c r="F95" s="559"/>
      <c r="G95" s="559"/>
      <c r="H95" s="559"/>
      <c r="I95" s="559"/>
    </row>
    <row r="96" spans="2:9">
      <c r="B96" s="555"/>
      <c r="C96" s="556"/>
      <c r="D96" s="557"/>
      <c r="E96" s="560"/>
      <c r="F96" s="559"/>
      <c r="G96" s="559"/>
      <c r="H96" s="559"/>
      <c r="I96" s="559"/>
    </row>
    <row r="97" spans="2:9">
      <c r="B97" s="555"/>
      <c r="C97" s="556"/>
      <c r="D97" s="557"/>
      <c r="E97" s="560"/>
      <c r="F97" s="559"/>
      <c r="G97" s="559"/>
      <c r="H97" s="559"/>
      <c r="I97" s="559"/>
    </row>
    <row r="98" spans="2:9">
      <c r="B98" s="555" t="str">
        <f t="shared" si="3"/>
        <v/>
      </c>
      <c r="C98" s="556" t="str">
        <f t="shared" si="4"/>
        <v/>
      </c>
      <c r="D98" s="557" t="str">
        <f t="shared" si="5"/>
        <v/>
      </c>
      <c r="E98" s="560"/>
      <c r="F98" s="559"/>
      <c r="G98" s="559" t="str">
        <f t="shared" si="6"/>
        <v/>
      </c>
      <c r="H98" s="559" t="str">
        <f t="shared" si="7"/>
        <v/>
      </c>
      <c r="I98" s="559" t="str">
        <f t="shared" si="8"/>
        <v/>
      </c>
    </row>
    <row r="99" spans="2:9">
      <c r="B99" s="555" t="str">
        <f t="shared" si="3"/>
        <v/>
      </c>
      <c r="C99" s="556" t="str">
        <f t="shared" si="4"/>
        <v/>
      </c>
      <c r="D99" s="557" t="str">
        <f t="shared" si="5"/>
        <v/>
      </c>
      <c r="E99" s="560"/>
      <c r="F99" s="559"/>
      <c r="G99" s="559" t="str">
        <f t="shared" si="6"/>
        <v/>
      </c>
      <c r="H99" s="559" t="str">
        <f t="shared" si="7"/>
        <v/>
      </c>
      <c r="I99" s="559" t="str">
        <f t="shared" si="8"/>
        <v/>
      </c>
    </row>
    <row r="100" spans="2:9">
      <c r="B100" s="555" t="str">
        <f t="shared" si="3"/>
        <v/>
      </c>
      <c r="C100" s="556" t="str">
        <f t="shared" si="4"/>
        <v/>
      </c>
      <c r="D100" s="557" t="str">
        <f t="shared" si="5"/>
        <v/>
      </c>
      <c r="E100" s="560"/>
      <c r="F100" s="559"/>
      <c r="G100" s="559" t="str">
        <f t="shared" si="6"/>
        <v/>
      </c>
      <c r="H100" s="559" t="str">
        <f t="shared" si="7"/>
        <v/>
      </c>
      <c r="I100" s="559" t="str">
        <f t="shared" si="8"/>
        <v/>
      </c>
    </row>
    <row r="101" spans="2:9">
      <c r="B101" s="555" t="str">
        <f t="shared" si="3"/>
        <v/>
      </c>
      <c r="C101" s="556" t="str">
        <f t="shared" si="4"/>
        <v/>
      </c>
      <c r="D101" s="557" t="str">
        <f t="shared" si="5"/>
        <v/>
      </c>
      <c r="E101" s="560"/>
      <c r="F101" s="559"/>
      <c r="G101" s="559" t="str">
        <f t="shared" si="6"/>
        <v/>
      </c>
      <c r="H101" s="559" t="str">
        <f t="shared" si="7"/>
        <v/>
      </c>
      <c r="I101" s="559" t="str">
        <f t="shared" si="8"/>
        <v/>
      </c>
    </row>
    <row r="102" spans="2:9">
      <c r="B102" s="555" t="str">
        <f t="shared" si="3"/>
        <v/>
      </c>
      <c r="C102" s="556" t="str">
        <f t="shared" si="4"/>
        <v/>
      </c>
      <c r="D102" s="557" t="str">
        <f t="shared" si="5"/>
        <v/>
      </c>
      <c r="E102" s="560"/>
      <c r="F102" s="559"/>
      <c r="G102" s="559" t="str">
        <f t="shared" si="6"/>
        <v/>
      </c>
      <c r="H102" s="559" t="str">
        <f t="shared" si="7"/>
        <v/>
      </c>
      <c r="I102" s="559" t="str">
        <f t="shared" si="8"/>
        <v/>
      </c>
    </row>
    <row r="103" spans="2:9">
      <c r="B103" s="555" t="str">
        <f t="shared" si="3"/>
        <v/>
      </c>
      <c r="C103" s="556" t="str">
        <f t="shared" si="4"/>
        <v/>
      </c>
      <c r="D103" s="557" t="str">
        <f t="shared" si="5"/>
        <v/>
      </c>
      <c r="E103" s="560"/>
      <c r="F103" s="559"/>
      <c r="G103" s="559" t="str">
        <f t="shared" si="6"/>
        <v/>
      </c>
      <c r="H103" s="559" t="str">
        <f t="shared" si="7"/>
        <v/>
      </c>
      <c r="I103" s="559" t="str">
        <f t="shared" si="8"/>
        <v/>
      </c>
    </row>
    <row r="104" spans="2:9">
      <c r="B104" s="555" t="str">
        <f t="shared" si="3"/>
        <v/>
      </c>
      <c r="C104" s="556" t="str">
        <f t="shared" si="4"/>
        <v/>
      </c>
      <c r="D104" s="557" t="str">
        <f t="shared" si="5"/>
        <v/>
      </c>
      <c r="E104" s="560"/>
      <c r="F104" s="559"/>
      <c r="G104" s="559" t="str">
        <f t="shared" si="6"/>
        <v/>
      </c>
      <c r="H104" s="559" t="str">
        <f t="shared" si="7"/>
        <v/>
      </c>
      <c r="I104" s="559" t="str">
        <f t="shared" si="8"/>
        <v/>
      </c>
    </row>
    <row r="105" spans="2:9">
      <c r="B105" s="555" t="str">
        <f t="shared" si="3"/>
        <v/>
      </c>
      <c r="C105" s="556" t="str">
        <f t="shared" si="4"/>
        <v/>
      </c>
      <c r="D105" s="557" t="str">
        <f t="shared" si="5"/>
        <v/>
      </c>
      <c r="E105" s="560"/>
      <c r="F105" s="559"/>
      <c r="G105" s="559" t="str">
        <f t="shared" si="6"/>
        <v/>
      </c>
      <c r="H105" s="559" t="str">
        <f t="shared" si="7"/>
        <v/>
      </c>
      <c r="I105" s="559" t="str">
        <f t="shared" si="8"/>
        <v/>
      </c>
    </row>
    <row r="106" spans="2:9">
      <c r="B106" s="555" t="str">
        <f t="shared" si="3"/>
        <v/>
      </c>
      <c r="C106" s="556" t="str">
        <f t="shared" si="4"/>
        <v/>
      </c>
      <c r="D106" s="557" t="str">
        <f t="shared" si="5"/>
        <v/>
      </c>
      <c r="E106" s="560"/>
      <c r="F106" s="559"/>
      <c r="G106" s="559" t="str">
        <f t="shared" si="6"/>
        <v/>
      </c>
      <c r="H106" s="559" t="str">
        <f t="shared" si="7"/>
        <v/>
      </c>
      <c r="I106" s="559" t="str">
        <f t="shared" si="8"/>
        <v/>
      </c>
    </row>
    <row r="107" spans="2:9">
      <c r="B107" s="555" t="str">
        <f t="shared" si="3"/>
        <v/>
      </c>
      <c r="C107" s="556" t="str">
        <f t="shared" si="4"/>
        <v/>
      </c>
      <c r="D107" s="557" t="str">
        <f t="shared" si="5"/>
        <v/>
      </c>
      <c r="E107" s="560"/>
      <c r="F107" s="559"/>
      <c r="G107" s="559" t="str">
        <f t="shared" si="6"/>
        <v/>
      </c>
      <c r="H107" s="559" t="str">
        <f t="shared" si="7"/>
        <v/>
      </c>
      <c r="I107" s="559" t="str">
        <f t="shared" si="8"/>
        <v/>
      </c>
    </row>
    <row r="108" spans="2:9">
      <c r="B108" s="555" t="str">
        <f t="shared" si="3"/>
        <v/>
      </c>
      <c r="C108" s="556" t="str">
        <f t="shared" si="4"/>
        <v/>
      </c>
      <c r="D108" s="557" t="str">
        <f t="shared" si="5"/>
        <v/>
      </c>
      <c r="E108" s="560"/>
      <c r="F108" s="559"/>
      <c r="G108" s="559" t="str">
        <f t="shared" si="6"/>
        <v/>
      </c>
      <c r="H108" s="559" t="str">
        <f t="shared" si="7"/>
        <v/>
      </c>
      <c r="I108" s="559" t="str">
        <f t="shared" si="8"/>
        <v/>
      </c>
    </row>
    <row r="109" spans="2:9">
      <c r="B109" s="555" t="str">
        <f t="shared" si="3"/>
        <v/>
      </c>
      <c r="C109" s="556" t="str">
        <f t="shared" si="4"/>
        <v/>
      </c>
      <c r="D109" s="557" t="str">
        <f t="shared" si="5"/>
        <v/>
      </c>
      <c r="E109" s="560"/>
      <c r="F109" s="559"/>
      <c r="G109" s="559" t="str">
        <f t="shared" si="6"/>
        <v/>
      </c>
      <c r="H109" s="559" t="str">
        <f t="shared" si="7"/>
        <v/>
      </c>
      <c r="I109" s="559" t="str">
        <f t="shared" si="8"/>
        <v/>
      </c>
    </row>
    <row r="110" spans="2:9">
      <c r="B110" s="555" t="str">
        <f t="shared" si="3"/>
        <v/>
      </c>
      <c r="C110" s="556" t="str">
        <f t="shared" si="4"/>
        <v/>
      </c>
      <c r="D110" s="557" t="str">
        <f t="shared" si="5"/>
        <v/>
      </c>
      <c r="E110" s="560"/>
      <c r="F110" s="559"/>
      <c r="G110" s="559" t="str">
        <f t="shared" si="6"/>
        <v/>
      </c>
      <c r="H110" s="559" t="str">
        <f t="shared" si="7"/>
        <v/>
      </c>
      <c r="I110" s="559" t="str">
        <f t="shared" si="8"/>
        <v/>
      </c>
    </row>
    <row r="111" spans="2:9">
      <c r="B111" s="555" t="str">
        <f t="shared" si="3"/>
        <v/>
      </c>
      <c r="C111" s="556" t="str">
        <f t="shared" si="4"/>
        <v/>
      </c>
      <c r="D111" s="557" t="str">
        <f t="shared" si="5"/>
        <v/>
      </c>
      <c r="E111" s="560"/>
      <c r="F111" s="559"/>
      <c r="G111" s="559" t="str">
        <f t="shared" si="6"/>
        <v/>
      </c>
      <c r="H111" s="559" t="str">
        <f t="shared" si="7"/>
        <v/>
      </c>
      <c r="I111" s="559" t="str">
        <f t="shared" si="8"/>
        <v/>
      </c>
    </row>
    <row r="112" spans="2:9">
      <c r="B112" s="555" t="str">
        <f t="shared" si="3"/>
        <v/>
      </c>
      <c r="C112" s="556" t="str">
        <f t="shared" si="4"/>
        <v/>
      </c>
      <c r="D112" s="557" t="str">
        <f t="shared" si="5"/>
        <v/>
      </c>
      <c r="E112" s="560"/>
      <c r="F112" s="559"/>
      <c r="G112" s="559" t="str">
        <f t="shared" si="6"/>
        <v/>
      </c>
      <c r="H112" s="559" t="str">
        <f t="shared" si="7"/>
        <v/>
      </c>
      <c r="I112" s="559" t="str">
        <f t="shared" si="8"/>
        <v/>
      </c>
    </row>
    <row r="113" spans="2:9">
      <c r="B113" s="555" t="str">
        <f t="shared" si="3"/>
        <v/>
      </c>
      <c r="C113" s="556" t="str">
        <f t="shared" si="4"/>
        <v/>
      </c>
      <c r="D113" s="557" t="str">
        <f t="shared" si="5"/>
        <v/>
      </c>
      <c r="E113" s="560"/>
      <c r="F113" s="559"/>
      <c r="G113" s="559" t="str">
        <f t="shared" si="6"/>
        <v/>
      </c>
      <c r="H113" s="559" t="str">
        <f t="shared" si="7"/>
        <v/>
      </c>
      <c r="I113" s="559" t="str">
        <f t="shared" si="8"/>
        <v/>
      </c>
    </row>
    <row r="114" spans="2:9">
      <c r="B114" s="555" t="str">
        <f t="shared" si="3"/>
        <v/>
      </c>
      <c r="C114" s="556" t="str">
        <f t="shared" si="4"/>
        <v/>
      </c>
      <c r="D114" s="557" t="str">
        <f t="shared" si="5"/>
        <v/>
      </c>
      <c r="E114" s="560"/>
      <c r="F114" s="559"/>
      <c r="G114" s="559" t="str">
        <f t="shared" si="6"/>
        <v/>
      </c>
      <c r="H114" s="559" t="str">
        <f t="shared" si="7"/>
        <v/>
      </c>
      <c r="I114" s="559" t="str">
        <f t="shared" si="8"/>
        <v/>
      </c>
    </row>
    <row r="115" spans="2:9">
      <c r="B115" s="555" t="str">
        <f t="shared" si="3"/>
        <v/>
      </c>
      <c r="C115" s="556" t="str">
        <f t="shared" si="4"/>
        <v/>
      </c>
      <c r="D115" s="557" t="str">
        <f t="shared" si="5"/>
        <v/>
      </c>
      <c r="E115" s="560"/>
      <c r="F115" s="559"/>
      <c r="G115" s="559" t="str">
        <f t="shared" si="6"/>
        <v/>
      </c>
      <c r="H115" s="559" t="str">
        <f t="shared" si="7"/>
        <v/>
      </c>
      <c r="I115" s="559" t="str">
        <f t="shared" si="8"/>
        <v/>
      </c>
    </row>
    <row r="116" spans="2:9">
      <c r="B116" s="555" t="str">
        <f t="shared" si="3"/>
        <v/>
      </c>
      <c r="C116" s="556" t="str">
        <f t="shared" si="4"/>
        <v/>
      </c>
      <c r="D116" s="557" t="str">
        <f t="shared" si="5"/>
        <v/>
      </c>
      <c r="E116" s="560"/>
      <c r="F116" s="559"/>
      <c r="G116" s="559" t="str">
        <f t="shared" si="6"/>
        <v/>
      </c>
      <c r="H116" s="559" t="str">
        <f t="shared" si="7"/>
        <v/>
      </c>
      <c r="I116" s="559" t="str">
        <f t="shared" si="8"/>
        <v/>
      </c>
    </row>
    <row r="117" spans="2:9">
      <c r="B117" s="555" t="str">
        <f t="shared" si="3"/>
        <v/>
      </c>
      <c r="C117" s="556" t="str">
        <f t="shared" si="4"/>
        <v/>
      </c>
      <c r="D117" s="557" t="str">
        <f t="shared" si="5"/>
        <v/>
      </c>
      <c r="E117" s="560"/>
      <c r="F117" s="559"/>
      <c r="G117" s="559" t="str">
        <f t="shared" si="6"/>
        <v/>
      </c>
      <c r="H117" s="559" t="str">
        <f t="shared" si="7"/>
        <v/>
      </c>
      <c r="I117" s="559" t="str">
        <f t="shared" si="8"/>
        <v/>
      </c>
    </row>
    <row r="118" spans="2:9">
      <c r="B118" s="555" t="str">
        <f t="shared" si="3"/>
        <v/>
      </c>
      <c r="C118" s="556" t="str">
        <f t="shared" si="4"/>
        <v/>
      </c>
      <c r="D118" s="557" t="str">
        <f t="shared" si="5"/>
        <v/>
      </c>
      <c r="E118" s="560"/>
      <c r="F118" s="559"/>
      <c r="G118" s="559" t="str">
        <f t="shared" si="6"/>
        <v/>
      </c>
      <c r="H118" s="559" t="str">
        <f t="shared" si="7"/>
        <v/>
      </c>
      <c r="I118" s="559" t="str">
        <f t="shared" si="8"/>
        <v/>
      </c>
    </row>
    <row r="119" spans="2:9">
      <c r="B119" s="555" t="str">
        <f t="shared" si="3"/>
        <v/>
      </c>
      <c r="C119" s="556" t="str">
        <f t="shared" si="4"/>
        <v/>
      </c>
      <c r="D119" s="557" t="str">
        <f t="shared" si="5"/>
        <v/>
      </c>
      <c r="E119" s="560"/>
      <c r="F119" s="559"/>
      <c r="G119" s="559" t="str">
        <f t="shared" si="6"/>
        <v/>
      </c>
      <c r="H119" s="559" t="str">
        <f t="shared" si="7"/>
        <v/>
      </c>
      <c r="I119" s="559" t="str">
        <f t="shared" si="8"/>
        <v/>
      </c>
    </row>
    <row r="120" spans="2:9">
      <c r="B120" s="555" t="str">
        <f t="shared" si="3"/>
        <v/>
      </c>
      <c r="C120" s="556" t="str">
        <f t="shared" si="4"/>
        <v/>
      </c>
      <c r="D120" s="557" t="str">
        <f t="shared" si="5"/>
        <v/>
      </c>
      <c r="E120" s="560"/>
      <c r="F120" s="559"/>
      <c r="G120" s="559" t="str">
        <f t="shared" si="6"/>
        <v/>
      </c>
      <c r="H120" s="559" t="str">
        <f t="shared" si="7"/>
        <v/>
      </c>
      <c r="I120" s="559" t="str">
        <f t="shared" si="8"/>
        <v/>
      </c>
    </row>
    <row r="121" spans="2:9">
      <c r="B121" s="555" t="str">
        <f t="shared" si="3"/>
        <v/>
      </c>
      <c r="C121" s="556" t="str">
        <f t="shared" si="4"/>
        <v/>
      </c>
      <c r="D121" s="557" t="str">
        <f t="shared" si="5"/>
        <v/>
      </c>
      <c r="E121" s="560"/>
      <c r="F121" s="559"/>
      <c r="G121" s="559" t="str">
        <f t="shared" si="6"/>
        <v/>
      </c>
      <c r="H121" s="559" t="str">
        <f t="shared" si="7"/>
        <v/>
      </c>
      <c r="I121" s="559" t="str">
        <f t="shared" si="8"/>
        <v/>
      </c>
    </row>
    <row r="122" spans="2:9">
      <c r="B122" s="555" t="str">
        <f t="shared" si="3"/>
        <v/>
      </c>
      <c r="C122" s="556" t="str">
        <f t="shared" si="4"/>
        <v/>
      </c>
      <c r="D122" s="557" t="str">
        <f t="shared" si="5"/>
        <v/>
      </c>
      <c r="E122" s="560"/>
      <c r="F122" s="559"/>
      <c r="G122" s="559" t="str">
        <f t="shared" si="6"/>
        <v/>
      </c>
      <c r="H122" s="559" t="str">
        <f t="shared" si="7"/>
        <v/>
      </c>
      <c r="I122" s="559" t="str">
        <f t="shared" si="8"/>
        <v/>
      </c>
    </row>
    <row r="123" spans="2:9">
      <c r="B123" s="555" t="str">
        <f t="shared" si="3"/>
        <v/>
      </c>
      <c r="C123" s="556" t="str">
        <f t="shared" si="4"/>
        <v/>
      </c>
      <c r="D123" s="557" t="str">
        <f t="shared" si="5"/>
        <v/>
      </c>
      <c r="E123" s="560"/>
      <c r="F123" s="559"/>
      <c r="G123" s="559" t="str">
        <f t="shared" si="6"/>
        <v/>
      </c>
      <c r="H123" s="559" t="str">
        <f t="shared" si="7"/>
        <v/>
      </c>
      <c r="I123" s="559" t="str">
        <f t="shared" si="8"/>
        <v/>
      </c>
    </row>
    <row r="124" spans="2:9">
      <c r="B124" s="555" t="str">
        <f t="shared" si="3"/>
        <v/>
      </c>
      <c r="C124" s="556" t="str">
        <f t="shared" si="4"/>
        <v/>
      </c>
      <c r="D124" s="557" t="str">
        <f t="shared" si="5"/>
        <v/>
      </c>
      <c r="E124" s="560"/>
      <c r="F124" s="559"/>
      <c r="G124" s="559" t="str">
        <f t="shared" si="6"/>
        <v/>
      </c>
      <c r="H124" s="559" t="str">
        <f t="shared" si="7"/>
        <v/>
      </c>
      <c r="I124" s="559" t="str">
        <f t="shared" si="8"/>
        <v/>
      </c>
    </row>
    <row r="125" spans="2:9">
      <c r="B125" s="555" t="str">
        <f t="shared" ref="B125:B188" si="9">IF(I124="","",IF(roundOpt,IF(OR(B124&gt;=nper,ROUND(I124,2)&lt;=0),"",B124+1),IF(OR(B124&gt;=nper,I124&lt;=0),"",B124+1)))</f>
        <v/>
      </c>
      <c r="C125" s="556" t="str">
        <f t="shared" ref="C125:C188" si="10">IF(B125="","",IF(OR(periods_per_year=26,periods_per_year=52),IF(periods_per_year=26,IF(B125=1,fpdate,C124+14),IF(periods_per_year=52,IF(B125=1,fpdate,C124+7),"n/a")),IF(periods_per_year=24,DATE(YEAR(fpdate),MONTH(fpdate)+(B125-1)/2+IF(AND(DAY(fpdate)&gt;=15,MOD(B125,2)=0),1,0),IF(MOD(B125,2)=0,IF(DAY(fpdate)&gt;=15,DAY(fpdate)-14,DAY(fpdate)+14),DAY(fpdate))),IF(DAY(DATE(YEAR(fpdate),MONTH(fpdate)+(B125-1)*months_per_period,DAY(fpdate)))&lt;&gt;DAY(fpdate),DATE(YEAR(fpdate),MONTH(fpdate)+(B125-1)*months_per_period+1,0),DATE(YEAR(fpdate),MONTH(fpdate)+(B125-1)*months_per_period,DAY(fpdate))))))</f>
        <v/>
      </c>
      <c r="D125" s="557" t="str">
        <f t="shared" ref="D125:D188" si="11">IF(B125="","",IF(roundOpt,IF(OR(B125=nper,payment&gt;ROUND((1+rate)*I124,2)),ROUND((1+rate)*I124,2),payment),IF(OR(B125=nper,payment&gt;(1+rate)*I124),(1+rate)*I124,payment)))</f>
        <v/>
      </c>
      <c r="E125" s="560"/>
      <c r="F125" s="559"/>
      <c r="G125" s="559" t="str">
        <f t="shared" ref="G125:G188" si="12">IF(B125="","",IF(AND(B125=1,pmtType=1),0,IF(roundOpt,ROUND(rate*I124,2),rate*I124)))</f>
        <v/>
      </c>
      <c r="H125" s="559" t="str">
        <f t="shared" ref="H125:H188" si="13">IF(B125="","",D125-G125+E125)</f>
        <v/>
      </c>
      <c r="I125" s="559" t="str">
        <f t="shared" ref="I125:I188" si="14">IF(B125="","",I124-H125)</f>
        <v/>
      </c>
    </row>
    <row r="126" spans="2:9">
      <c r="B126" s="555" t="str">
        <f t="shared" si="9"/>
        <v/>
      </c>
      <c r="C126" s="556" t="str">
        <f t="shared" si="10"/>
        <v/>
      </c>
      <c r="D126" s="557" t="str">
        <f t="shared" si="11"/>
        <v/>
      </c>
      <c r="E126" s="560"/>
      <c r="F126" s="559"/>
      <c r="G126" s="559" t="str">
        <f t="shared" si="12"/>
        <v/>
      </c>
      <c r="H126" s="559" t="str">
        <f t="shared" si="13"/>
        <v/>
      </c>
      <c r="I126" s="559" t="str">
        <f t="shared" si="14"/>
        <v/>
      </c>
    </row>
    <row r="127" spans="2:9">
      <c r="B127" s="555" t="str">
        <f t="shared" si="9"/>
        <v/>
      </c>
      <c r="C127" s="556" t="str">
        <f t="shared" si="10"/>
        <v/>
      </c>
      <c r="D127" s="557" t="str">
        <f t="shared" si="11"/>
        <v/>
      </c>
      <c r="E127" s="560"/>
      <c r="F127" s="559"/>
      <c r="G127" s="559" t="str">
        <f t="shared" si="12"/>
        <v/>
      </c>
      <c r="H127" s="559" t="str">
        <f t="shared" si="13"/>
        <v/>
      </c>
      <c r="I127" s="559" t="str">
        <f t="shared" si="14"/>
        <v/>
      </c>
    </row>
    <row r="128" spans="2:9">
      <c r="B128" s="555" t="str">
        <f t="shared" si="9"/>
        <v/>
      </c>
      <c r="C128" s="556" t="str">
        <f t="shared" si="10"/>
        <v/>
      </c>
      <c r="D128" s="557" t="str">
        <f t="shared" si="11"/>
        <v/>
      </c>
      <c r="E128" s="560"/>
      <c r="F128" s="559"/>
      <c r="G128" s="559" t="str">
        <f t="shared" si="12"/>
        <v/>
      </c>
      <c r="H128" s="559" t="str">
        <f t="shared" si="13"/>
        <v/>
      </c>
      <c r="I128" s="559" t="str">
        <f t="shared" si="14"/>
        <v/>
      </c>
    </row>
    <row r="129" spans="2:9">
      <c r="B129" s="555" t="str">
        <f t="shared" si="9"/>
        <v/>
      </c>
      <c r="C129" s="556" t="str">
        <f t="shared" si="10"/>
        <v/>
      </c>
      <c r="D129" s="557" t="str">
        <f t="shared" si="11"/>
        <v/>
      </c>
      <c r="E129" s="560"/>
      <c r="F129" s="559"/>
      <c r="G129" s="559" t="str">
        <f t="shared" si="12"/>
        <v/>
      </c>
      <c r="H129" s="559" t="str">
        <f t="shared" si="13"/>
        <v/>
      </c>
      <c r="I129" s="559" t="str">
        <f t="shared" si="14"/>
        <v/>
      </c>
    </row>
    <row r="130" spans="2:9">
      <c r="B130" s="555" t="str">
        <f t="shared" si="9"/>
        <v/>
      </c>
      <c r="C130" s="556" t="str">
        <f t="shared" si="10"/>
        <v/>
      </c>
      <c r="D130" s="557" t="str">
        <f t="shared" si="11"/>
        <v/>
      </c>
      <c r="E130" s="560"/>
      <c r="F130" s="559"/>
      <c r="G130" s="559" t="str">
        <f t="shared" si="12"/>
        <v/>
      </c>
      <c r="H130" s="559" t="str">
        <f t="shared" si="13"/>
        <v/>
      </c>
      <c r="I130" s="559" t="str">
        <f t="shared" si="14"/>
        <v/>
      </c>
    </row>
    <row r="131" spans="2:9">
      <c r="B131" s="555" t="str">
        <f t="shared" si="9"/>
        <v/>
      </c>
      <c r="C131" s="556" t="str">
        <f t="shared" si="10"/>
        <v/>
      </c>
      <c r="D131" s="557" t="str">
        <f t="shared" si="11"/>
        <v/>
      </c>
      <c r="E131" s="560"/>
      <c r="F131" s="559"/>
      <c r="G131" s="559" t="str">
        <f t="shared" si="12"/>
        <v/>
      </c>
      <c r="H131" s="559" t="str">
        <f t="shared" si="13"/>
        <v/>
      </c>
      <c r="I131" s="559" t="str">
        <f t="shared" si="14"/>
        <v/>
      </c>
    </row>
    <row r="132" spans="2:9">
      <c r="B132" s="555" t="str">
        <f t="shared" si="9"/>
        <v/>
      </c>
      <c r="C132" s="556" t="str">
        <f t="shared" si="10"/>
        <v/>
      </c>
      <c r="D132" s="557" t="str">
        <f t="shared" si="11"/>
        <v/>
      </c>
      <c r="E132" s="560"/>
      <c r="F132" s="559"/>
      <c r="G132" s="559" t="str">
        <f t="shared" si="12"/>
        <v/>
      </c>
      <c r="H132" s="559" t="str">
        <f t="shared" si="13"/>
        <v/>
      </c>
      <c r="I132" s="559" t="str">
        <f t="shared" si="14"/>
        <v/>
      </c>
    </row>
    <row r="133" spans="2:9">
      <c r="B133" s="555" t="str">
        <f t="shared" si="9"/>
        <v/>
      </c>
      <c r="C133" s="556" t="str">
        <f t="shared" si="10"/>
        <v/>
      </c>
      <c r="D133" s="557" t="str">
        <f t="shared" si="11"/>
        <v/>
      </c>
      <c r="E133" s="560"/>
      <c r="F133" s="559"/>
      <c r="G133" s="559" t="str">
        <f t="shared" si="12"/>
        <v/>
      </c>
      <c r="H133" s="559" t="str">
        <f t="shared" si="13"/>
        <v/>
      </c>
      <c r="I133" s="559" t="str">
        <f t="shared" si="14"/>
        <v/>
      </c>
    </row>
    <row r="134" spans="2:9">
      <c r="B134" s="555" t="str">
        <f t="shared" si="9"/>
        <v/>
      </c>
      <c r="C134" s="556" t="str">
        <f t="shared" si="10"/>
        <v/>
      </c>
      <c r="D134" s="557" t="str">
        <f t="shared" si="11"/>
        <v/>
      </c>
      <c r="E134" s="560"/>
      <c r="F134" s="559"/>
      <c r="G134" s="559" t="str">
        <f t="shared" si="12"/>
        <v/>
      </c>
      <c r="H134" s="559" t="str">
        <f t="shared" si="13"/>
        <v/>
      </c>
      <c r="I134" s="559" t="str">
        <f t="shared" si="14"/>
        <v/>
      </c>
    </row>
    <row r="135" spans="2:9">
      <c r="B135" s="555" t="str">
        <f t="shared" si="9"/>
        <v/>
      </c>
      <c r="C135" s="556" t="str">
        <f t="shared" si="10"/>
        <v/>
      </c>
      <c r="D135" s="557" t="str">
        <f t="shared" si="11"/>
        <v/>
      </c>
      <c r="E135" s="560"/>
      <c r="F135" s="559"/>
      <c r="G135" s="559" t="str">
        <f t="shared" si="12"/>
        <v/>
      </c>
      <c r="H135" s="559" t="str">
        <f t="shared" si="13"/>
        <v/>
      </c>
      <c r="I135" s="559" t="str">
        <f t="shared" si="14"/>
        <v/>
      </c>
    </row>
    <row r="136" spans="2:9">
      <c r="B136" s="555" t="str">
        <f t="shared" si="9"/>
        <v/>
      </c>
      <c r="C136" s="556" t="str">
        <f t="shared" si="10"/>
        <v/>
      </c>
      <c r="D136" s="557" t="str">
        <f t="shared" si="11"/>
        <v/>
      </c>
      <c r="E136" s="560"/>
      <c r="F136" s="559"/>
      <c r="G136" s="559" t="str">
        <f t="shared" si="12"/>
        <v/>
      </c>
      <c r="H136" s="559" t="str">
        <f t="shared" si="13"/>
        <v/>
      </c>
      <c r="I136" s="559" t="str">
        <f t="shared" si="14"/>
        <v/>
      </c>
    </row>
    <row r="137" spans="2:9">
      <c r="B137" s="555" t="str">
        <f t="shared" si="9"/>
        <v/>
      </c>
      <c r="C137" s="556" t="str">
        <f t="shared" si="10"/>
        <v/>
      </c>
      <c r="D137" s="557" t="str">
        <f t="shared" si="11"/>
        <v/>
      </c>
      <c r="E137" s="560"/>
      <c r="F137" s="559"/>
      <c r="G137" s="559" t="str">
        <f t="shared" si="12"/>
        <v/>
      </c>
      <c r="H137" s="559" t="str">
        <f t="shared" si="13"/>
        <v/>
      </c>
      <c r="I137" s="559" t="str">
        <f t="shared" si="14"/>
        <v/>
      </c>
    </row>
    <row r="138" spans="2:9">
      <c r="B138" s="555" t="str">
        <f t="shared" si="9"/>
        <v/>
      </c>
      <c r="C138" s="556" t="str">
        <f t="shared" si="10"/>
        <v/>
      </c>
      <c r="D138" s="557" t="str">
        <f t="shared" si="11"/>
        <v/>
      </c>
      <c r="E138" s="560"/>
      <c r="F138" s="559"/>
      <c r="G138" s="559" t="str">
        <f t="shared" si="12"/>
        <v/>
      </c>
      <c r="H138" s="559" t="str">
        <f t="shared" si="13"/>
        <v/>
      </c>
      <c r="I138" s="559" t="str">
        <f t="shared" si="14"/>
        <v/>
      </c>
    </row>
    <row r="139" spans="2:9">
      <c r="B139" s="555" t="str">
        <f t="shared" si="9"/>
        <v/>
      </c>
      <c r="C139" s="556" t="str">
        <f t="shared" si="10"/>
        <v/>
      </c>
      <c r="D139" s="557" t="str">
        <f t="shared" si="11"/>
        <v/>
      </c>
      <c r="E139" s="560"/>
      <c r="F139" s="559"/>
      <c r="G139" s="559" t="str">
        <f t="shared" si="12"/>
        <v/>
      </c>
      <c r="H139" s="559" t="str">
        <f t="shared" si="13"/>
        <v/>
      </c>
      <c r="I139" s="559" t="str">
        <f t="shared" si="14"/>
        <v/>
      </c>
    </row>
    <row r="140" spans="2:9">
      <c r="B140" s="555" t="str">
        <f t="shared" si="9"/>
        <v/>
      </c>
      <c r="C140" s="556" t="str">
        <f t="shared" si="10"/>
        <v/>
      </c>
      <c r="D140" s="557" t="str">
        <f t="shared" si="11"/>
        <v/>
      </c>
      <c r="E140" s="560"/>
      <c r="F140" s="559"/>
      <c r="G140" s="559" t="str">
        <f t="shared" si="12"/>
        <v/>
      </c>
      <c r="H140" s="559" t="str">
        <f t="shared" si="13"/>
        <v/>
      </c>
      <c r="I140" s="559" t="str">
        <f t="shared" si="14"/>
        <v/>
      </c>
    </row>
    <row r="141" spans="2:9">
      <c r="B141" s="555" t="str">
        <f t="shared" si="9"/>
        <v/>
      </c>
      <c r="C141" s="556" t="str">
        <f t="shared" si="10"/>
        <v/>
      </c>
      <c r="D141" s="557" t="str">
        <f t="shared" si="11"/>
        <v/>
      </c>
      <c r="E141" s="560"/>
      <c r="F141" s="559"/>
      <c r="G141" s="559" t="str">
        <f t="shared" si="12"/>
        <v/>
      </c>
      <c r="H141" s="559" t="str">
        <f t="shared" si="13"/>
        <v/>
      </c>
      <c r="I141" s="559" t="str">
        <f t="shared" si="14"/>
        <v/>
      </c>
    </row>
    <row r="142" spans="2:9">
      <c r="B142" s="555" t="str">
        <f t="shared" si="9"/>
        <v/>
      </c>
      <c r="C142" s="556" t="str">
        <f t="shared" si="10"/>
        <v/>
      </c>
      <c r="D142" s="557" t="str">
        <f t="shared" si="11"/>
        <v/>
      </c>
      <c r="E142" s="560"/>
      <c r="F142" s="559"/>
      <c r="G142" s="559" t="str">
        <f t="shared" si="12"/>
        <v/>
      </c>
      <c r="H142" s="559" t="str">
        <f t="shared" si="13"/>
        <v/>
      </c>
      <c r="I142" s="559" t="str">
        <f t="shared" si="14"/>
        <v/>
      </c>
    </row>
    <row r="143" spans="2:9">
      <c r="B143" s="555" t="str">
        <f t="shared" si="9"/>
        <v/>
      </c>
      <c r="C143" s="556" t="str">
        <f t="shared" si="10"/>
        <v/>
      </c>
      <c r="D143" s="557" t="str">
        <f t="shared" si="11"/>
        <v/>
      </c>
      <c r="E143" s="560"/>
      <c r="F143" s="559"/>
      <c r="G143" s="559" t="str">
        <f t="shared" si="12"/>
        <v/>
      </c>
      <c r="H143" s="559" t="str">
        <f t="shared" si="13"/>
        <v/>
      </c>
      <c r="I143" s="559" t="str">
        <f t="shared" si="14"/>
        <v/>
      </c>
    </row>
    <row r="144" spans="2:9">
      <c r="B144" s="555" t="str">
        <f t="shared" si="9"/>
        <v/>
      </c>
      <c r="C144" s="556" t="str">
        <f t="shared" si="10"/>
        <v/>
      </c>
      <c r="D144" s="557" t="str">
        <f t="shared" si="11"/>
        <v/>
      </c>
      <c r="E144" s="560"/>
      <c r="F144" s="559"/>
      <c r="G144" s="559" t="str">
        <f t="shared" si="12"/>
        <v/>
      </c>
      <c r="H144" s="559" t="str">
        <f t="shared" si="13"/>
        <v/>
      </c>
      <c r="I144" s="559" t="str">
        <f t="shared" si="14"/>
        <v/>
      </c>
    </row>
    <row r="145" spans="2:9">
      <c r="B145" s="555" t="str">
        <f t="shared" si="9"/>
        <v/>
      </c>
      <c r="C145" s="556" t="str">
        <f t="shared" si="10"/>
        <v/>
      </c>
      <c r="D145" s="557" t="str">
        <f t="shared" si="11"/>
        <v/>
      </c>
      <c r="E145" s="560"/>
      <c r="F145" s="559"/>
      <c r="G145" s="559" t="str">
        <f t="shared" si="12"/>
        <v/>
      </c>
      <c r="H145" s="559" t="str">
        <f t="shared" si="13"/>
        <v/>
      </c>
      <c r="I145" s="559" t="str">
        <f t="shared" si="14"/>
        <v/>
      </c>
    </row>
    <row r="146" spans="2:9">
      <c r="B146" s="555" t="str">
        <f t="shared" si="9"/>
        <v/>
      </c>
      <c r="C146" s="556" t="str">
        <f t="shared" si="10"/>
        <v/>
      </c>
      <c r="D146" s="557" t="str">
        <f t="shared" si="11"/>
        <v/>
      </c>
      <c r="E146" s="560"/>
      <c r="F146" s="559"/>
      <c r="G146" s="559" t="str">
        <f t="shared" si="12"/>
        <v/>
      </c>
      <c r="H146" s="559" t="str">
        <f t="shared" si="13"/>
        <v/>
      </c>
      <c r="I146" s="559" t="str">
        <f t="shared" si="14"/>
        <v/>
      </c>
    </row>
    <row r="147" spans="2:9">
      <c r="B147" s="555" t="str">
        <f t="shared" si="9"/>
        <v/>
      </c>
      <c r="C147" s="556" t="str">
        <f t="shared" si="10"/>
        <v/>
      </c>
      <c r="D147" s="557" t="str">
        <f t="shared" si="11"/>
        <v/>
      </c>
      <c r="E147" s="560"/>
      <c r="F147" s="559"/>
      <c r="G147" s="559" t="str">
        <f t="shared" si="12"/>
        <v/>
      </c>
      <c r="H147" s="559" t="str">
        <f t="shared" si="13"/>
        <v/>
      </c>
      <c r="I147" s="559" t="str">
        <f t="shared" si="14"/>
        <v/>
      </c>
    </row>
    <row r="148" spans="2:9">
      <c r="B148" s="555" t="str">
        <f t="shared" si="9"/>
        <v/>
      </c>
      <c r="C148" s="556" t="str">
        <f t="shared" si="10"/>
        <v/>
      </c>
      <c r="D148" s="557" t="str">
        <f t="shared" si="11"/>
        <v/>
      </c>
      <c r="E148" s="560"/>
      <c r="F148" s="559"/>
      <c r="G148" s="559" t="str">
        <f t="shared" si="12"/>
        <v/>
      </c>
      <c r="H148" s="559" t="str">
        <f t="shared" si="13"/>
        <v/>
      </c>
      <c r="I148" s="559" t="str">
        <f t="shared" si="14"/>
        <v/>
      </c>
    </row>
    <row r="149" spans="2:9">
      <c r="B149" s="555" t="str">
        <f t="shared" si="9"/>
        <v/>
      </c>
      <c r="C149" s="556" t="str">
        <f t="shared" si="10"/>
        <v/>
      </c>
      <c r="D149" s="557" t="str">
        <f t="shared" si="11"/>
        <v/>
      </c>
      <c r="E149" s="560"/>
      <c r="F149" s="559"/>
      <c r="G149" s="559" t="str">
        <f t="shared" si="12"/>
        <v/>
      </c>
      <c r="H149" s="559" t="str">
        <f t="shared" si="13"/>
        <v/>
      </c>
      <c r="I149" s="559" t="str">
        <f t="shared" si="14"/>
        <v/>
      </c>
    </row>
    <row r="150" spans="2:9">
      <c r="B150" s="555" t="str">
        <f t="shared" si="9"/>
        <v/>
      </c>
      <c r="C150" s="556" t="str">
        <f t="shared" si="10"/>
        <v/>
      </c>
      <c r="D150" s="557" t="str">
        <f t="shared" si="11"/>
        <v/>
      </c>
      <c r="E150" s="560"/>
      <c r="F150" s="559"/>
      <c r="G150" s="559" t="str">
        <f t="shared" si="12"/>
        <v/>
      </c>
      <c r="H150" s="559" t="str">
        <f t="shared" si="13"/>
        <v/>
      </c>
      <c r="I150" s="559" t="str">
        <f t="shared" si="14"/>
        <v/>
      </c>
    </row>
    <row r="151" spans="2:9">
      <c r="B151" s="555" t="str">
        <f t="shared" si="9"/>
        <v/>
      </c>
      <c r="C151" s="556" t="str">
        <f t="shared" si="10"/>
        <v/>
      </c>
      <c r="D151" s="557" t="str">
        <f t="shared" si="11"/>
        <v/>
      </c>
      <c r="E151" s="560"/>
      <c r="F151" s="559"/>
      <c r="G151" s="559" t="str">
        <f t="shared" si="12"/>
        <v/>
      </c>
      <c r="H151" s="559" t="str">
        <f t="shared" si="13"/>
        <v/>
      </c>
      <c r="I151" s="559" t="str">
        <f t="shared" si="14"/>
        <v/>
      </c>
    </row>
    <row r="152" spans="2:9">
      <c r="B152" s="555" t="str">
        <f t="shared" si="9"/>
        <v/>
      </c>
      <c r="C152" s="556" t="str">
        <f t="shared" si="10"/>
        <v/>
      </c>
      <c r="D152" s="557" t="str">
        <f t="shared" si="11"/>
        <v/>
      </c>
      <c r="E152" s="560"/>
      <c r="F152" s="559"/>
      <c r="G152" s="559" t="str">
        <f t="shared" si="12"/>
        <v/>
      </c>
      <c r="H152" s="559" t="str">
        <f t="shared" si="13"/>
        <v/>
      </c>
      <c r="I152" s="559" t="str">
        <f t="shared" si="14"/>
        <v/>
      </c>
    </row>
    <row r="153" spans="2:9">
      <c r="B153" s="555" t="str">
        <f t="shared" si="9"/>
        <v/>
      </c>
      <c r="C153" s="556" t="str">
        <f t="shared" si="10"/>
        <v/>
      </c>
      <c r="D153" s="557" t="str">
        <f t="shared" si="11"/>
        <v/>
      </c>
      <c r="E153" s="560"/>
      <c r="F153" s="559"/>
      <c r="G153" s="559" t="str">
        <f t="shared" si="12"/>
        <v/>
      </c>
      <c r="H153" s="559" t="str">
        <f t="shared" si="13"/>
        <v/>
      </c>
      <c r="I153" s="559" t="str">
        <f t="shared" si="14"/>
        <v/>
      </c>
    </row>
    <row r="154" spans="2:9">
      <c r="B154" s="555" t="str">
        <f t="shared" si="9"/>
        <v/>
      </c>
      <c r="C154" s="556" t="str">
        <f t="shared" si="10"/>
        <v/>
      </c>
      <c r="D154" s="557" t="str">
        <f t="shared" si="11"/>
        <v/>
      </c>
      <c r="E154" s="560"/>
      <c r="F154" s="559"/>
      <c r="G154" s="559" t="str">
        <f t="shared" si="12"/>
        <v/>
      </c>
      <c r="H154" s="559" t="str">
        <f t="shared" si="13"/>
        <v/>
      </c>
      <c r="I154" s="559" t="str">
        <f t="shared" si="14"/>
        <v/>
      </c>
    </row>
    <row r="155" spans="2:9">
      <c r="B155" s="555" t="str">
        <f t="shared" si="9"/>
        <v/>
      </c>
      <c r="C155" s="556" t="str">
        <f t="shared" si="10"/>
        <v/>
      </c>
      <c r="D155" s="557" t="str">
        <f t="shared" si="11"/>
        <v/>
      </c>
      <c r="E155" s="560"/>
      <c r="F155" s="559"/>
      <c r="G155" s="559" t="str">
        <f t="shared" si="12"/>
        <v/>
      </c>
      <c r="H155" s="559" t="str">
        <f t="shared" si="13"/>
        <v/>
      </c>
      <c r="I155" s="559" t="str">
        <f t="shared" si="14"/>
        <v/>
      </c>
    </row>
    <row r="156" spans="2:9">
      <c r="B156" s="555" t="str">
        <f t="shared" si="9"/>
        <v/>
      </c>
      <c r="C156" s="556" t="str">
        <f t="shared" si="10"/>
        <v/>
      </c>
      <c r="D156" s="557" t="str">
        <f t="shared" si="11"/>
        <v/>
      </c>
      <c r="E156" s="560"/>
      <c r="F156" s="559"/>
      <c r="G156" s="559" t="str">
        <f t="shared" si="12"/>
        <v/>
      </c>
      <c r="H156" s="559" t="str">
        <f t="shared" si="13"/>
        <v/>
      </c>
      <c r="I156" s="559" t="str">
        <f t="shared" si="14"/>
        <v/>
      </c>
    </row>
    <row r="157" spans="2:9">
      <c r="B157" s="555" t="str">
        <f t="shared" si="9"/>
        <v/>
      </c>
      <c r="C157" s="556" t="str">
        <f t="shared" si="10"/>
        <v/>
      </c>
      <c r="D157" s="557" t="str">
        <f t="shared" si="11"/>
        <v/>
      </c>
      <c r="E157" s="560"/>
      <c r="F157" s="559"/>
      <c r="G157" s="559" t="str">
        <f t="shared" si="12"/>
        <v/>
      </c>
      <c r="H157" s="559" t="str">
        <f t="shared" si="13"/>
        <v/>
      </c>
      <c r="I157" s="559" t="str">
        <f t="shared" si="14"/>
        <v/>
      </c>
    </row>
    <row r="158" spans="2:9">
      <c r="B158" s="555" t="str">
        <f t="shared" si="9"/>
        <v/>
      </c>
      <c r="C158" s="556" t="str">
        <f t="shared" si="10"/>
        <v/>
      </c>
      <c r="D158" s="557" t="str">
        <f t="shared" si="11"/>
        <v/>
      </c>
      <c r="E158" s="560"/>
      <c r="F158" s="559"/>
      <c r="G158" s="559" t="str">
        <f t="shared" si="12"/>
        <v/>
      </c>
      <c r="H158" s="559" t="str">
        <f t="shared" si="13"/>
        <v/>
      </c>
      <c r="I158" s="559" t="str">
        <f t="shared" si="14"/>
        <v/>
      </c>
    </row>
    <row r="159" spans="2:9">
      <c r="B159" s="555" t="str">
        <f t="shared" si="9"/>
        <v/>
      </c>
      <c r="C159" s="556" t="str">
        <f t="shared" si="10"/>
        <v/>
      </c>
      <c r="D159" s="557" t="str">
        <f t="shared" si="11"/>
        <v/>
      </c>
      <c r="E159" s="560"/>
      <c r="F159" s="559"/>
      <c r="G159" s="559" t="str">
        <f t="shared" si="12"/>
        <v/>
      </c>
      <c r="H159" s="559" t="str">
        <f t="shared" si="13"/>
        <v/>
      </c>
      <c r="I159" s="559" t="str">
        <f t="shared" si="14"/>
        <v/>
      </c>
    </row>
    <row r="160" spans="2:9">
      <c r="B160" s="555" t="str">
        <f t="shared" si="9"/>
        <v/>
      </c>
      <c r="C160" s="556" t="str">
        <f t="shared" si="10"/>
        <v/>
      </c>
      <c r="D160" s="557" t="str">
        <f t="shared" si="11"/>
        <v/>
      </c>
      <c r="E160" s="560"/>
      <c r="F160" s="559"/>
      <c r="G160" s="559" t="str">
        <f t="shared" si="12"/>
        <v/>
      </c>
      <c r="H160" s="559" t="str">
        <f t="shared" si="13"/>
        <v/>
      </c>
      <c r="I160" s="559" t="str">
        <f t="shared" si="14"/>
        <v/>
      </c>
    </row>
    <row r="161" spans="2:9">
      <c r="B161" s="555" t="str">
        <f t="shared" si="9"/>
        <v/>
      </c>
      <c r="C161" s="556" t="str">
        <f t="shared" si="10"/>
        <v/>
      </c>
      <c r="D161" s="557" t="str">
        <f t="shared" si="11"/>
        <v/>
      </c>
      <c r="E161" s="560"/>
      <c r="F161" s="559"/>
      <c r="G161" s="559" t="str">
        <f t="shared" si="12"/>
        <v/>
      </c>
      <c r="H161" s="559" t="str">
        <f t="shared" si="13"/>
        <v/>
      </c>
      <c r="I161" s="559" t="str">
        <f t="shared" si="14"/>
        <v/>
      </c>
    </row>
    <row r="162" spans="2:9">
      <c r="B162" s="555" t="str">
        <f t="shared" si="9"/>
        <v/>
      </c>
      <c r="C162" s="556" t="str">
        <f t="shared" si="10"/>
        <v/>
      </c>
      <c r="D162" s="557" t="str">
        <f t="shared" si="11"/>
        <v/>
      </c>
      <c r="E162" s="560"/>
      <c r="F162" s="559"/>
      <c r="G162" s="559" t="str">
        <f t="shared" si="12"/>
        <v/>
      </c>
      <c r="H162" s="559" t="str">
        <f t="shared" si="13"/>
        <v/>
      </c>
      <c r="I162" s="559" t="str">
        <f t="shared" si="14"/>
        <v/>
      </c>
    </row>
    <row r="163" spans="2:9">
      <c r="B163" s="555" t="str">
        <f t="shared" si="9"/>
        <v/>
      </c>
      <c r="C163" s="556" t="str">
        <f t="shared" si="10"/>
        <v/>
      </c>
      <c r="D163" s="557" t="str">
        <f t="shared" si="11"/>
        <v/>
      </c>
      <c r="E163" s="560"/>
      <c r="F163" s="559"/>
      <c r="G163" s="559" t="str">
        <f t="shared" si="12"/>
        <v/>
      </c>
      <c r="H163" s="559" t="str">
        <f t="shared" si="13"/>
        <v/>
      </c>
      <c r="I163" s="559" t="str">
        <f t="shared" si="14"/>
        <v/>
      </c>
    </row>
    <row r="164" spans="2:9">
      <c r="B164" s="555" t="str">
        <f t="shared" si="9"/>
        <v/>
      </c>
      <c r="C164" s="556" t="str">
        <f t="shared" si="10"/>
        <v/>
      </c>
      <c r="D164" s="557" t="str">
        <f t="shared" si="11"/>
        <v/>
      </c>
      <c r="E164" s="560"/>
      <c r="F164" s="559"/>
      <c r="G164" s="559" t="str">
        <f t="shared" si="12"/>
        <v/>
      </c>
      <c r="H164" s="559" t="str">
        <f t="shared" si="13"/>
        <v/>
      </c>
      <c r="I164" s="559" t="str">
        <f t="shared" si="14"/>
        <v/>
      </c>
    </row>
    <row r="165" spans="2:9">
      <c r="B165" s="555" t="str">
        <f t="shared" si="9"/>
        <v/>
      </c>
      <c r="C165" s="556" t="str">
        <f t="shared" si="10"/>
        <v/>
      </c>
      <c r="D165" s="557" t="str">
        <f t="shared" si="11"/>
        <v/>
      </c>
      <c r="E165" s="560"/>
      <c r="F165" s="559"/>
      <c r="G165" s="559" t="str">
        <f t="shared" si="12"/>
        <v/>
      </c>
      <c r="H165" s="559" t="str">
        <f t="shared" si="13"/>
        <v/>
      </c>
      <c r="I165" s="559" t="str">
        <f t="shared" si="14"/>
        <v/>
      </c>
    </row>
    <row r="166" spans="2:9">
      <c r="B166" s="555" t="str">
        <f t="shared" si="9"/>
        <v/>
      </c>
      <c r="C166" s="556" t="str">
        <f t="shared" si="10"/>
        <v/>
      </c>
      <c r="D166" s="557" t="str">
        <f t="shared" si="11"/>
        <v/>
      </c>
      <c r="E166" s="560"/>
      <c r="F166" s="559"/>
      <c r="G166" s="559" t="str">
        <f t="shared" si="12"/>
        <v/>
      </c>
      <c r="H166" s="559" t="str">
        <f t="shared" si="13"/>
        <v/>
      </c>
      <c r="I166" s="559" t="str">
        <f t="shared" si="14"/>
        <v/>
      </c>
    </row>
    <row r="167" spans="2:9">
      <c r="B167" s="555" t="str">
        <f t="shared" si="9"/>
        <v/>
      </c>
      <c r="C167" s="556" t="str">
        <f t="shared" si="10"/>
        <v/>
      </c>
      <c r="D167" s="557" t="str">
        <f t="shared" si="11"/>
        <v/>
      </c>
      <c r="E167" s="560"/>
      <c r="F167" s="559"/>
      <c r="G167" s="559" t="str">
        <f t="shared" si="12"/>
        <v/>
      </c>
      <c r="H167" s="559" t="str">
        <f t="shared" si="13"/>
        <v/>
      </c>
      <c r="I167" s="559" t="str">
        <f t="shared" si="14"/>
        <v/>
      </c>
    </row>
    <row r="168" spans="2:9">
      <c r="B168" s="555" t="str">
        <f t="shared" si="9"/>
        <v/>
      </c>
      <c r="C168" s="556" t="str">
        <f t="shared" si="10"/>
        <v/>
      </c>
      <c r="D168" s="557" t="str">
        <f t="shared" si="11"/>
        <v/>
      </c>
      <c r="E168" s="560"/>
      <c r="F168" s="559"/>
      <c r="G168" s="559" t="str">
        <f t="shared" si="12"/>
        <v/>
      </c>
      <c r="H168" s="559" t="str">
        <f t="shared" si="13"/>
        <v/>
      </c>
      <c r="I168" s="559" t="str">
        <f t="shared" si="14"/>
        <v/>
      </c>
    </row>
    <row r="169" spans="2:9">
      <c r="B169" s="555" t="str">
        <f t="shared" si="9"/>
        <v/>
      </c>
      <c r="C169" s="556" t="str">
        <f t="shared" si="10"/>
        <v/>
      </c>
      <c r="D169" s="557" t="str">
        <f t="shared" si="11"/>
        <v/>
      </c>
      <c r="E169" s="560"/>
      <c r="F169" s="559"/>
      <c r="G169" s="559" t="str">
        <f t="shared" si="12"/>
        <v/>
      </c>
      <c r="H169" s="559" t="str">
        <f t="shared" si="13"/>
        <v/>
      </c>
      <c r="I169" s="559" t="str">
        <f t="shared" si="14"/>
        <v/>
      </c>
    </row>
    <row r="170" spans="2:9">
      <c r="B170" s="555" t="str">
        <f t="shared" si="9"/>
        <v/>
      </c>
      <c r="C170" s="556" t="str">
        <f t="shared" si="10"/>
        <v/>
      </c>
      <c r="D170" s="557" t="str">
        <f t="shared" si="11"/>
        <v/>
      </c>
      <c r="E170" s="560"/>
      <c r="F170" s="559"/>
      <c r="G170" s="559" t="str">
        <f t="shared" si="12"/>
        <v/>
      </c>
      <c r="H170" s="559" t="str">
        <f t="shared" si="13"/>
        <v/>
      </c>
      <c r="I170" s="559" t="str">
        <f t="shared" si="14"/>
        <v/>
      </c>
    </row>
    <row r="171" spans="2:9">
      <c r="B171" s="555" t="str">
        <f t="shared" si="9"/>
        <v/>
      </c>
      <c r="C171" s="556" t="str">
        <f t="shared" si="10"/>
        <v/>
      </c>
      <c r="D171" s="557" t="str">
        <f t="shared" si="11"/>
        <v/>
      </c>
      <c r="E171" s="560"/>
      <c r="F171" s="559"/>
      <c r="G171" s="559" t="str">
        <f t="shared" si="12"/>
        <v/>
      </c>
      <c r="H171" s="559" t="str">
        <f t="shared" si="13"/>
        <v/>
      </c>
      <c r="I171" s="559" t="str">
        <f t="shared" si="14"/>
        <v/>
      </c>
    </row>
    <row r="172" spans="2:9">
      <c r="B172" s="555" t="str">
        <f t="shared" si="9"/>
        <v/>
      </c>
      <c r="C172" s="556" t="str">
        <f t="shared" si="10"/>
        <v/>
      </c>
      <c r="D172" s="557" t="str">
        <f t="shared" si="11"/>
        <v/>
      </c>
      <c r="E172" s="560"/>
      <c r="F172" s="559"/>
      <c r="G172" s="559" t="str">
        <f t="shared" si="12"/>
        <v/>
      </c>
      <c r="H172" s="559" t="str">
        <f t="shared" si="13"/>
        <v/>
      </c>
      <c r="I172" s="559" t="str">
        <f t="shared" si="14"/>
        <v/>
      </c>
    </row>
    <row r="173" spans="2:9">
      <c r="B173" s="555" t="str">
        <f t="shared" si="9"/>
        <v/>
      </c>
      <c r="C173" s="556" t="str">
        <f t="shared" si="10"/>
        <v/>
      </c>
      <c r="D173" s="557" t="str">
        <f t="shared" si="11"/>
        <v/>
      </c>
      <c r="E173" s="560"/>
      <c r="F173" s="559"/>
      <c r="G173" s="559" t="str">
        <f t="shared" si="12"/>
        <v/>
      </c>
      <c r="H173" s="559" t="str">
        <f t="shared" si="13"/>
        <v/>
      </c>
      <c r="I173" s="559" t="str">
        <f t="shared" si="14"/>
        <v/>
      </c>
    </row>
    <row r="174" spans="2:9">
      <c r="B174" s="555" t="str">
        <f t="shared" si="9"/>
        <v/>
      </c>
      <c r="C174" s="556" t="str">
        <f t="shared" si="10"/>
        <v/>
      </c>
      <c r="D174" s="557" t="str">
        <f t="shared" si="11"/>
        <v/>
      </c>
      <c r="E174" s="560"/>
      <c r="F174" s="559"/>
      <c r="G174" s="559" t="str">
        <f t="shared" si="12"/>
        <v/>
      </c>
      <c r="H174" s="559" t="str">
        <f t="shared" si="13"/>
        <v/>
      </c>
      <c r="I174" s="559" t="str">
        <f t="shared" si="14"/>
        <v/>
      </c>
    </row>
    <row r="175" spans="2:9">
      <c r="B175" s="555" t="str">
        <f t="shared" si="9"/>
        <v/>
      </c>
      <c r="C175" s="556" t="str">
        <f t="shared" si="10"/>
        <v/>
      </c>
      <c r="D175" s="557" t="str">
        <f t="shared" si="11"/>
        <v/>
      </c>
      <c r="E175" s="560"/>
      <c r="F175" s="559"/>
      <c r="G175" s="559" t="str">
        <f t="shared" si="12"/>
        <v/>
      </c>
      <c r="H175" s="559" t="str">
        <f t="shared" si="13"/>
        <v/>
      </c>
      <c r="I175" s="559" t="str">
        <f t="shared" si="14"/>
        <v/>
      </c>
    </row>
    <row r="176" spans="2:9">
      <c r="B176" s="555" t="str">
        <f t="shared" si="9"/>
        <v/>
      </c>
      <c r="C176" s="556" t="str">
        <f t="shared" si="10"/>
        <v/>
      </c>
      <c r="D176" s="557" t="str">
        <f t="shared" si="11"/>
        <v/>
      </c>
      <c r="E176" s="560"/>
      <c r="F176" s="559"/>
      <c r="G176" s="559" t="str">
        <f t="shared" si="12"/>
        <v/>
      </c>
      <c r="H176" s="559" t="str">
        <f t="shared" si="13"/>
        <v/>
      </c>
      <c r="I176" s="559" t="str">
        <f t="shared" si="14"/>
        <v/>
      </c>
    </row>
    <row r="177" spans="2:9">
      <c r="B177" s="555" t="str">
        <f t="shared" si="9"/>
        <v/>
      </c>
      <c r="C177" s="556" t="str">
        <f t="shared" si="10"/>
        <v/>
      </c>
      <c r="D177" s="557" t="str">
        <f t="shared" si="11"/>
        <v/>
      </c>
      <c r="E177" s="560"/>
      <c r="F177" s="559"/>
      <c r="G177" s="559" t="str">
        <f t="shared" si="12"/>
        <v/>
      </c>
      <c r="H177" s="559" t="str">
        <f t="shared" si="13"/>
        <v/>
      </c>
      <c r="I177" s="559" t="str">
        <f t="shared" si="14"/>
        <v/>
      </c>
    </row>
    <row r="178" spans="2:9">
      <c r="B178" s="555" t="str">
        <f t="shared" si="9"/>
        <v/>
      </c>
      <c r="C178" s="556" t="str">
        <f t="shared" si="10"/>
        <v/>
      </c>
      <c r="D178" s="557" t="str">
        <f t="shared" si="11"/>
        <v/>
      </c>
      <c r="E178" s="560"/>
      <c r="F178" s="559"/>
      <c r="G178" s="559" t="str">
        <f t="shared" si="12"/>
        <v/>
      </c>
      <c r="H178" s="559" t="str">
        <f t="shared" si="13"/>
        <v/>
      </c>
      <c r="I178" s="559" t="str">
        <f t="shared" si="14"/>
        <v/>
      </c>
    </row>
    <row r="179" spans="2:9">
      <c r="B179" s="555" t="str">
        <f t="shared" si="9"/>
        <v/>
      </c>
      <c r="C179" s="556" t="str">
        <f t="shared" si="10"/>
        <v/>
      </c>
      <c r="D179" s="557" t="str">
        <f t="shared" si="11"/>
        <v/>
      </c>
      <c r="E179" s="560"/>
      <c r="F179" s="559"/>
      <c r="G179" s="559" t="str">
        <f t="shared" si="12"/>
        <v/>
      </c>
      <c r="H179" s="559" t="str">
        <f t="shared" si="13"/>
        <v/>
      </c>
      <c r="I179" s="559" t="str">
        <f t="shared" si="14"/>
        <v/>
      </c>
    </row>
    <row r="180" spans="2:9">
      <c r="B180" s="555" t="str">
        <f t="shared" si="9"/>
        <v/>
      </c>
      <c r="C180" s="556" t="str">
        <f t="shared" si="10"/>
        <v/>
      </c>
      <c r="D180" s="557" t="str">
        <f t="shared" si="11"/>
        <v/>
      </c>
      <c r="E180" s="560"/>
      <c r="F180" s="559"/>
      <c r="G180" s="559" t="str">
        <f t="shared" si="12"/>
        <v/>
      </c>
      <c r="H180" s="559" t="str">
        <f t="shared" si="13"/>
        <v/>
      </c>
      <c r="I180" s="559" t="str">
        <f t="shared" si="14"/>
        <v/>
      </c>
    </row>
    <row r="181" spans="2:9">
      <c r="B181" s="555" t="str">
        <f t="shared" si="9"/>
        <v/>
      </c>
      <c r="C181" s="556" t="str">
        <f t="shared" si="10"/>
        <v/>
      </c>
      <c r="D181" s="557" t="str">
        <f t="shared" si="11"/>
        <v/>
      </c>
      <c r="E181" s="560"/>
      <c r="F181" s="559"/>
      <c r="G181" s="559" t="str">
        <f t="shared" si="12"/>
        <v/>
      </c>
      <c r="H181" s="559" t="str">
        <f t="shared" si="13"/>
        <v/>
      </c>
      <c r="I181" s="559" t="str">
        <f t="shared" si="14"/>
        <v/>
      </c>
    </row>
    <row r="182" spans="2:9">
      <c r="B182" s="555" t="str">
        <f t="shared" si="9"/>
        <v/>
      </c>
      <c r="C182" s="556" t="str">
        <f t="shared" si="10"/>
        <v/>
      </c>
      <c r="D182" s="557" t="str">
        <f t="shared" si="11"/>
        <v/>
      </c>
      <c r="E182" s="560"/>
      <c r="F182" s="559"/>
      <c r="G182" s="559" t="str">
        <f t="shared" si="12"/>
        <v/>
      </c>
      <c r="H182" s="559" t="str">
        <f t="shared" si="13"/>
        <v/>
      </c>
      <c r="I182" s="559" t="str">
        <f t="shared" si="14"/>
        <v/>
      </c>
    </row>
    <row r="183" spans="2:9">
      <c r="B183" s="555" t="str">
        <f t="shared" si="9"/>
        <v/>
      </c>
      <c r="C183" s="556" t="str">
        <f t="shared" si="10"/>
        <v/>
      </c>
      <c r="D183" s="557" t="str">
        <f t="shared" si="11"/>
        <v/>
      </c>
      <c r="E183" s="560"/>
      <c r="F183" s="559"/>
      <c r="G183" s="559" t="str">
        <f t="shared" si="12"/>
        <v/>
      </c>
      <c r="H183" s="559" t="str">
        <f t="shared" si="13"/>
        <v/>
      </c>
      <c r="I183" s="559" t="str">
        <f t="shared" si="14"/>
        <v/>
      </c>
    </row>
    <row r="184" spans="2:9">
      <c r="B184" s="555" t="str">
        <f t="shared" si="9"/>
        <v/>
      </c>
      <c r="C184" s="556" t="str">
        <f t="shared" si="10"/>
        <v/>
      </c>
      <c r="D184" s="557" t="str">
        <f t="shared" si="11"/>
        <v/>
      </c>
      <c r="E184" s="560"/>
      <c r="F184" s="559"/>
      <c r="G184" s="559" t="str">
        <f t="shared" si="12"/>
        <v/>
      </c>
      <c r="H184" s="559" t="str">
        <f t="shared" si="13"/>
        <v/>
      </c>
      <c r="I184" s="559" t="str">
        <f t="shared" si="14"/>
        <v/>
      </c>
    </row>
    <row r="185" spans="2:9">
      <c r="B185" s="555" t="str">
        <f t="shared" si="9"/>
        <v/>
      </c>
      <c r="C185" s="556" t="str">
        <f t="shared" si="10"/>
        <v/>
      </c>
      <c r="D185" s="557" t="str">
        <f t="shared" si="11"/>
        <v/>
      </c>
      <c r="E185" s="560"/>
      <c r="F185" s="559"/>
      <c r="G185" s="559" t="str">
        <f t="shared" si="12"/>
        <v/>
      </c>
      <c r="H185" s="559" t="str">
        <f t="shared" si="13"/>
        <v/>
      </c>
      <c r="I185" s="559" t="str">
        <f t="shared" si="14"/>
        <v/>
      </c>
    </row>
    <row r="186" spans="2:9">
      <c r="B186" s="555" t="str">
        <f t="shared" si="9"/>
        <v/>
      </c>
      <c r="C186" s="556" t="str">
        <f t="shared" si="10"/>
        <v/>
      </c>
      <c r="D186" s="557" t="str">
        <f t="shared" si="11"/>
        <v/>
      </c>
      <c r="E186" s="560"/>
      <c r="F186" s="559"/>
      <c r="G186" s="559" t="str">
        <f t="shared" si="12"/>
        <v/>
      </c>
      <c r="H186" s="559" t="str">
        <f t="shared" si="13"/>
        <v/>
      </c>
      <c r="I186" s="559" t="str">
        <f t="shared" si="14"/>
        <v/>
      </c>
    </row>
    <row r="187" spans="2:9">
      <c r="B187" s="555" t="str">
        <f t="shared" si="9"/>
        <v/>
      </c>
      <c r="C187" s="556" t="str">
        <f t="shared" si="10"/>
        <v/>
      </c>
      <c r="D187" s="557" t="str">
        <f t="shared" si="11"/>
        <v/>
      </c>
      <c r="E187" s="560"/>
      <c r="F187" s="559"/>
      <c r="G187" s="559" t="str">
        <f t="shared" si="12"/>
        <v/>
      </c>
      <c r="H187" s="559" t="str">
        <f t="shared" si="13"/>
        <v/>
      </c>
      <c r="I187" s="559" t="str">
        <f t="shared" si="14"/>
        <v/>
      </c>
    </row>
    <row r="188" spans="2:9">
      <c r="B188" s="555" t="str">
        <f t="shared" si="9"/>
        <v/>
      </c>
      <c r="C188" s="556" t="str">
        <f t="shared" si="10"/>
        <v/>
      </c>
      <c r="D188" s="557" t="str">
        <f t="shared" si="11"/>
        <v/>
      </c>
      <c r="E188" s="560"/>
      <c r="F188" s="559"/>
      <c r="G188" s="559" t="str">
        <f t="shared" si="12"/>
        <v/>
      </c>
      <c r="H188" s="559" t="str">
        <f t="shared" si="13"/>
        <v/>
      </c>
      <c r="I188" s="559" t="str">
        <f t="shared" si="14"/>
        <v/>
      </c>
    </row>
    <row r="189" spans="2:9">
      <c r="B189" s="555" t="str">
        <f t="shared" ref="B189:B252" si="15">IF(I188="","",IF(roundOpt,IF(OR(B188&gt;=nper,ROUND(I188,2)&lt;=0),"",B188+1),IF(OR(B188&gt;=nper,I188&lt;=0),"",B188+1)))</f>
        <v/>
      </c>
      <c r="C189" s="556" t="str">
        <f t="shared" ref="C189:C252" si="16">IF(B189="","",IF(OR(periods_per_year=26,periods_per_year=52),IF(periods_per_year=26,IF(B189=1,fpdate,C188+14),IF(periods_per_year=52,IF(B189=1,fpdate,C188+7),"n/a")),IF(periods_per_year=24,DATE(YEAR(fpdate),MONTH(fpdate)+(B189-1)/2+IF(AND(DAY(fpdate)&gt;=15,MOD(B189,2)=0),1,0),IF(MOD(B189,2)=0,IF(DAY(fpdate)&gt;=15,DAY(fpdate)-14,DAY(fpdate)+14),DAY(fpdate))),IF(DAY(DATE(YEAR(fpdate),MONTH(fpdate)+(B189-1)*months_per_period,DAY(fpdate)))&lt;&gt;DAY(fpdate),DATE(YEAR(fpdate),MONTH(fpdate)+(B189-1)*months_per_period+1,0),DATE(YEAR(fpdate),MONTH(fpdate)+(B189-1)*months_per_period,DAY(fpdate))))))</f>
        <v/>
      </c>
      <c r="D189" s="557" t="str">
        <f t="shared" ref="D189:D252" si="17">IF(B189="","",IF(roundOpt,IF(OR(B189=nper,payment&gt;ROUND((1+rate)*I188,2)),ROUND((1+rate)*I188,2),payment),IF(OR(B189=nper,payment&gt;(1+rate)*I188),(1+rate)*I188,payment)))</f>
        <v/>
      </c>
      <c r="E189" s="560"/>
      <c r="F189" s="559"/>
      <c r="G189" s="559" t="str">
        <f t="shared" ref="G189:G252" si="18">IF(B189="","",IF(AND(B189=1,pmtType=1),0,IF(roundOpt,ROUND(rate*I188,2),rate*I188)))</f>
        <v/>
      </c>
      <c r="H189" s="559" t="str">
        <f t="shared" ref="H189:H252" si="19">IF(B189="","",D189-G189+E189)</f>
        <v/>
      </c>
      <c r="I189" s="559" t="str">
        <f t="shared" ref="I189:I252" si="20">IF(B189="","",I188-H189)</f>
        <v/>
      </c>
    </row>
    <row r="190" spans="2:9">
      <c r="B190" s="555" t="str">
        <f t="shared" si="15"/>
        <v/>
      </c>
      <c r="C190" s="556" t="str">
        <f t="shared" si="16"/>
        <v/>
      </c>
      <c r="D190" s="557" t="str">
        <f t="shared" si="17"/>
        <v/>
      </c>
      <c r="E190" s="560"/>
      <c r="F190" s="559"/>
      <c r="G190" s="559" t="str">
        <f t="shared" si="18"/>
        <v/>
      </c>
      <c r="H190" s="559" t="str">
        <f t="shared" si="19"/>
        <v/>
      </c>
      <c r="I190" s="559" t="str">
        <f t="shared" si="20"/>
        <v/>
      </c>
    </row>
    <row r="191" spans="2:9">
      <c r="B191" s="555" t="str">
        <f t="shared" si="15"/>
        <v/>
      </c>
      <c r="C191" s="556" t="str">
        <f t="shared" si="16"/>
        <v/>
      </c>
      <c r="D191" s="557" t="str">
        <f t="shared" si="17"/>
        <v/>
      </c>
      <c r="E191" s="560"/>
      <c r="F191" s="559"/>
      <c r="G191" s="559" t="str">
        <f t="shared" si="18"/>
        <v/>
      </c>
      <c r="H191" s="559" t="str">
        <f t="shared" si="19"/>
        <v/>
      </c>
      <c r="I191" s="559" t="str">
        <f t="shared" si="20"/>
        <v/>
      </c>
    </row>
    <row r="192" spans="2:9">
      <c r="B192" s="555" t="str">
        <f t="shared" si="15"/>
        <v/>
      </c>
      <c r="C192" s="556" t="str">
        <f t="shared" si="16"/>
        <v/>
      </c>
      <c r="D192" s="557" t="str">
        <f t="shared" si="17"/>
        <v/>
      </c>
      <c r="E192" s="560"/>
      <c r="F192" s="559"/>
      <c r="G192" s="559" t="str">
        <f t="shared" si="18"/>
        <v/>
      </c>
      <c r="H192" s="559" t="str">
        <f t="shared" si="19"/>
        <v/>
      </c>
      <c r="I192" s="559" t="str">
        <f t="shared" si="20"/>
        <v/>
      </c>
    </row>
    <row r="193" spans="2:9">
      <c r="B193" s="555" t="str">
        <f t="shared" si="15"/>
        <v/>
      </c>
      <c r="C193" s="556" t="str">
        <f t="shared" si="16"/>
        <v/>
      </c>
      <c r="D193" s="557" t="str">
        <f t="shared" si="17"/>
        <v/>
      </c>
      <c r="E193" s="560"/>
      <c r="F193" s="559"/>
      <c r="G193" s="559" t="str">
        <f t="shared" si="18"/>
        <v/>
      </c>
      <c r="H193" s="559" t="str">
        <f t="shared" si="19"/>
        <v/>
      </c>
      <c r="I193" s="559" t="str">
        <f t="shared" si="20"/>
        <v/>
      </c>
    </row>
    <row r="194" spans="2:9">
      <c r="B194" s="555" t="str">
        <f t="shared" si="15"/>
        <v/>
      </c>
      <c r="C194" s="556" t="str">
        <f t="shared" si="16"/>
        <v/>
      </c>
      <c r="D194" s="557" t="str">
        <f t="shared" si="17"/>
        <v/>
      </c>
      <c r="E194" s="560"/>
      <c r="F194" s="559"/>
      <c r="G194" s="559" t="str">
        <f t="shared" si="18"/>
        <v/>
      </c>
      <c r="H194" s="559" t="str">
        <f t="shared" si="19"/>
        <v/>
      </c>
      <c r="I194" s="559" t="str">
        <f t="shared" si="20"/>
        <v/>
      </c>
    </row>
    <row r="195" spans="2:9">
      <c r="B195" s="555" t="str">
        <f t="shared" si="15"/>
        <v/>
      </c>
      <c r="C195" s="556" t="str">
        <f t="shared" si="16"/>
        <v/>
      </c>
      <c r="D195" s="557" t="str">
        <f t="shared" si="17"/>
        <v/>
      </c>
      <c r="E195" s="560"/>
      <c r="F195" s="559"/>
      <c r="G195" s="559" t="str">
        <f t="shared" si="18"/>
        <v/>
      </c>
      <c r="H195" s="559" t="str">
        <f t="shared" si="19"/>
        <v/>
      </c>
      <c r="I195" s="559" t="str">
        <f t="shared" si="20"/>
        <v/>
      </c>
    </row>
    <row r="196" spans="2:9">
      <c r="B196" s="555" t="str">
        <f t="shared" si="15"/>
        <v/>
      </c>
      <c r="C196" s="556" t="str">
        <f t="shared" si="16"/>
        <v/>
      </c>
      <c r="D196" s="557" t="str">
        <f t="shared" si="17"/>
        <v/>
      </c>
      <c r="E196" s="560"/>
      <c r="F196" s="559"/>
      <c r="G196" s="559" t="str">
        <f t="shared" si="18"/>
        <v/>
      </c>
      <c r="H196" s="559" t="str">
        <f t="shared" si="19"/>
        <v/>
      </c>
      <c r="I196" s="559" t="str">
        <f t="shared" si="20"/>
        <v/>
      </c>
    </row>
    <row r="197" spans="2:9">
      <c r="B197" s="555" t="str">
        <f t="shared" si="15"/>
        <v/>
      </c>
      <c r="C197" s="556" t="str">
        <f t="shared" si="16"/>
        <v/>
      </c>
      <c r="D197" s="557" t="str">
        <f t="shared" si="17"/>
        <v/>
      </c>
      <c r="E197" s="560"/>
      <c r="F197" s="559"/>
      <c r="G197" s="559" t="str">
        <f t="shared" si="18"/>
        <v/>
      </c>
      <c r="H197" s="559" t="str">
        <f t="shared" si="19"/>
        <v/>
      </c>
      <c r="I197" s="559" t="str">
        <f t="shared" si="20"/>
        <v/>
      </c>
    </row>
    <row r="198" spans="2:9">
      <c r="B198" s="555" t="str">
        <f t="shared" si="15"/>
        <v/>
      </c>
      <c r="C198" s="556" t="str">
        <f t="shared" si="16"/>
        <v/>
      </c>
      <c r="D198" s="557" t="str">
        <f t="shared" si="17"/>
        <v/>
      </c>
      <c r="E198" s="560"/>
      <c r="F198" s="559"/>
      <c r="G198" s="559" t="str">
        <f t="shared" si="18"/>
        <v/>
      </c>
      <c r="H198" s="559" t="str">
        <f t="shared" si="19"/>
        <v/>
      </c>
      <c r="I198" s="559" t="str">
        <f t="shared" si="20"/>
        <v/>
      </c>
    </row>
    <row r="199" spans="2:9">
      <c r="B199" s="555" t="str">
        <f t="shared" si="15"/>
        <v/>
      </c>
      <c r="C199" s="556" t="str">
        <f t="shared" si="16"/>
        <v/>
      </c>
      <c r="D199" s="557" t="str">
        <f t="shared" si="17"/>
        <v/>
      </c>
      <c r="E199" s="560"/>
      <c r="F199" s="559"/>
      <c r="G199" s="559" t="str">
        <f t="shared" si="18"/>
        <v/>
      </c>
      <c r="H199" s="559" t="str">
        <f t="shared" si="19"/>
        <v/>
      </c>
      <c r="I199" s="559" t="str">
        <f t="shared" si="20"/>
        <v/>
      </c>
    </row>
    <row r="200" spans="2:9">
      <c r="B200" s="555" t="str">
        <f t="shared" si="15"/>
        <v/>
      </c>
      <c r="C200" s="556" t="str">
        <f t="shared" si="16"/>
        <v/>
      </c>
      <c r="D200" s="557" t="str">
        <f t="shared" si="17"/>
        <v/>
      </c>
      <c r="E200" s="560"/>
      <c r="F200" s="559"/>
      <c r="G200" s="559" t="str">
        <f t="shared" si="18"/>
        <v/>
      </c>
      <c r="H200" s="559" t="str">
        <f t="shared" si="19"/>
        <v/>
      </c>
      <c r="I200" s="559" t="str">
        <f t="shared" si="20"/>
        <v/>
      </c>
    </row>
    <row r="201" spans="2:9">
      <c r="B201" s="555" t="str">
        <f t="shared" si="15"/>
        <v/>
      </c>
      <c r="C201" s="556" t="str">
        <f t="shared" si="16"/>
        <v/>
      </c>
      <c r="D201" s="557" t="str">
        <f t="shared" si="17"/>
        <v/>
      </c>
      <c r="E201" s="560"/>
      <c r="F201" s="559"/>
      <c r="G201" s="559" t="str">
        <f t="shared" si="18"/>
        <v/>
      </c>
      <c r="H201" s="559" t="str">
        <f t="shared" si="19"/>
        <v/>
      </c>
      <c r="I201" s="559" t="str">
        <f t="shared" si="20"/>
        <v/>
      </c>
    </row>
    <row r="202" spans="2:9">
      <c r="B202" s="555" t="str">
        <f t="shared" si="15"/>
        <v/>
      </c>
      <c r="C202" s="556" t="str">
        <f t="shared" si="16"/>
        <v/>
      </c>
      <c r="D202" s="557" t="str">
        <f t="shared" si="17"/>
        <v/>
      </c>
      <c r="E202" s="560"/>
      <c r="F202" s="559"/>
      <c r="G202" s="559" t="str">
        <f t="shared" si="18"/>
        <v/>
      </c>
      <c r="H202" s="559" t="str">
        <f t="shared" si="19"/>
        <v/>
      </c>
      <c r="I202" s="559" t="str">
        <f t="shared" si="20"/>
        <v/>
      </c>
    </row>
    <row r="203" spans="2:9">
      <c r="B203" s="555" t="str">
        <f t="shared" si="15"/>
        <v/>
      </c>
      <c r="C203" s="556" t="str">
        <f t="shared" si="16"/>
        <v/>
      </c>
      <c r="D203" s="557" t="str">
        <f t="shared" si="17"/>
        <v/>
      </c>
      <c r="E203" s="560"/>
      <c r="F203" s="559"/>
      <c r="G203" s="559" t="str">
        <f t="shared" si="18"/>
        <v/>
      </c>
      <c r="H203" s="559" t="str">
        <f t="shared" si="19"/>
        <v/>
      </c>
      <c r="I203" s="559" t="str">
        <f t="shared" si="20"/>
        <v/>
      </c>
    </row>
    <row r="204" spans="2:9">
      <c r="B204" s="555" t="str">
        <f t="shared" si="15"/>
        <v/>
      </c>
      <c r="C204" s="556" t="str">
        <f t="shared" si="16"/>
        <v/>
      </c>
      <c r="D204" s="557" t="str">
        <f t="shared" si="17"/>
        <v/>
      </c>
      <c r="E204" s="560"/>
      <c r="F204" s="559"/>
      <c r="G204" s="559" t="str">
        <f t="shared" si="18"/>
        <v/>
      </c>
      <c r="H204" s="559" t="str">
        <f t="shared" si="19"/>
        <v/>
      </c>
      <c r="I204" s="559" t="str">
        <f t="shared" si="20"/>
        <v/>
      </c>
    </row>
    <row r="205" spans="2:9">
      <c r="B205" s="555" t="str">
        <f t="shared" si="15"/>
        <v/>
      </c>
      <c r="C205" s="556" t="str">
        <f t="shared" si="16"/>
        <v/>
      </c>
      <c r="D205" s="557" t="str">
        <f t="shared" si="17"/>
        <v/>
      </c>
      <c r="E205" s="560"/>
      <c r="F205" s="559"/>
      <c r="G205" s="559" t="str">
        <f t="shared" si="18"/>
        <v/>
      </c>
      <c r="H205" s="559" t="str">
        <f t="shared" si="19"/>
        <v/>
      </c>
      <c r="I205" s="559" t="str">
        <f t="shared" si="20"/>
        <v/>
      </c>
    </row>
    <row r="206" spans="2:9">
      <c r="B206" s="555" t="str">
        <f t="shared" si="15"/>
        <v/>
      </c>
      <c r="C206" s="556" t="str">
        <f t="shared" si="16"/>
        <v/>
      </c>
      <c r="D206" s="557" t="str">
        <f t="shared" si="17"/>
        <v/>
      </c>
      <c r="E206" s="560"/>
      <c r="F206" s="559"/>
      <c r="G206" s="559" t="str">
        <f t="shared" si="18"/>
        <v/>
      </c>
      <c r="H206" s="559" t="str">
        <f t="shared" si="19"/>
        <v/>
      </c>
      <c r="I206" s="559" t="str">
        <f t="shared" si="20"/>
        <v/>
      </c>
    </row>
    <row r="207" spans="2:9">
      <c r="B207" s="555" t="str">
        <f t="shared" si="15"/>
        <v/>
      </c>
      <c r="C207" s="556" t="str">
        <f t="shared" si="16"/>
        <v/>
      </c>
      <c r="D207" s="557" t="str">
        <f t="shared" si="17"/>
        <v/>
      </c>
      <c r="E207" s="560"/>
      <c r="F207" s="559"/>
      <c r="G207" s="559" t="str">
        <f t="shared" si="18"/>
        <v/>
      </c>
      <c r="H207" s="559" t="str">
        <f t="shared" si="19"/>
        <v/>
      </c>
      <c r="I207" s="559" t="str">
        <f t="shared" si="20"/>
        <v/>
      </c>
    </row>
    <row r="208" spans="2:9">
      <c r="B208" s="555" t="str">
        <f t="shared" si="15"/>
        <v/>
      </c>
      <c r="C208" s="556" t="str">
        <f t="shared" si="16"/>
        <v/>
      </c>
      <c r="D208" s="557" t="str">
        <f t="shared" si="17"/>
        <v/>
      </c>
      <c r="E208" s="560"/>
      <c r="F208" s="559"/>
      <c r="G208" s="559" t="str">
        <f t="shared" si="18"/>
        <v/>
      </c>
      <c r="H208" s="559" t="str">
        <f t="shared" si="19"/>
        <v/>
      </c>
      <c r="I208" s="559" t="str">
        <f t="shared" si="20"/>
        <v/>
      </c>
    </row>
    <row r="209" spans="2:9">
      <c r="B209" s="555" t="str">
        <f t="shared" si="15"/>
        <v/>
      </c>
      <c r="C209" s="556" t="str">
        <f t="shared" si="16"/>
        <v/>
      </c>
      <c r="D209" s="557" t="str">
        <f t="shared" si="17"/>
        <v/>
      </c>
      <c r="E209" s="560"/>
      <c r="F209" s="559"/>
      <c r="G209" s="559" t="str">
        <f t="shared" si="18"/>
        <v/>
      </c>
      <c r="H209" s="559" t="str">
        <f t="shared" si="19"/>
        <v/>
      </c>
      <c r="I209" s="559" t="str">
        <f t="shared" si="20"/>
        <v/>
      </c>
    </row>
    <row r="210" spans="2:9">
      <c r="B210" s="555" t="str">
        <f t="shared" si="15"/>
        <v/>
      </c>
      <c r="C210" s="556" t="str">
        <f t="shared" si="16"/>
        <v/>
      </c>
      <c r="D210" s="557" t="str">
        <f t="shared" si="17"/>
        <v/>
      </c>
      <c r="E210" s="560"/>
      <c r="F210" s="559"/>
      <c r="G210" s="559" t="str">
        <f t="shared" si="18"/>
        <v/>
      </c>
      <c r="H210" s="559" t="str">
        <f t="shared" si="19"/>
        <v/>
      </c>
      <c r="I210" s="559" t="str">
        <f t="shared" si="20"/>
        <v/>
      </c>
    </row>
    <row r="211" spans="2:9">
      <c r="B211" s="555" t="str">
        <f t="shared" si="15"/>
        <v/>
      </c>
      <c r="C211" s="556" t="str">
        <f t="shared" si="16"/>
        <v/>
      </c>
      <c r="D211" s="557" t="str">
        <f t="shared" si="17"/>
        <v/>
      </c>
      <c r="E211" s="560"/>
      <c r="F211" s="559"/>
      <c r="G211" s="559" t="str">
        <f t="shared" si="18"/>
        <v/>
      </c>
      <c r="H211" s="559" t="str">
        <f t="shared" si="19"/>
        <v/>
      </c>
      <c r="I211" s="559" t="str">
        <f t="shared" si="20"/>
        <v/>
      </c>
    </row>
    <row r="212" spans="2:9">
      <c r="B212" s="555" t="str">
        <f t="shared" si="15"/>
        <v/>
      </c>
      <c r="C212" s="556" t="str">
        <f t="shared" si="16"/>
        <v/>
      </c>
      <c r="D212" s="557" t="str">
        <f t="shared" si="17"/>
        <v/>
      </c>
      <c r="E212" s="560"/>
      <c r="F212" s="559"/>
      <c r="G212" s="559" t="str">
        <f t="shared" si="18"/>
        <v/>
      </c>
      <c r="H212" s="559" t="str">
        <f t="shared" si="19"/>
        <v/>
      </c>
      <c r="I212" s="559" t="str">
        <f t="shared" si="20"/>
        <v/>
      </c>
    </row>
    <row r="213" spans="2:9">
      <c r="B213" s="555" t="str">
        <f t="shared" si="15"/>
        <v/>
      </c>
      <c r="C213" s="556" t="str">
        <f t="shared" si="16"/>
        <v/>
      </c>
      <c r="D213" s="557" t="str">
        <f t="shared" si="17"/>
        <v/>
      </c>
      <c r="E213" s="560"/>
      <c r="F213" s="559"/>
      <c r="G213" s="559" t="str">
        <f t="shared" si="18"/>
        <v/>
      </c>
      <c r="H213" s="559" t="str">
        <f t="shared" si="19"/>
        <v/>
      </c>
      <c r="I213" s="559" t="str">
        <f t="shared" si="20"/>
        <v/>
      </c>
    </row>
    <row r="214" spans="2:9">
      <c r="B214" s="555" t="str">
        <f t="shared" si="15"/>
        <v/>
      </c>
      <c r="C214" s="556" t="str">
        <f t="shared" si="16"/>
        <v/>
      </c>
      <c r="D214" s="557" t="str">
        <f t="shared" si="17"/>
        <v/>
      </c>
      <c r="E214" s="560"/>
      <c r="F214" s="559"/>
      <c r="G214" s="559" t="str">
        <f t="shared" si="18"/>
        <v/>
      </c>
      <c r="H214" s="559" t="str">
        <f t="shared" si="19"/>
        <v/>
      </c>
      <c r="I214" s="559" t="str">
        <f t="shared" si="20"/>
        <v/>
      </c>
    </row>
    <row r="215" spans="2:9">
      <c r="B215" s="555" t="str">
        <f t="shared" si="15"/>
        <v/>
      </c>
      <c r="C215" s="556" t="str">
        <f t="shared" si="16"/>
        <v/>
      </c>
      <c r="D215" s="557" t="str">
        <f t="shared" si="17"/>
        <v/>
      </c>
      <c r="E215" s="560"/>
      <c r="F215" s="559"/>
      <c r="G215" s="559" t="str">
        <f t="shared" si="18"/>
        <v/>
      </c>
      <c r="H215" s="559" t="str">
        <f t="shared" si="19"/>
        <v/>
      </c>
      <c r="I215" s="559" t="str">
        <f t="shared" si="20"/>
        <v/>
      </c>
    </row>
    <row r="216" spans="2:9">
      <c r="B216" s="555" t="str">
        <f t="shared" si="15"/>
        <v/>
      </c>
      <c r="C216" s="556" t="str">
        <f t="shared" si="16"/>
        <v/>
      </c>
      <c r="D216" s="557" t="str">
        <f t="shared" si="17"/>
        <v/>
      </c>
      <c r="E216" s="560"/>
      <c r="F216" s="559"/>
      <c r="G216" s="559" t="str">
        <f t="shared" si="18"/>
        <v/>
      </c>
      <c r="H216" s="559" t="str">
        <f t="shared" si="19"/>
        <v/>
      </c>
      <c r="I216" s="559" t="str">
        <f t="shared" si="20"/>
        <v/>
      </c>
    </row>
    <row r="217" spans="2:9">
      <c r="B217" s="555" t="str">
        <f t="shared" si="15"/>
        <v/>
      </c>
      <c r="C217" s="556" t="str">
        <f t="shared" si="16"/>
        <v/>
      </c>
      <c r="D217" s="557" t="str">
        <f t="shared" si="17"/>
        <v/>
      </c>
      <c r="E217" s="560"/>
      <c r="F217" s="559"/>
      <c r="G217" s="559" t="str">
        <f t="shared" si="18"/>
        <v/>
      </c>
      <c r="H217" s="559" t="str">
        <f t="shared" si="19"/>
        <v/>
      </c>
      <c r="I217" s="559" t="str">
        <f t="shared" si="20"/>
        <v/>
      </c>
    </row>
    <row r="218" spans="2:9">
      <c r="B218" s="555" t="str">
        <f t="shared" si="15"/>
        <v/>
      </c>
      <c r="C218" s="556" t="str">
        <f t="shared" si="16"/>
        <v/>
      </c>
      <c r="D218" s="557" t="str">
        <f t="shared" si="17"/>
        <v/>
      </c>
      <c r="E218" s="560"/>
      <c r="F218" s="559"/>
      <c r="G218" s="559" t="str">
        <f t="shared" si="18"/>
        <v/>
      </c>
      <c r="H218" s="559" t="str">
        <f t="shared" si="19"/>
        <v/>
      </c>
      <c r="I218" s="559" t="str">
        <f t="shared" si="20"/>
        <v/>
      </c>
    </row>
    <row r="219" spans="2:9">
      <c r="B219" s="555" t="str">
        <f t="shared" si="15"/>
        <v/>
      </c>
      <c r="C219" s="556" t="str">
        <f t="shared" si="16"/>
        <v/>
      </c>
      <c r="D219" s="557" t="str">
        <f t="shared" si="17"/>
        <v/>
      </c>
      <c r="E219" s="560"/>
      <c r="F219" s="559"/>
      <c r="G219" s="559" t="str">
        <f t="shared" si="18"/>
        <v/>
      </c>
      <c r="H219" s="559" t="str">
        <f t="shared" si="19"/>
        <v/>
      </c>
      <c r="I219" s="559" t="str">
        <f t="shared" si="20"/>
        <v/>
      </c>
    </row>
    <row r="220" spans="2:9">
      <c r="B220" s="555" t="str">
        <f t="shared" si="15"/>
        <v/>
      </c>
      <c r="C220" s="556" t="str">
        <f t="shared" si="16"/>
        <v/>
      </c>
      <c r="D220" s="557" t="str">
        <f t="shared" si="17"/>
        <v/>
      </c>
      <c r="E220" s="560"/>
      <c r="F220" s="559"/>
      <c r="G220" s="559" t="str">
        <f t="shared" si="18"/>
        <v/>
      </c>
      <c r="H220" s="559" t="str">
        <f t="shared" si="19"/>
        <v/>
      </c>
      <c r="I220" s="559" t="str">
        <f t="shared" si="20"/>
        <v/>
      </c>
    </row>
    <row r="221" spans="2:9">
      <c r="B221" s="555" t="str">
        <f t="shared" si="15"/>
        <v/>
      </c>
      <c r="C221" s="556" t="str">
        <f t="shared" si="16"/>
        <v/>
      </c>
      <c r="D221" s="557" t="str">
        <f t="shared" si="17"/>
        <v/>
      </c>
      <c r="E221" s="560"/>
      <c r="F221" s="559"/>
      <c r="G221" s="559" t="str">
        <f t="shared" si="18"/>
        <v/>
      </c>
      <c r="H221" s="559" t="str">
        <f t="shared" si="19"/>
        <v/>
      </c>
      <c r="I221" s="559" t="str">
        <f t="shared" si="20"/>
        <v/>
      </c>
    </row>
    <row r="222" spans="2:9">
      <c r="B222" s="555" t="str">
        <f t="shared" si="15"/>
        <v/>
      </c>
      <c r="C222" s="556" t="str">
        <f t="shared" si="16"/>
        <v/>
      </c>
      <c r="D222" s="557" t="str">
        <f t="shared" si="17"/>
        <v/>
      </c>
      <c r="E222" s="560"/>
      <c r="F222" s="559"/>
      <c r="G222" s="559" t="str">
        <f t="shared" si="18"/>
        <v/>
      </c>
      <c r="H222" s="559" t="str">
        <f t="shared" si="19"/>
        <v/>
      </c>
      <c r="I222" s="559" t="str">
        <f t="shared" si="20"/>
        <v/>
      </c>
    </row>
    <row r="223" spans="2:9">
      <c r="B223" s="555" t="str">
        <f t="shared" si="15"/>
        <v/>
      </c>
      <c r="C223" s="556" t="str">
        <f t="shared" si="16"/>
        <v/>
      </c>
      <c r="D223" s="557" t="str">
        <f t="shared" si="17"/>
        <v/>
      </c>
      <c r="E223" s="560"/>
      <c r="F223" s="559"/>
      <c r="G223" s="559" t="str">
        <f t="shared" si="18"/>
        <v/>
      </c>
      <c r="H223" s="559" t="str">
        <f t="shared" si="19"/>
        <v/>
      </c>
      <c r="I223" s="559" t="str">
        <f t="shared" si="20"/>
        <v/>
      </c>
    </row>
    <row r="224" spans="2:9">
      <c r="B224" s="555" t="str">
        <f t="shared" si="15"/>
        <v/>
      </c>
      <c r="C224" s="556" t="str">
        <f t="shared" si="16"/>
        <v/>
      </c>
      <c r="D224" s="557" t="str">
        <f t="shared" si="17"/>
        <v/>
      </c>
      <c r="E224" s="560"/>
      <c r="F224" s="559"/>
      <c r="G224" s="559" t="str">
        <f t="shared" si="18"/>
        <v/>
      </c>
      <c r="H224" s="559" t="str">
        <f t="shared" si="19"/>
        <v/>
      </c>
      <c r="I224" s="559" t="str">
        <f t="shared" si="20"/>
        <v/>
      </c>
    </row>
    <row r="225" spans="2:9">
      <c r="B225" s="555" t="str">
        <f t="shared" si="15"/>
        <v/>
      </c>
      <c r="C225" s="556" t="str">
        <f t="shared" si="16"/>
        <v/>
      </c>
      <c r="D225" s="557" t="str">
        <f t="shared" si="17"/>
        <v/>
      </c>
      <c r="E225" s="560"/>
      <c r="F225" s="559"/>
      <c r="G225" s="559" t="str">
        <f t="shared" si="18"/>
        <v/>
      </c>
      <c r="H225" s="559" t="str">
        <f t="shared" si="19"/>
        <v/>
      </c>
      <c r="I225" s="559" t="str">
        <f t="shared" si="20"/>
        <v/>
      </c>
    </row>
    <row r="226" spans="2:9">
      <c r="B226" s="555" t="str">
        <f t="shared" si="15"/>
        <v/>
      </c>
      <c r="C226" s="556" t="str">
        <f t="shared" si="16"/>
        <v/>
      </c>
      <c r="D226" s="557" t="str">
        <f t="shared" si="17"/>
        <v/>
      </c>
      <c r="E226" s="560"/>
      <c r="F226" s="559"/>
      <c r="G226" s="559" t="str">
        <f t="shared" si="18"/>
        <v/>
      </c>
      <c r="H226" s="559" t="str">
        <f t="shared" si="19"/>
        <v/>
      </c>
      <c r="I226" s="559" t="str">
        <f t="shared" si="20"/>
        <v/>
      </c>
    </row>
    <row r="227" spans="2:9">
      <c r="B227" s="555" t="str">
        <f t="shared" si="15"/>
        <v/>
      </c>
      <c r="C227" s="556" t="str">
        <f t="shared" si="16"/>
        <v/>
      </c>
      <c r="D227" s="557" t="str">
        <f t="shared" si="17"/>
        <v/>
      </c>
      <c r="E227" s="560"/>
      <c r="F227" s="559"/>
      <c r="G227" s="559" t="str">
        <f t="shared" si="18"/>
        <v/>
      </c>
      <c r="H227" s="559" t="str">
        <f t="shared" si="19"/>
        <v/>
      </c>
      <c r="I227" s="559" t="str">
        <f t="shared" si="20"/>
        <v/>
      </c>
    </row>
    <row r="228" spans="2:9">
      <c r="B228" s="555" t="str">
        <f t="shared" si="15"/>
        <v/>
      </c>
      <c r="C228" s="556" t="str">
        <f t="shared" si="16"/>
        <v/>
      </c>
      <c r="D228" s="557" t="str">
        <f t="shared" si="17"/>
        <v/>
      </c>
      <c r="E228" s="560"/>
      <c r="F228" s="559"/>
      <c r="G228" s="559" t="str">
        <f t="shared" si="18"/>
        <v/>
      </c>
      <c r="H228" s="559" t="str">
        <f t="shared" si="19"/>
        <v/>
      </c>
      <c r="I228" s="559" t="str">
        <f t="shared" si="20"/>
        <v/>
      </c>
    </row>
    <row r="229" spans="2:9">
      <c r="B229" s="555" t="str">
        <f t="shared" si="15"/>
        <v/>
      </c>
      <c r="C229" s="556" t="str">
        <f t="shared" si="16"/>
        <v/>
      </c>
      <c r="D229" s="557" t="str">
        <f t="shared" si="17"/>
        <v/>
      </c>
      <c r="E229" s="560"/>
      <c r="F229" s="559"/>
      <c r="G229" s="559" t="str">
        <f t="shared" si="18"/>
        <v/>
      </c>
      <c r="H229" s="559" t="str">
        <f t="shared" si="19"/>
        <v/>
      </c>
      <c r="I229" s="559" t="str">
        <f t="shared" si="20"/>
        <v/>
      </c>
    </row>
    <row r="230" spans="2:9">
      <c r="B230" s="555" t="str">
        <f t="shared" si="15"/>
        <v/>
      </c>
      <c r="C230" s="556" t="str">
        <f t="shared" si="16"/>
        <v/>
      </c>
      <c r="D230" s="557" t="str">
        <f t="shared" si="17"/>
        <v/>
      </c>
      <c r="E230" s="560"/>
      <c r="F230" s="559"/>
      <c r="G230" s="559" t="str">
        <f t="shared" si="18"/>
        <v/>
      </c>
      <c r="H230" s="559" t="str">
        <f t="shared" si="19"/>
        <v/>
      </c>
      <c r="I230" s="559" t="str">
        <f t="shared" si="20"/>
        <v/>
      </c>
    </row>
    <row r="231" spans="2:9">
      <c r="B231" s="555" t="str">
        <f t="shared" si="15"/>
        <v/>
      </c>
      <c r="C231" s="556" t="str">
        <f t="shared" si="16"/>
        <v/>
      </c>
      <c r="D231" s="557" t="str">
        <f t="shared" si="17"/>
        <v/>
      </c>
      <c r="E231" s="560"/>
      <c r="F231" s="559"/>
      <c r="G231" s="559" t="str">
        <f t="shared" si="18"/>
        <v/>
      </c>
      <c r="H231" s="559" t="str">
        <f t="shared" si="19"/>
        <v/>
      </c>
      <c r="I231" s="559" t="str">
        <f t="shared" si="20"/>
        <v/>
      </c>
    </row>
    <row r="232" spans="2:9">
      <c r="B232" s="555" t="str">
        <f t="shared" si="15"/>
        <v/>
      </c>
      <c r="C232" s="556" t="str">
        <f t="shared" si="16"/>
        <v/>
      </c>
      <c r="D232" s="557" t="str">
        <f t="shared" si="17"/>
        <v/>
      </c>
      <c r="E232" s="560"/>
      <c r="F232" s="559"/>
      <c r="G232" s="559" t="str">
        <f t="shared" si="18"/>
        <v/>
      </c>
      <c r="H232" s="559" t="str">
        <f t="shared" si="19"/>
        <v/>
      </c>
      <c r="I232" s="559" t="str">
        <f t="shared" si="20"/>
        <v/>
      </c>
    </row>
    <row r="233" spans="2:9">
      <c r="B233" s="555" t="str">
        <f t="shared" si="15"/>
        <v/>
      </c>
      <c r="C233" s="556" t="str">
        <f t="shared" si="16"/>
        <v/>
      </c>
      <c r="D233" s="557" t="str">
        <f t="shared" si="17"/>
        <v/>
      </c>
      <c r="E233" s="560"/>
      <c r="F233" s="559"/>
      <c r="G233" s="559" t="str">
        <f t="shared" si="18"/>
        <v/>
      </c>
      <c r="H233" s="559" t="str">
        <f t="shared" si="19"/>
        <v/>
      </c>
      <c r="I233" s="559" t="str">
        <f t="shared" si="20"/>
        <v/>
      </c>
    </row>
    <row r="234" spans="2:9">
      <c r="B234" s="555" t="str">
        <f t="shared" si="15"/>
        <v/>
      </c>
      <c r="C234" s="556" t="str">
        <f t="shared" si="16"/>
        <v/>
      </c>
      <c r="D234" s="557" t="str">
        <f t="shared" si="17"/>
        <v/>
      </c>
      <c r="E234" s="560"/>
      <c r="F234" s="559"/>
      <c r="G234" s="559" t="str">
        <f t="shared" si="18"/>
        <v/>
      </c>
      <c r="H234" s="559" t="str">
        <f t="shared" si="19"/>
        <v/>
      </c>
      <c r="I234" s="559" t="str">
        <f t="shared" si="20"/>
        <v/>
      </c>
    </row>
    <row r="235" spans="2:9">
      <c r="B235" s="555" t="str">
        <f t="shared" si="15"/>
        <v/>
      </c>
      <c r="C235" s="556" t="str">
        <f t="shared" si="16"/>
        <v/>
      </c>
      <c r="D235" s="557" t="str">
        <f t="shared" si="17"/>
        <v/>
      </c>
      <c r="E235" s="560"/>
      <c r="F235" s="559"/>
      <c r="G235" s="559" t="str">
        <f t="shared" si="18"/>
        <v/>
      </c>
      <c r="H235" s="559" t="str">
        <f t="shared" si="19"/>
        <v/>
      </c>
      <c r="I235" s="559" t="str">
        <f t="shared" si="20"/>
        <v/>
      </c>
    </row>
    <row r="236" spans="2:9">
      <c r="B236" s="555" t="str">
        <f t="shared" si="15"/>
        <v/>
      </c>
      <c r="C236" s="556" t="str">
        <f t="shared" si="16"/>
        <v/>
      </c>
      <c r="D236" s="557" t="str">
        <f t="shared" si="17"/>
        <v/>
      </c>
      <c r="E236" s="560"/>
      <c r="F236" s="559"/>
      <c r="G236" s="559" t="str">
        <f t="shared" si="18"/>
        <v/>
      </c>
      <c r="H236" s="559" t="str">
        <f t="shared" si="19"/>
        <v/>
      </c>
      <c r="I236" s="559" t="str">
        <f t="shared" si="20"/>
        <v/>
      </c>
    </row>
    <row r="237" spans="2:9">
      <c r="B237" s="555" t="str">
        <f t="shared" si="15"/>
        <v/>
      </c>
      <c r="C237" s="556" t="str">
        <f t="shared" si="16"/>
        <v/>
      </c>
      <c r="D237" s="557" t="str">
        <f t="shared" si="17"/>
        <v/>
      </c>
      <c r="E237" s="560"/>
      <c r="F237" s="559"/>
      <c r="G237" s="559" t="str">
        <f t="shared" si="18"/>
        <v/>
      </c>
      <c r="H237" s="559" t="str">
        <f t="shared" si="19"/>
        <v/>
      </c>
      <c r="I237" s="559" t="str">
        <f t="shared" si="20"/>
        <v/>
      </c>
    </row>
    <row r="238" spans="2:9">
      <c r="B238" s="555" t="str">
        <f t="shared" si="15"/>
        <v/>
      </c>
      <c r="C238" s="556" t="str">
        <f t="shared" si="16"/>
        <v/>
      </c>
      <c r="D238" s="557" t="str">
        <f t="shared" si="17"/>
        <v/>
      </c>
      <c r="E238" s="560"/>
      <c r="F238" s="559"/>
      <c r="G238" s="559" t="str">
        <f t="shared" si="18"/>
        <v/>
      </c>
      <c r="H238" s="559" t="str">
        <f t="shared" si="19"/>
        <v/>
      </c>
      <c r="I238" s="559" t="str">
        <f t="shared" si="20"/>
        <v/>
      </c>
    </row>
    <row r="239" spans="2:9">
      <c r="B239" s="555" t="str">
        <f t="shared" si="15"/>
        <v/>
      </c>
      <c r="C239" s="556" t="str">
        <f t="shared" si="16"/>
        <v/>
      </c>
      <c r="D239" s="557" t="str">
        <f t="shared" si="17"/>
        <v/>
      </c>
      <c r="E239" s="560"/>
      <c r="F239" s="559"/>
      <c r="G239" s="559" t="str">
        <f t="shared" si="18"/>
        <v/>
      </c>
      <c r="H239" s="559" t="str">
        <f t="shared" si="19"/>
        <v/>
      </c>
      <c r="I239" s="559" t="str">
        <f t="shared" si="20"/>
        <v/>
      </c>
    </row>
    <row r="240" spans="2:9">
      <c r="B240" s="555" t="str">
        <f t="shared" si="15"/>
        <v/>
      </c>
      <c r="C240" s="556" t="str">
        <f t="shared" si="16"/>
        <v/>
      </c>
      <c r="D240" s="557" t="str">
        <f t="shared" si="17"/>
        <v/>
      </c>
      <c r="E240" s="560"/>
      <c r="F240" s="559"/>
      <c r="G240" s="559" t="str">
        <f t="shared" si="18"/>
        <v/>
      </c>
      <c r="H240" s="559" t="str">
        <f t="shared" si="19"/>
        <v/>
      </c>
      <c r="I240" s="559" t="str">
        <f t="shared" si="20"/>
        <v/>
      </c>
    </row>
    <row r="241" spans="2:9">
      <c r="B241" s="555" t="str">
        <f t="shared" si="15"/>
        <v/>
      </c>
      <c r="C241" s="556" t="str">
        <f t="shared" si="16"/>
        <v/>
      </c>
      <c r="D241" s="557" t="str">
        <f t="shared" si="17"/>
        <v/>
      </c>
      <c r="E241" s="560"/>
      <c r="F241" s="559"/>
      <c r="G241" s="559" t="str">
        <f t="shared" si="18"/>
        <v/>
      </c>
      <c r="H241" s="559" t="str">
        <f t="shared" si="19"/>
        <v/>
      </c>
      <c r="I241" s="559" t="str">
        <f t="shared" si="20"/>
        <v/>
      </c>
    </row>
    <row r="242" spans="2:9">
      <c r="B242" s="555" t="str">
        <f t="shared" si="15"/>
        <v/>
      </c>
      <c r="C242" s="556" t="str">
        <f t="shared" si="16"/>
        <v/>
      </c>
      <c r="D242" s="557" t="str">
        <f t="shared" si="17"/>
        <v/>
      </c>
      <c r="E242" s="560"/>
      <c r="F242" s="559"/>
      <c r="G242" s="559" t="str">
        <f t="shared" si="18"/>
        <v/>
      </c>
      <c r="H242" s="559" t="str">
        <f t="shared" si="19"/>
        <v/>
      </c>
      <c r="I242" s="559" t="str">
        <f t="shared" si="20"/>
        <v/>
      </c>
    </row>
    <row r="243" spans="2:9">
      <c r="B243" s="555" t="str">
        <f t="shared" si="15"/>
        <v/>
      </c>
      <c r="C243" s="556" t="str">
        <f t="shared" si="16"/>
        <v/>
      </c>
      <c r="D243" s="557" t="str">
        <f t="shared" si="17"/>
        <v/>
      </c>
      <c r="E243" s="560"/>
      <c r="F243" s="559"/>
      <c r="G243" s="559" t="str">
        <f t="shared" si="18"/>
        <v/>
      </c>
      <c r="H243" s="559" t="str">
        <f t="shared" si="19"/>
        <v/>
      </c>
      <c r="I243" s="559" t="str">
        <f t="shared" si="20"/>
        <v/>
      </c>
    </row>
    <row r="244" spans="2:9">
      <c r="B244" s="555" t="str">
        <f t="shared" si="15"/>
        <v/>
      </c>
      <c r="C244" s="556" t="str">
        <f t="shared" si="16"/>
        <v/>
      </c>
      <c r="D244" s="557" t="str">
        <f t="shared" si="17"/>
        <v/>
      </c>
      <c r="E244" s="560"/>
      <c r="F244" s="559"/>
      <c r="G244" s="559" t="str">
        <f t="shared" si="18"/>
        <v/>
      </c>
      <c r="H244" s="559" t="str">
        <f t="shared" si="19"/>
        <v/>
      </c>
      <c r="I244" s="559" t="str">
        <f t="shared" si="20"/>
        <v/>
      </c>
    </row>
    <row r="245" spans="2:9">
      <c r="B245" s="555" t="str">
        <f t="shared" si="15"/>
        <v/>
      </c>
      <c r="C245" s="556" t="str">
        <f t="shared" si="16"/>
        <v/>
      </c>
      <c r="D245" s="557" t="str">
        <f t="shared" si="17"/>
        <v/>
      </c>
      <c r="E245" s="560"/>
      <c r="F245" s="559"/>
      <c r="G245" s="559" t="str">
        <f t="shared" si="18"/>
        <v/>
      </c>
      <c r="H245" s="559" t="str">
        <f t="shared" si="19"/>
        <v/>
      </c>
      <c r="I245" s="559" t="str">
        <f t="shared" si="20"/>
        <v/>
      </c>
    </row>
    <row r="246" spans="2:9">
      <c r="B246" s="555" t="str">
        <f t="shared" si="15"/>
        <v/>
      </c>
      <c r="C246" s="556" t="str">
        <f t="shared" si="16"/>
        <v/>
      </c>
      <c r="D246" s="557" t="str">
        <f t="shared" si="17"/>
        <v/>
      </c>
      <c r="E246" s="560"/>
      <c r="F246" s="559"/>
      <c r="G246" s="559" t="str">
        <f t="shared" si="18"/>
        <v/>
      </c>
      <c r="H246" s="559" t="str">
        <f t="shared" si="19"/>
        <v/>
      </c>
      <c r="I246" s="559" t="str">
        <f t="shared" si="20"/>
        <v/>
      </c>
    </row>
    <row r="247" spans="2:9">
      <c r="B247" s="555" t="str">
        <f t="shared" si="15"/>
        <v/>
      </c>
      <c r="C247" s="556" t="str">
        <f t="shared" si="16"/>
        <v/>
      </c>
      <c r="D247" s="557" t="str">
        <f t="shared" si="17"/>
        <v/>
      </c>
      <c r="E247" s="560"/>
      <c r="F247" s="559"/>
      <c r="G247" s="559" t="str">
        <f t="shared" si="18"/>
        <v/>
      </c>
      <c r="H247" s="559" t="str">
        <f t="shared" si="19"/>
        <v/>
      </c>
      <c r="I247" s="559" t="str">
        <f t="shared" si="20"/>
        <v/>
      </c>
    </row>
    <row r="248" spans="2:9">
      <c r="B248" s="555" t="str">
        <f t="shared" si="15"/>
        <v/>
      </c>
      <c r="C248" s="556" t="str">
        <f t="shared" si="16"/>
        <v/>
      </c>
      <c r="D248" s="557" t="str">
        <f t="shared" si="17"/>
        <v/>
      </c>
      <c r="E248" s="560"/>
      <c r="F248" s="559"/>
      <c r="G248" s="559" t="str">
        <f t="shared" si="18"/>
        <v/>
      </c>
      <c r="H248" s="559" t="str">
        <f t="shared" si="19"/>
        <v/>
      </c>
      <c r="I248" s="559" t="str">
        <f t="shared" si="20"/>
        <v/>
      </c>
    </row>
    <row r="249" spans="2:9">
      <c r="B249" s="555" t="str">
        <f t="shared" si="15"/>
        <v/>
      </c>
      <c r="C249" s="556" t="str">
        <f t="shared" si="16"/>
        <v/>
      </c>
      <c r="D249" s="557" t="str">
        <f t="shared" si="17"/>
        <v/>
      </c>
      <c r="E249" s="560"/>
      <c r="F249" s="559"/>
      <c r="G249" s="559" t="str">
        <f t="shared" si="18"/>
        <v/>
      </c>
      <c r="H249" s="559" t="str">
        <f t="shared" si="19"/>
        <v/>
      </c>
      <c r="I249" s="559" t="str">
        <f t="shared" si="20"/>
        <v/>
      </c>
    </row>
    <row r="250" spans="2:9">
      <c r="B250" s="555" t="str">
        <f t="shared" si="15"/>
        <v/>
      </c>
      <c r="C250" s="556" t="str">
        <f t="shared" si="16"/>
        <v/>
      </c>
      <c r="D250" s="557" t="str">
        <f t="shared" si="17"/>
        <v/>
      </c>
      <c r="E250" s="560"/>
      <c r="F250" s="559"/>
      <c r="G250" s="559" t="str">
        <f t="shared" si="18"/>
        <v/>
      </c>
      <c r="H250" s="559" t="str">
        <f t="shared" si="19"/>
        <v/>
      </c>
      <c r="I250" s="559" t="str">
        <f t="shared" si="20"/>
        <v/>
      </c>
    </row>
    <row r="251" spans="2:9">
      <c r="B251" s="555" t="str">
        <f t="shared" si="15"/>
        <v/>
      </c>
      <c r="C251" s="556" t="str">
        <f t="shared" si="16"/>
        <v/>
      </c>
      <c r="D251" s="557" t="str">
        <f t="shared" si="17"/>
        <v/>
      </c>
      <c r="E251" s="560"/>
      <c r="F251" s="559"/>
      <c r="G251" s="559" t="str">
        <f t="shared" si="18"/>
        <v/>
      </c>
      <c r="H251" s="559" t="str">
        <f t="shared" si="19"/>
        <v/>
      </c>
      <c r="I251" s="559" t="str">
        <f t="shared" si="20"/>
        <v/>
      </c>
    </row>
    <row r="252" spans="2:9">
      <c r="B252" s="555" t="str">
        <f t="shared" si="15"/>
        <v/>
      </c>
      <c r="C252" s="556" t="str">
        <f t="shared" si="16"/>
        <v/>
      </c>
      <c r="D252" s="557" t="str">
        <f t="shared" si="17"/>
        <v/>
      </c>
      <c r="E252" s="560"/>
      <c r="F252" s="559"/>
      <c r="G252" s="559" t="str">
        <f t="shared" si="18"/>
        <v/>
      </c>
      <c r="H252" s="559" t="str">
        <f t="shared" si="19"/>
        <v/>
      </c>
      <c r="I252" s="559" t="str">
        <f t="shared" si="20"/>
        <v/>
      </c>
    </row>
    <row r="253" spans="2:9">
      <c r="B253" s="555" t="str">
        <f t="shared" ref="B253:B316" si="21">IF(I252="","",IF(roundOpt,IF(OR(B252&gt;=nper,ROUND(I252,2)&lt;=0),"",B252+1),IF(OR(B252&gt;=nper,I252&lt;=0),"",B252+1)))</f>
        <v/>
      </c>
      <c r="C253" s="556" t="str">
        <f t="shared" ref="C253:C316" si="22">IF(B253="","",IF(OR(periods_per_year=26,periods_per_year=52),IF(periods_per_year=26,IF(B253=1,fpdate,C252+14),IF(periods_per_year=52,IF(B253=1,fpdate,C252+7),"n/a")),IF(periods_per_year=24,DATE(YEAR(fpdate),MONTH(fpdate)+(B253-1)/2+IF(AND(DAY(fpdate)&gt;=15,MOD(B253,2)=0),1,0),IF(MOD(B253,2)=0,IF(DAY(fpdate)&gt;=15,DAY(fpdate)-14,DAY(fpdate)+14),DAY(fpdate))),IF(DAY(DATE(YEAR(fpdate),MONTH(fpdate)+(B253-1)*months_per_period,DAY(fpdate)))&lt;&gt;DAY(fpdate),DATE(YEAR(fpdate),MONTH(fpdate)+(B253-1)*months_per_period+1,0),DATE(YEAR(fpdate),MONTH(fpdate)+(B253-1)*months_per_period,DAY(fpdate))))))</f>
        <v/>
      </c>
      <c r="D253" s="557" t="str">
        <f t="shared" ref="D253:D316" si="23">IF(B253="","",IF(roundOpt,IF(OR(B253=nper,payment&gt;ROUND((1+rate)*I252,2)),ROUND((1+rate)*I252,2),payment),IF(OR(B253=nper,payment&gt;(1+rate)*I252),(1+rate)*I252,payment)))</f>
        <v/>
      </c>
      <c r="E253" s="560"/>
      <c r="F253" s="559"/>
      <c r="G253" s="559" t="str">
        <f t="shared" ref="G253:G316" si="24">IF(B253="","",IF(AND(B253=1,pmtType=1),0,IF(roundOpt,ROUND(rate*I252,2),rate*I252)))</f>
        <v/>
      </c>
      <c r="H253" s="559" t="str">
        <f t="shared" ref="H253:H316" si="25">IF(B253="","",D253-G253+E253)</f>
        <v/>
      </c>
      <c r="I253" s="559" t="str">
        <f t="shared" ref="I253:I316" si="26">IF(B253="","",I252-H253)</f>
        <v/>
      </c>
    </row>
    <row r="254" spans="2:9">
      <c r="B254" s="555" t="str">
        <f t="shared" si="21"/>
        <v/>
      </c>
      <c r="C254" s="556" t="str">
        <f t="shared" si="22"/>
        <v/>
      </c>
      <c r="D254" s="557" t="str">
        <f t="shared" si="23"/>
        <v/>
      </c>
      <c r="E254" s="560"/>
      <c r="F254" s="559"/>
      <c r="G254" s="559" t="str">
        <f t="shared" si="24"/>
        <v/>
      </c>
      <c r="H254" s="559" t="str">
        <f t="shared" si="25"/>
        <v/>
      </c>
      <c r="I254" s="559" t="str">
        <f t="shared" si="26"/>
        <v/>
      </c>
    </row>
    <row r="255" spans="2:9">
      <c r="B255" s="555" t="str">
        <f t="shared" si="21"/>
        <v/>
      </c>
      <c r="C255" s="556" t="str">
        <f t="shared" si="22"/>
        <v/>
      </c>
      <c r="D255" s="557" t="str">
        <f t="shared" si="23"/>
        <v/>
      </c>
      <c r="E255" s="560"/>
      <c r="F255" s="559"/>
      <c r="G255" s="559" t="str">
        <f t="shared" si="24"/>
        <v/>
      </c>
      <c r="H255" s="559" t="str">
        <f t="shared" si="25"/>
        <v/>
      </c>
      <c r="I255" s="559" t="str">
        <f t="shared" si="26"/>
        <v/>
      </c>
    </row>
    <row r="256" spans="2:9">
      <c r="B256" s="555" t="str">
        <f t="shared" si="21"/>
        <v/>
      </c>
      <c r="C256" s="556" t="str">
        <f t="shared" si="22"/>
        <v/>
      </c>
      <c r="D256" s="557" t="str">
        <f t="shared" si="23"/>
        <v/>
      </c>
      <c r="E256" s="560"/>
      <c r="F256" s="559"/>
      <c r="G256" s="559" t="str">
        <f t="shared" si="24"/>
        <v/>
      </c>
      <c r="H256" s="559" t="str">
        <f t="shared" si="25"/>
        <v/>
      </c>
      <c r="I256" s="559" t="str">
        <f t="shared" si="26"/>
        <v/>
      </c>
    </row>
    <row r="257" spans="2:9">
      <c r="B257" s="555" t="str">
        <f t="shared" si="21"/>
        <v/>
      </c>
      <c r="C257" s="556" t="str">
        <f t="shared" si="22"/>
        <v/>
      </c>
      <c r="D257" s="557" t="str">
        <f t="shared" si="23"/>
        <v/>
      </c>
      <c r="E257" s="560"/>
      <c r="F257" s="559"/>
      <c r="G257" s="559" t="str">
        <f t="shared" si="24"/>
        <v/>
      </c>
      <c r="H257" s="559" t="str">
        <f t="shared" si="25"/>
        <v/>
      </c>
      <c r="I257" s="559" t="str">
        <f t="shared" si="26"/>
        <v/>
      </c>
    </row>
    <row r="258" spans="2:9">
      <c r="B258" s="555" t="str">
        <f t="shared" si="21"/>
        <v/>
      </c>
      <c r="C258" s="556" t="str">
        <f t="shared" si="22"/>
        <v/>
      </c>
      <c r="D258" s="557" t="str">
        <f t="shared" si="23"/>
        <v/>
      </c>
      <c r="E258" s="560"/>
      <c r="F258" s="559"/>
      <c r="G258" s="559" t="str">
        <f t="shared" si="24"/>
        <v/>
      </c>
      <c r="H258" s="559" t="str">
        <f t="shared" si="25"/>
        <v/>
      </c>
      <c r="I258" s="559" t="str">
        <f t="shared" si="26"/>
        <v/>
      </c>
    </row>
    <row r="259" spans="2:9">
      <c r="B259" s="555" t="str">
        <f t="shared" si="21"/>
        <v/>
      </c>
      <c r="C259" s="556" t="str">
        <f t="shared" si="22"/>
        <v/>
      </c>
      <c r="D259" s="557" t="str">
        <f t="shared" si="23"/>
        <v/>
      </c>
      <c r="E259" s="560"/>
      <c r="F259" s="559"/>
      <c r="G259" s="559" t="str">
        <f t="shared" si="24"/>
        <v/>
      </c>
      <c r="H259" s="559" t="str">
        <f t="shared" si="25"/>
        <v/>
      </c>
      <c r="I259" s="559" t="str">
        <f t="shared" si="26"/>
        <v/>
      </c>
    </row>
    <row r="260" spans="2:9">
      <c r="B260" s="555" t="str">
        <f t="shared" si="21"/>
        <v/>
      </c>
      <c r="C260" s="556" t="str">
        <f t="shared" si="22"/>
        <v/>
      </c>
      <c r="D260" s="557" t="str">
        <f t="shared" si="23"/>
        <v/>
      </c>
      <c r="E260" s="560"/>
      <c r="F260" s="559"/>
      <c r="G260" s="559" t="str">
        <f t="shared" si="24"/>
        <v/>
      </c>
      <c r="H260" s="559" t="str">
        <f t="shared" si="25"/>
        <v/>
      </c>
      <c r="I260" s="559" t="str">
        <f t="shared" si="26"/>
        <v/>
      </c>
    </row>
    <row r="261" spans="2:9">
      <c r="B261" s="555" t="str">
        <f t="shared" si="21"/>
        <v/>
      </c>
      <c r="C261" s="556" t="str">
        <f t="shared" si="22"/>
        <v/>
      </c>
      <c r="D261" s="557" t="str">
        <f t="shared" si="23"/>
        <v/>
      </c>
      <c r="E261" s="560"/>
      <c r="F261" s="559"/>
      <c r="G261" s="559" t="str">
        <f t="shared" si="24"/>
        <v/>
      </c>
      <c r="H261" s="559" t="str">
        <f t="shared" si="25"/>
        <v/>
      </c>
      <c r="I261" s="559" t="str">
        <f t="shared" si="26"/>
        <v/>
      </c>
    </row>
    <row r="262" spans="2:9">
      <c r="B262" s="555" t="str">
        <f t="shared" si="21"/>
        <v/>
      </c>
      <c r="C262" s="556" t="str">
        <f t="shared" si="22"/>
        <v/>
      </c>
      <c r="D262" s="557" t="str">
        <f t="shared" si="23"/>
        <v/>
      </c>
      <c r="E262" s="560"/>
      <c r="F262" s="559"/>
      <c r="G262" s="559" t="str">
        <f t="shared" si="24"/>
        <v/>
      </c>
      <c r="H262" s="559" t="str">
        <f t="shared" si="25"/>
        <v/>
      </c>
      <c r="I262" s="559" t="str">
        <f t="shared" si="26"/>
        <v/>
      </c>
    </row>
    <row r="263" spans="2:9">
      <c r="B263" s="555" t="str">
        <f t="shared" si="21"/>
        <v/>
      </c>
      <c r="C263" s="556" t="str">
        <f t="shared" si="22"/>
        <v/>
      </c>
      <c r="D263" s="557" t="str">
        <f t="shared" si="23"/>
        <v/>
      </c>
      <c r="E263" s="560"/>
      <c r="F263" s="559"/>
      <c r="G263" s="559" t="str">
        <f t="shared" si="24"/>
        <v/>
      </c>
      <c r="H263" s="559" t="str">
        <f t="shared" si="25"/>
        <v/>
      </c>
      <c r="I263" s="559" t="str">
        <f t="shared" si="26"/>
        <v/>
      </c>
    </row>
    <row r="264" spans="2:9">
      <c r="B264" s="555" t="str">
        <f t="shared" si="21"/>
        <v/>
      </c>
      <c r="C264" s="556" t="str">
        <f t="shared" si="22"/>
        <v/>
      </c>
      <c r="D264" s="557" t="str">
        <f t="shared" si="23"/>
        <v/>
      </c>
      <c r="E264" s="560"/>
      <c r="F264" s="559"/>
      <c r="G264" s="559" t="str">
        <f t="shared" si="24"/>
        <v/>
      </c>
      <c r="H264" s="559" t="str">
        <f t="shared" si="25"/>
        <v/>
      </c>
      <c r="I264" s="559" t="str">
        <f t="shared" si="26"/>
        <v/>
      </c>
    </row>
    <row r="265" spans="2:9">
      <c r="B265" s="555" t="str">
        <f t="shared" si="21"/>
        <v/>
      </c>
      <c r="C265" s="556" t="str">
        <f t="shared" si="22"/>
        <v/>
      </c>
      <c r="D265" s="557" t="str">
        <f t="shared" si="23"/>
        <v/>
      </c>
      <c r="E265" s="560"/>
      <c r="F265" s="559"/>
      <c r="G265" s="559" t="str">
        <f t="shared" si="24"/>
        <v/>
      </c>
      <c r="H265" s="559" t="str">
        <f t="shared" si="25"/>
        <v/>
      </c>
      <c r="I265" s="559" t="str">
        <f t="shared" si="26"/>
        <v/>
      </c>
    </row>
    <row r="266" spans="2:9">
      <c r="B266" s="555" t="str">
        <f t="shared" si="21"/>
        <v/>
      </c>
      <c r="C266" s="556" t="str">
        <f t="shared" si="22"/>
        <v/>
      </c>
      <c r="D266" s="557" t="str">
        <f t="shared" si="23"/>
        <v/>
      </c>
      <c r="E266" s="560"/>
      <c r="F266" s="559"/>
      <c r="G266" s="559" t="str">
        <f t="shared" si="24"/>
        <v/>
      </c>
      <c r="H266" s="559" t="str">
        <f t="shared" si="25"/>
        <v/>
      </c>
      <c r="I266" s="559" t="str">
        <f t="shared" si="26"/>
        <v/>
      </c>
    </row>
    <row r="267" spans="2:9">
      <c r="B267" s="555" t="str">
        <f t="shared" si="21"/>
        <v/>
      </c>
      <c r="C267" s="556" t="str">
        <f t="shared" si="22"/>
        <v/>
      </c>
      <c r="D267" s="557" t="str">
        <f t="shared" si="23"/>
        <v/>
      </c>
      <c r="E267" s="560"/>
      <c r="F267" s="559"/>
      <c r="G267" s="559" t="str">
        <f t="shared" si="24"/>
        <v/>
      </c>
      <c r="H267" s="559" t="str">
        <f t="shared" si="25"/>
        <v/>
      </c>
      <c r="I267" s="559" t="str">
        <f t="shared" si="26"/>
        <v/>
      </c>
    </row>
    <row r="268" spans="2:9">
      <c r="B268" s="555" t="str">
        <f t="shared" si="21"/>
        <v/>
      </c>
      <c r="C268" s="556" t="str">
        <f t="shared" si="22"/>
        <v/>
      </c>
      <c r="D268" s="557" t="str">
        <f t="shared" si="23"/>
        <v/>
      </c>
      <c r="E268" s="560"/>
      <c r="F268" s="559"/>
      <c r="G268" s="559" t="str">
        <f t="shared" si="24"/>
        <v/>
      </c>
      <c r="H268" s="559" t="str">
        <f t="shared" si="25"/>
        <v/>
      </c>
      <c r="I268" s="559" t="str">
        <f t="shared" si="26"/>
        <v/>
      </c>
    </row>
    <row r="269" spans="2:9">
      <c r="B269" s="555" t="str">
        <f t="shared" si="21"/>
        <v/>
      </c>
      <c r="C269" s="556" t="str">
        <f t="shared" si="22"/>
        <v/>
      </c>
      <c r="D269" s="557" t="str">
        <f t="shared" si="23"/>
        <v/>
      </c>
      <c r="E269" s="560"/>
      <c r="F269" s="559"/>
      <c r="G269" s="559" t="str">
        <f t="shared" si="24"/>
        <v/>
      </c>
      <c r="H269" s="559" t="str">
        <f t="shared" si="25"/>
        <v/>
      </c>
      <c r="I269" s="559" t="str">
        <f t="shared" si="26"/>
        <v/>
      </c>
    </row>
    <row r="270" spans="2:9">
      <c r="B270" s="555" t="str">
        <f t="shared" si="21"/>
        <v/>
      </c>
      <c r="C270" s="556" t="str">
        <f t="shared" si="22"/>
        <v/>
      </c>
      <c r="D270" s="557" t="str">
        <f t="shared" si="23"/>
        <v/>
      </c>
      <c r="E270" s="560"/>
      <c r="F270" s="559"/>
      <c r="G270" s="559" t="str">
        <f t="shared" si="24"/>
        <v/>
      </c>
      <c r="H270" s="559" t="str">
        <f t="shared" si="25"/>
        <v/>
      </c>
      <c r="I270" s="559" t="str">
        <f t="shared" si="26"/>
        <v/>
      </c>
    </row>
    <row r="271" spans="2:9">
      <c r="B271" s="555" t="str">
        <f t="shared" si="21"/>
        <v/>
      </c>
      <c r="C271" s="556" t="str">
        <f t="shared" si="22"/>
        <v/>
      </c>
      <c r="D271" s="557" t="str">
        <f t="shared" si="23"/>
        <v/>
      </c>
      <c r="E271" s="560"/>
      <c r="F271" s="559"/>
      <c r="G271" s="559" t="str">
        <f t="shared" si="24"/>
        <v/>
      </c>
      <c r="H271" s="559" t="str">
        <f t="shared" si="25"/>
        <v/>
      </c>
      <c r="I271" s="559" t="str">
        <f t="shared" si="26"/>
        <v/>
      </c>
    </row>
    <row r="272" spans="2:9">
      <c r="B272" s="555" t="str">
        <f t="shared" si="21"/>
        <v/>
      </c>
      <c r="C272" s="556" t="str">
        <f t="shared" si="22"/>
        <v/>
      </c>
      <c r="D272" s="557" t="str">
        <f t="shared" si="23"/>
        <v/>
      </c>
      <c r="E272" s="560"/>
      <c r="F272" s="559"/>
      <c r="G272" s="559" t="str">
        <f t="shared" si="24"/>
        <v/>
      </c>
      <c r="H272" s="559" t="str">
        <f t="shared" si="25"/>
        <v/>
      </c>
      <c r="I272" s="559" t="str">
        <f t="shared" si="26"/>
        <v/>
      </c>
    </row>
    <row r="273" spans="2:9">
      <c r="B273" s="555" t="str">
        <f t="shared" si="21"/>
        <v/>
      </c>
      <c r="C273" s="556" t="str">
        <f t="shared" si="22"/>
        <v/>
      </c>
      <c r="D273" s="557" t="str">
        <f t="shared" si="23"/>
        <v/>
      </c>
      <c r="E273" s="560"/>
      <c r="F273" s="559"/>
      <c r="G273" s="559" t="str">
        <f t="shared" si="24"/>
        <v/>
      </c>
      <c r="H273" s="559" t="str">
        <f t="shared" si="25"/>
        <v/>
      </c>
      <c r="I273" s="559" t="str">
        <f t="shared" si="26"/>
        <v/>
      </c>
    </row>
    <row r="274" spans="2:9">
      <c r="B274" s="555" t="str">
        <f t="shared" si="21"/>
        <v/>
      </c>
      <c r="C274" s="556" t="str">
        <f t="shared" si="22"/>
        <v/>
      </c>
      <c r="D274" s="557" t="str">
        <f t="shared" si="23"/>
        <v/>
      </c>
      <c r="E274" s="560"/>
      <c r="F274" s="559"/>
      <c r="G274" s="559" t="str">
        <f t="shared" si="24"/>
        <v/>
      </c>
      <c r="H274" s="559" t="str">
        <f t="shared" si="25"/>
        <v/>
      </c>
      <c r="I274" s="559" t="str">
        <f t="shared" si="26"/>
        <v/>
      </c>
    </row>
    <row r="275" spans="2:9">
      <c r="B275" s="555" t="str">
        <f t="shared" si="21"/>
        <v/>
      </c>
      <c r="C275" s="556" t="str">
        <f t="shared" si="22"/>
        <v/>
      </c>
      <c r="D275" s="557" t="str">
        <f t="shared" si="23"/>
        <v/>
      </c>
      <c r="E275" s="560"/>
      <c r="F275" s="559"/>
      <c r="G275" s="559" t="str">
        <f t="shared" si="24"/>
        <v/>
      </c>
      <c r="H275" s="559" t="str">
        <f t="shared" si="25"/>
        <v/>
      </c>
      <c r="I275" s="559" t="str">
        <f t="shared" si="26"/>
        <v/>
      </c>
    </row>
    <row r="276" spans="2:9">
      <c r="B276" s="555" t="str">
        <f t="shared" si="21"/>
        <v/>
      </c>
      <c r="C276" s="556" t="str">
        <f t="shared" si="22"/>
        <v/>
      </c>
      <c r="D276" s="557" t="str">
        <f t="shared" si="23"/>
        <v/>
      </c>
      <c r="E276" s="560"/>
      <c r="F276" s="559"/>
      <c r="G276" s="559" t="str">
        <f t="shared" si="24"/>
        <v/>
      </c>
      <c r="H276" s="559" t="str">
        <f t="shared" si="25"/>
        <v/>
      </c>
      <c r="I276" s="559" t="str">
        <f t="shared" si="26"/>
        <v/>
      </c>
    </row>
    <row r="277" spans="2:9">
      <c r="B277" s="555" t="str">
        <f t="shared" si="21"/>
        <v/>
      </c>
      <c r="C277" s="556" t="str">
        <f t="shared" si="22"/>
        <v/>
      </c>
      <c r="D277" s="557" t="str">
        <f t="shared" si="23"/>
        <v/>
      </c>
      <c r="E277" s="560"/>
      <c r="F277" s="559"/>
      <c r="G277" s="559" t="str">
        <f t="shared" si="24"/>
        <v/>
      </c>
      <c r="H277" s="559" t="str">
        <f t="shared" si="25"/>
        <v/>
      </c>
      <c r="I277" s="559" t="str">
        <f t="shared" si="26"/>
        <v/>
      </c>
    </row>
    <row r="278" spans="2:9">
      <c r="B278" s="555" t="str">
        <f t="shared" si="21"/>
        <v/>
      </c>
      <c r="C278" s="556" t="str">
        <f t="shared" si="22"/>
        <v/>
      </c>
      <c r="D278" s="557" t="str">
        <f t="shared" si="23"/>
        <v/>
      </c>
      <c r="E278" s="560"/>
      <c r="F278" s="559"/>
      <c r="G278" s="559" t="str">
        <f t="shared" si="24"/>
        <v/>
      </c>
      <c r="H278" s="559" t="str">
        <f t="shared" si="25"/>
        <v/>
      </c>
      <c r="I278" s="559" t="str">
        <f t="shared" si="26"/>
        <v/>
      </c>
    </row>
    <row r="279" spans="2:9">
      <c r="B279" s="555" t="str">
        <f t="shared" si="21"/>
        <v/>
      </c>
      <c r="C279" s="556" t="str">
        <f t="shared" si="22"/>
        <v/>
      </c>
      <c r="D279" s="557" t="str">
        <f t="shared" si="23"/>
        <v/>
      </c>
      <c r="E279" s="560"/>
      <c r="F279" s="559"/>
      <c r="G279" s="559" t="str">
        <f t="shared" si="24"/>
        <v/>
      </c>
      <c r="H279" s="559" t="str">
        <f t="shared" si="25"/>
        <v/>
      </c>
      <c r="I279" s="559" t="str">
        <f t="shared" si="26"/>
        <v/>
      </c>
    </row>
    <row r="280" spans="2:9">
      <c r="B280" s="555" t="str">
        <f t="shared" si="21"/>
        <v/>
      </c>
      <c r="C280" s="556" t="str">
        <f t="shared" si="22"/>
        <v/>
      </c>
      <c r="D280" s="557" t="str">
        <f t="shared" si="23"/>
        <v/>
      </c>
      <c r="E280" s="560"/>
      <c r="F280" s="559"/>
      <c r="G280" s="559" t="str">
        <f t="shared" si="24"/>
        <v/>
      </c>
      <c r="H280" s="559" t="str">
        <f t="shared" si="25"/>
        <v/>
      </c>
      <c r="I280" s="559" t="str">
        <f t="shared" si="26"/>
        <v/>
      </c>
    </row>
    <row r="281" spans="2:9">
      <c r="B281" s="555" t="str">
        <f t="shared" si="21"/>
        <v/>
      </c>
      <c r="C281" s="556" t="str">
        <f t="shared" si="22"/>
        <v/>
      </c>
      <c r="D281" s="557" t="str">
        <f t="shared" si="23"/>
        <v/>
      </c>
      <c r="E281" s="560"/>
      <c r="F281" s="559"/>
      <c r="G281" s="559" t="str">
        <f t="shared" si="24"/>
        <v/>
      </c>
      <c r="H281" s="559" t="str">
        <f t="shared" si="25"/>
        <v/>
      </c>
      <c r="I281" s="559" t="str">
        <f t="shared" si="26"/>
        <v/>
      </c>
    </row>
    <row r="282" spans="2:9">
      <c r="B282" s="555" t="str">
        <f t="shared" si="21"/>
        <v/>
      </c>
      <c r="C282" s="556" t="str">
        <f t="shared" si="22"/>
        <v/>
      </c>
      <c r="D282" s="557" t="str">
        <f t="shared" si="23"/>
        <v/>
      </c>
      <c r="E282" s="560"/>
      <c r="F282" s="559"/>
      <c r="G282" s="559" t="str">
        <f t="shared" si="24"/>
        <v/>
      </c>
      <c r="H282" s="559" t="str">
        <f t="shared" si="25"/>
        <v/>
      </c>
      <c r="I282" s="559" t="str">
        <f t="shared" si="26"/>
        <v/>
      </c>
    </row>
    <row r="283" spans="2:9">
      <c r="B283" s="555" t="str">
        <f t="shared" si="21"/>
        <v/>
      </c>
      <c r="C283" s="556" t="str">
        <f t="shared" si="22"/>
        <v/>
      </c>
      <c r="D283" s="557" t="str">
        <f t="shared" si="23"/>
        <v/>
      </c>
      <c r="E283" s="560"/>
      <c r="F283" s="559"/>
      <c r="G283" s="559" t="str">
        <f t="shared" si="24"/>
        <v/>
      </c>
      <c r="H283" s="559" t="str">
        <f t="shared" si="25"/>
        <v/>
      </c>
      <c r="I283" s="559" t="str">
        <f t="shared" si="26"/>
        <v/>
      </c>
    </row>
    <row r="284" spans="2:9">
      <c r="B284" s="555" t="str">
        <f t="shared" si="21"/>
        <v/>
      </c>
      <c r="C284" s="556" t="str">
        <f t="shared" si="22"/>
        <v/>
      </c>
      <c r="D284" s="557" t="str">
        <f t="shared" si="23"/>
        <v/>
      </c>
      <c r="E284" s="560"/>
      <c r="F284" s="559"/>
      <c r="G284" s="559" t="str">
        <f t="shared" si="24"/>
        <v/>
      </c>
      <c r="H284" s="559" t="str">
        <f t="shared" si="25"/>
        <v/>
      </c>
      <c r="I284" s="559" t="str">
        <f t="shared" si="26"/>
        <v/>
      </c>
    </row>
    <row r="285" spans="2:9">
      <c r="B285" s="555" t="str">
        <f t="shared" si="21"/>
        <v/>
      </c>
      <c r="C285" s="556" t="str">
        <f t="shared" si="22"/>
        <v/>
      </c>
      <c r="D285" s="557" t="str">
        <f t="shared" si="23"/>
        <v/>
      </c>
      <c r="E285" s="560"/>
      <c r="F285" s="559"/>
      <c r="G285" s="559" t="str">
        <f t="shared" si="24"/>
        <v/>
      </c>
      <c r="H285" s="559" t="str">
        <f t="shared" si="25"/>
        <v/>
      </c>
      <c r="I285" s="559" t="str">
        <f t="shared" si="26"/>
        <v/>
      </c>
    </row>
    <row r="286" spans="2:9">
      <c r="B286" s="555" t="str">
        <f t="shared" si="21"/>
        <v/>
      </c>
      <c r="C286" s="556" t="str">
        <f t="shared" si="22"/>
        <v/>
      </c>
      <c r="D286" s="557" t="str">
        <f t="shared" si="23"/>
        <v/>
      </c>
      <c r="E286" s="560"/>
      <c r="F286" s="559"/>
      <c r="G286" s="559" t="str">
        <f t="shared" si="24"/>
        <v/>
      </c>
      <c r="H286" s="559" t="str">
        <f t="shared" si="25"/>
        <v/>
      </c>
      <c r="I286" s="559" t="str">
        <f t="shared" si="26"/>
        <v/>
      </c>
    </row>
    <row r="287" spans="2:9">
      <c r="B287" s="555" t="str">
        <f t="shared" si="21"/>
        <v/>
      </c>
      <c r="C287" s="556" t="str">
        <f t="shared" si="22"/>
        <v/>
      </c>
      <c r="D287" s="557" t="str">
        <f t="shared" si="23"/>
        <v/>
      </c>
      <c r="E287" s="560"/>
      <c r="F287" s="559"/>
      <c r="G287" s="559" t="str">
        <f t="shared" si="24"/>
        <v/>
      </c>
      <c r="H287" s="559" t="str">
        <f t="shared" si="25"/>
        <v/>
      </c>
      <c r="I287" s="559" t="str">
        <f t="shared" si="26"/>
        <v/>
      </c>
    </row>
    <row r="288" spans="2:9">
      <c r="B288" s="555" t="str">
        <f t="shared" si="21"/>
        <v/>
      </c>
      <c r="C288" s="556" t="str">
        <f t="shared" si="22"/>
        <v/>
      </c>
      <c r="D288" s="557" t="str">
        <f t="shared" si="23"/>
        <v/>
      </c>
      <c r="E288" s="560"/>
      <c r="F288" s="559"/>
      <c r="G288" s="559" t="str">
        <f t="shared" si="24"/>
        <v/>
      </c>
      <c r="H288" s="559" t="str">
        <f t="shared" si="25"/>
        <v/>
      </c>
      <c r="I288" s="559" t="str">
        <f t="shared" si="26"/>
        <v/>
      </c>
    </row>
    <row r="289" spans="2:9">
      <c r="B289" s="555" t="str">
        <f t="shared" si="21"/>
        <v/>
      </c>
      <c r="C289" s="556" t="str">
        <f t="shared" si="22"/>
        <v/>
      </c>
      <c r="D289" s="557" t="str">
        <f t="shared" si="23"/>
        <v/>
      </c>
      <c r="E289" s="560"/>
      <c r="F289" s="559"/>
      <c r="G289" s="559" t="str">
        <f t="shared" si="24"/>
        <v/>
      </c>
      <c r="H289" s="559" t="str">
        <f t="shared" si="25"/>
        <v/>
      </c>
      <c r="I289" s="559" t="str">
        <f t="shared" si="26"/>
        <v/>
      </c>
    </row>
    <row r="290" spans="2:9">
      <c r="B290" s="555" t="str">
        <f t="shared" si="21"/>
        <v/>
      </c>
      <c r="C290" s="556" t="str">
        <f t="shared" si="22"/>
        <v/>
      </c>
      <c r="D290" s="557" t="str">
        <f t="shared" si="23"/>
        <v/>
      </c>
      <c r="E290" s="560"/>
      <c r="F290" s="559"/>
      <c r="G290" s="559" t="str">
        <f t="shared" si="24"/>
        <v/>
      </c>
      <c r="H290" s="559" t="str">
        <f t="shared" si="25"/>
        <v/>
      </c>
      <c r="I290" s="559" t="str">
        <f t="shared" si="26"/>
        <v/>
      </c>
    </row>
    <row r="291" spans="2:9">
      <c r="B291" s="555" t="str">
        <f t="shared" si="21"/>
        <v/>
      </c>
      <c r="C291" s="556" t="str">
        <f t="shared" si="22"/>
        <v/>
      </c>
      <c r="D291" s="557" t="str">
        <f t="shared" si="23"/>
        <v/>
      </c>
      <c r="E291" s="560"/>
      <c r="F291" s="559"/>
      <c r="G291" s="559" t="str">
        <f t="shared" si="24"/>
        <v/>
      </c>
      <c r="H291" s="559" t="str">
        <f t="shared" si="25"/>
        <v/>
      </c>
      <c r="I291" s="559" t="str">
        <f t="shared" si="26"/>
        <v/>
      </c>
    </row>
    <row r="292" spans="2:9">
      <c r="B292" s="555" t="str">
        <f t="shared" si="21"/>
        <v/>
      </c>
      <c r="C292" s="556" t="str">
        <f t="shared" si="22"/>
        <v/>
      </c>
      <c r="D292" s="557" t="str">
        <f t="shared" si="23"/>
        <v/>
      </c>
      <c r="E292" s="560"/>
      <c r="F292" s="559"/>
      <c r="G292" s="559" t="str">
        <f t="shared" si="24"/>
        <v/>
      </c>
      <c r="H292" s="559" t="str">
        <f t="shared" si="25"/>
        <v/>
      </c>
      <c r="I292" s="559" t="str">
        <f t="shared" si="26"/>
        <v/>
      </c>
    </row>
    <row r="293" spans="2:9">
      <c r="B293" s="555" t="str">
        <f t="shared" si="21"/>
        <v/>
      </c>
      <c r="C293" s="556" t="str">
        <f t="shared" si="22"/>
        <v/>
      </c>
      <c r="D293" s="557" t="str">
        <f t="shared" si="23"/>
        <v/>
      </c>
      <c r="E293" s="560"/>
      <c r="F293" s="559"/>
      <c r="G293" s="559" t="str">
        <f t="shared" si="24"/>
        <v/>
      </c>
      <c r="H293" s="559" t="str">
        <f t="shared" si="25"/>
        <v/>
      </c>
      <c r="I293" s="559" t="str">
        <f t="shared" si="26"/>
        <v/>
      </c>
    </row>
    <row r="294" spans="2:9">
      <c r="B294" s="555" t="str">
        <f t="shared" si="21"/>
        <v/>
      </c>
      <c r="C294" s="556" t="str">
        <f t="shared" si="22"/>
        <v/>
      </c>
      <c r="D294" s="557" t="str">
        <f t="shared" si="23"/>
        <v/>
      </c>
      <c r="E294" s="560"/>
      <c r="F294" s="559"/>
      <c r="G294" s="559" t="str">
        <f t="shared" si="24"/>
        <v/>
      </c>
      <c r="H294" s="559" t="str">
        <f t="shared" si="25"/>
        <v/>
      </c>
      <c r="I294" s="559" t="str">
        <f t="shared" si="26"/>
        <v/>
      </c>
    </row>
    <row r="295" spans="2:9">
      <c r="B295" s="555" t="str">
        <f t="shared" si="21"/>
        <v/>
      </c>
      <c r="C295" s="556" t="str">
        <f t="shared" si="22"/>
        <v/>
      </c>
      <c r="D295" s="557" t="str">
        <f t="shared" si="23"/>
        <v/>
      </c>
      <c r="E295" s="560"/>
      <c r="F295" s="559"/>
      <c r="G295" s="559" t="str">
        <f t="shared" si="24"/>
        <v/>
      </c>
      <c r="H295" s="559" t="str">
        <f t="shared" si="25"/>
        <v/>
      </c>
      <c r="I295" s="559" t="str">
        <f t="shared" si="26"/>
        <v/>
      </c>
    </row>
    <row r="296" spans="2:9">
      <c r="B296" s="555" t="str">
        <f t="shared" si="21"/>
        <v/>
      </c>
      <c r="C296" s="556" t="str">
        <f t="shared" si="22"/>
        <v/>
      </c>
      <c r="D296" s="557" t="str">
        <f t="shared" si="23"/>
        <v/>
      </c>
      <c r="E296" s="560"/>
      <c r="F296" s="559"/>
      <c r="G296" s="559" t="str">
        <f t="shared" si="24"/>
        <v/>
      </c>
      <c r="H296" s="559" t="str">
        <f t="shared" si="25"/>
        <v/>
      </c>
      <c r="I296" s="559" t="str">
        <f t="shared" si="26"/>
        <v/>
      </c>
    </row>
    <row r="297" spans="2:9">
      <c r="B297" s="555" t="str">
        <f t="shared" si="21"/>
        <v/>
      </c>
      <c r="C297" s="556" t="str">
        <f t="shared" si="22"/>
        <v/>
      </c>
      <c r="D297" s="557" t="str">
        <f t="shared" si="23"/>
        <v/>
      </c>
      <c r="E297" s="560"/>
      <c r="F297" s="559"/>
      <c r="G297" s="559" t="str">
        <f t="shared" si="24"/>
        <v/>
      </c>
      <c r="H297" s="559" t="str">
        <f t="shared" si="25"/>
        <v/>
      </c>
      <c r="I297" s="559" t="str">
        <f t="shared" si="26"/>
        <v/>
      </c>
    </row>
    <row r="298" spans="2:9">
      <c r="B298" s="555" t="str">
        <f t="shared" si="21"/>
        <v/>
      </c>
      <c r="C298" s="556" t="str">
        <f t="shared" si="22"/>
        <v/>
      </c>
      <c r="D298" s="557" t="str">
        <f t="shared" si="23"/>
        <v/>
      </c>
      <c r="E298" s="560"/>
      <c r="F298" s="559"/>
      <c r="G298" s="559" t="str">
        <f t="shared" si="24"/>
        <v/>
      </c>
      <c r="H298" s="559" t="str">
        <f t="shared" si="25"/>
        <v/>
      </c>
      <c r="I298" s="559" t="str">
        <f t="shared" si="26"/>
        <v/>
      </c>
    </row>
    <row r="299" spans="2:9">
      <c r="B299" s="555" t="str">
        <f t="shared" si="21"/>
        <v/>
      </c>
      <c r="C299" s="556" t="str">
        <f t="shared" si="22"/>
        <v/>
      </c>
      <c r="D299" s="557" t="str">
        <f t="shared" si="23"/>
        <v/>
      </c>
      <c r="E299" s="560"/>
      <c r="F299" s="559"/>
      <c r="G299" s="559" t="str">
        <f t="shared" si="24"/>
        <v/>
      </c>
      <c r="H299" s="559" t="str">
        <f t="shared" si="25"/>
        <v/>
      </c>
      <c r="I299" s="559" t="str">
        <f t="shared" si="26"/>
        <v/>
      </c>
    </row>
    <row r="300" spans="2:9">
      <c r="B300" s="555" t="str">
        <f t="shared" si="21"/>
        <v/>
      </c>
      <c r="C300" s="556" t="str">
        <f t="shared" si="22"/>
        <v/>
      </c>
      <c r="D300" s="557" t="str">
        <f t="shared" si="23"/>
        <v/>
      </c>
      <c r="E300" s="560"/>
      <c r="F300" s="559"/>
      <c r="G300" s="559" t="str">
        <f t="shared" si="24"/>
        <v/>
      </c>
      <c r="H300" s="559" t="str">
        <f t="shared" si="25"/>
        <v/>
      </c>
      <c r="I300" s="559" t="str">
        <f t="shared" si="26"/>
        <v/>
      </c>
    </row>
    <row r="301" spans="2:9">
      <c r="B301" s="555" t="str">
        <f t="shared" si="21"/>
        <v/>
      </c>
      <c r="C301" s="556" t="str">
        <f t="shared" si="22"/>
        <v/>
      </c>
      <c r="D301" s="557" t="str">
        <f t="shared" si="23"/>
        <v/>
      </c>
      <c r="E301" s="560"/>
      <c r="F301" s="559"/>
      <c r="G301" s="559" t="str">
        <f t="shared" si="24"/>
        <v/>
      </c>
      <c r="H301" s="559" t="str">
        <f t="shared" si="25"/>
        <v/>
      </c>
      <c r="I301" s="559" t="str">
        <f t="shared" si="26"/>
        <v/>
      </c>
    </row>
    <row r="302" spans="2:9">
      <c r="B302" s="555" t="str">
        <f t="shared" si="21"/>
        <v/>
      </c>
      <c r="C302" s="556" t="str">
        <f t="shared" si="22"/>
        <v/>
      </c>
      <c r="D302" s="557" t="str">
        <f t="shared" si="23"/>
        <v/>
      </c>
      <c r="E302" s="560"/>
      <c r="F302" s="559"/>
      <c r="G302" s="559" t="str">
        <f t="shared" si="24"/>
        <v/>
      </c>
      <c r="H302" s="559" t="str">
        <f t="shared" si="25"/>
        <v/>
      </c>
      <c r="I302" s="559" t="str">
        <f t="shared" si="26"/>
        <v/>
      </c>
    </row>
    <row r="303" spans="2:9">
      <c r="B303" s="555" t="str">
        <f t="shared" si="21"/>
        <v/>
      </c>
      <c r="C303" s="556" t="str">
        <f t="shared" si="22"/>
        <v/>
      </c>
      <c r="D303" s="557" t="str">
        <f t="shared" si="23"/>
        <v/>
      </c>
      <c r="E303" s="560"/>
      <c r="F303" s="559"/>
      <c r="G303" s="559" t="str">
        <f t="shared" si="24"/>
        <v/>
      </c>
      <c r="H303" s="559" t="str">
        <f t="shared" si="25"/>
        <v/>
      </c>
      <c r="I303" s="559" t="str">
        <f t="shared" si="26"/>
        <v/>
      </c>
    </row>
    <row r="304" spans="2:9">
      <c r="B304" s="555" t="str">
        <f t="shared" si="21"/>
        <v/>
      </c>
      <c r="C304" s="556" t="str">
        <f t="shared" si="22"/>
        <v/>
      </c>
      <c r="D304" s="557" t="str">
        <f t="shared" si="23"/>
        <v/>
      </c>
      <c r="E304" s="560"/>
      <c r="F304" s="559"/>
      <c r="G304" s="559" t="str">
        <f t="shared" si="24"/>
        <v/>
      </c>
      <c r="H304" s="559" t="str">
        <f t="shared" si="25"/>
        <v/>
      </c>
      <c r="I304" s="559" t="str">
        <f t="shared" si="26"/>
        <v/>
      </c>
    </row>
    <row r="305" spans="2:9">
      <c r="B305" s="555" t="str">
        <f t="shared" si="21"/>
        <v/>
      </c>
      <c r="C305" s="556" t="str">
        <f t="shared" si="22"/>
        <v/>
      </c>
      <c r="D305" s="557" t="str">
        <f t="shared" si="23"/>
        <v/>
      </c>
      <c r="E305" s="560"/>
      <c r="F305" s="559"/>
      <c r="G305" s="559" t="str">
        <f t="shared" si="24"/>
        <v/>
      </c>
      <c r="H305" s="559" t="str">
        <f t="shared" si="25"/>
        <v/>
      </c>
      <c r="I305" s="559" t="str">
        <f t="shared" si="26"/>
        <v/>
      </c>
    </row>
    <row r="306" spans="2:9">
      <c r="B306" s="555" t="str">
        <f t="shared" si="21"/>
        <v/>
      </c>
      <c r="C306" s="556" t="str">
        <f t="shared" si="22"/>
        <v/>
      </c>
      <c r="D306" s="557" t="str">
        <f t="shared" si="23"/>
        <v/>
      </c>
      <c r="E306" s="560"/>
      <c r="F306" s="559"/>
      <c r="G306" s="559" t="str">
        <f t="shared" si="24"/>
        <v/>
      </c>
      <c r="H306" s="559" t="str">
        <f t="shared" si="25"/>
        <v/>
      </c>
      <c r="I306" s="559" t="str">
        <f t="shared" si="26"/>
        <v/>
      </c>
    </row>
    <row r="307" spans="2:9">
      <c r="B307" s="555" t="str">
        <f t="shared" si="21"/>
        <v/>
      </c>
      <c r="C307" s="556" t="str">
        <f t="shared" si="22"/>
        <v/>
      </c>
      <c r="D307" s="557" t="str">
        <f t="shared" si="23"/>
        <v/>
      </c>
      <c r="E307" s="560"/>
      <c r="F307" s="559"/>
      <c r="G307" s="559" t="str">
        <f t="shared" si="24"/>
        <v/>
      </c>
      <c r="H307" s="559" t="str">
        <f t="shared" si="25"/>
        <v/>
      </c>
      <c r="I307" s="559" t="str">
        <f t="shared" si="26"/>
        <v/>
      </c>
    </row>
    <row r="308" spans="2:9">
      <c r="B308" s="555" t="str">
        <f t="shared" si="21"/>
        <v/>
      </c>
      <c r="C308" s="556" t="str">
        <f t="shared" si="22"/>
        <v/>
      </c>
      <c r="D308" s="557" t="str">
        <f t="shared" si="23"/>
        <v/>
      </c>
      <c r="E308" s="560"/>
      <c r="F308" s="559"/>
      <c r="G308" s="559" t="str">
        <f t="shared" si="24"/>
        <v/>
      </c>
      <c r="H308" s="559" t="str">
        <f t="shared" si="25"/>
        <v/>
      </c>
      <c r="I308" s="559" t="str">
        <f t="shared" si="26"/>
        <v/>
      </c>
    </row>
    <row r="309" spans="2:9">
      <c r="B309" s="555" t="str">
        <f t="shared" si="21"/>
        <v/>
      </c>
      <c r="C309" s="556" t="str">
        <f t="shared" si="22"/>
        <v/>
      </c>
      <c r="D309" s="557" t="str">
        <f t="shared" si="23"/>
        <v/>
      </c>
      <c r="E309" s="560"/>
      <c r="F309" s="559"/>
      <c r="G309" s="559" t="str">
        <f t="shared" si="24"/>
        <v/>
      </c>
      <c r="H309" s="559" t="str">
        <f t="shared" si="25"/>
        <v/>
      </c>
      <c r="I309" s="559" t="str">
        <f t="shared" si="26"/>
        <v/>
      </c>
    </row>
    <row r="310" spans="2:9">
      <c r="B310" s="555" t="str">
        <f t="shared" si="21"/>
        <v/>
      </c>
      <c r="C310" s="556" t="str">
        <f t="shared" si="22"/>
        <v/>
      </c>
      <c r="D310" s="557" t="str">
        <f t="shared" si="23"/>
        <v/>
      </c>
      <c r="E310" s="560"/>
      <c r="F310" s="559"/>
      <c r="G310" s="559" t="str">
        <f t="shared" si="24"/>
        <v/>
      </c>
      <c r="H310" s="559" t="str">
        <f t="shared" si="25"/>
        <v/>
      </c>
      <c r="I310" s="559" t="str">
        <f t="shared" si="26"/>
        <v/>
      </c>
    </row>
    <row r="311" spans="2:9">
      <c r="B311" s="555" t="str">
        <f t="shared" si="21"/>
        <v/>
      </c>
      <c r="C311" s="556" t="str">
        <f t="shared" si="22"/>
        <v/>
      </c>
      <c r="D311" s="557" t="str">
        <f t="shared" si="23"/>
        <v/>
      </c>
      <c r="E311" s="560"/>
      <c r="F311" s="559"/>
      <c r="G311" s="559" t="str">
        <f t="shared" si="24"/>
        <v/>
      </c>
      <c r="H311" s="559" t="str">
        <f t="shared" si="25"/>
        <v/>
      </c>
      <c r="I311" s="559" t="str">
        <f t="shared" si="26"/>
        <v/>
      </c>
    </row>
    <row r="312" spans="2:9">
      <c r="B312" s="555" t="str">
        <f t="shared" si="21"/>
        <v/>
      </c>
      <c r="C312" s="556" t="str">
        <f t="shared" si="22"/>
        <v/>
      </c>
      <c r="D312" s="557" t="str">
        <f t="shared" si="23"/>
        <v/>
      </c>
      <c r="E312" s="560"/>
      <c r="F312" s="559"/>
      <c r="G312" s="559" t="str">
        <f t="shared" si="24"/>
        <v/>
      </c>
      <c r="H312" s="559" t="str">
        <f t="shared" si="25"/>
        <v/>
      </c>
      <c r="I312" s="559" t="str">
        <f t="shared" si="26"/>
        <v/>
      </c>
    </row>
    <row r="313" spans="2:9">
      <c r="B313" s="555" t="str">
        <f t="shared" si="21"/>
        <v/>
      </c>
      <c r="C313" s="556" t="str">
        <f t="shared" si="22"/>
        <v/>
      </c>
      <c r="D313" s="557" t="str">
        <f t="shared" si="23"/>
        <v/>
      </c>
      <c r="E313" s="560"/>
      <c r="F313" s="559"/>
      <c r="G313" s="559" t="str">
        <f t="shared" si="24"/>
        <v/>
      </c>
      <c r="H313" s="559" t="str">
        <f t="shared" si="25"/>
        <v/>
      </c>
      <c r="I313" s="559" t="str">
        <f t="shared" si="26"/>
        <v/>
      </c>
    </row>
    <row r="314" spans="2:9">
      <c r="B314" s="555" t="str">
        <f t="shared" si="21"/>
        <v/>
      </c>
      <c r="C314" s="556" t="str">
        <f t="shared" si="22"/>
        <v/>
      </c>
      <c r="D314" s="557" t="str">
        <f t="shared" si="23"/>
        <v/>
      </c>
      <c r="E314" s="560"/>
      <c r="F314" s="559"/>
      <c r="G314" s="559" t="str">
        <f t="shared" si="24"/>
        <v/>
      </c>
      <c r="H314" s="559" t="str">
        <f t="shared" si="25"/>
        <v/>
      </c>
      <c r="I314" s="559" t="str">
        <f t="shared" si="26"/>
        <v/>
      </c>
    </row>
    <row r="315" spans="2:9">
      <c r="B315" s="555" t="str">
        <f t="shared" si="21"/>
        <v/>
      </c>
      <c r="C315" s="556" t="str">
        <f t="shared" si="22"/>
        <v/>
      </c>
      <c r="D315" s="557" t="str">
        <f t="shared" si="23"/>
        <v/>
      </c>
      <c r="E315" s="560"/>
      <c r="F315" s="559"/>
      <c r="G315" s="559" t="str">
        <f t="shared" si="24"/>
        <v/>
      </c>
      <c r="H315" s="559" t="str">
        <f t="shared" si="25"/>
        <v/>
      </c>
      <c r="I315" s="559" t="str">
        <f t="shared" si="26"/>
        <v/>
      </c>
    </row>
    <row r="316" spans="2:9">
      <c r="B316" s="555" t="str">
        <f t="shared" si="21"/>
        <v/>
      </c>
      <c r="C316" s="556" t="str">
        <f t="shared" si="22"/>
        <v/>
      </c>
      <c r="D316" s="557" t="str">
        <f t="shared" si="23"/>
        <v/>
      </c>
      <c r="E316" s="560"/>
      <c r="F316" s="559"/>
      <c r="G316" s="559" t="str">
        <f t="shared" si="24"/>
        <v/>
      </c>
      <c r="H316" s="559" t="str">
        <f t="shared" si="25"/>
        <v/>
      </c>
      <c r="I316" s="559" t="str">
        <f t="shared" si="26"/>
        <v/>
      </c>
    </row>
    <row r="317" spans="2:9">
      <c r="B317" s="555" t="str">
        <f t="shared" ref="B317:B380" si="27">IF(I316="","",IF(roundOpt,IF(OR(B316&gt;=nper,ROUND(I316,2)&lt;=0),"",B316+1),IF(OR(B316&gt;=nper,I316&lt;=0),"",B316+1)))</f>
        <v/>
      </c>
      <c r="C317" s="556" t="str">
        <f t="shared" ref="C317:C380" si="28">IF(B317="","",IF(OR(periods_per_year=26,periods_per_year=52),IF(periods_per_year=26,IF(B317=1,fpdate,C316+14),IF(periods_per_year=52,IF(B317=1,fpdate,C316+7),"n/a")),IF(periods_per_year=24,DATE(YEAR(fpdate),MONTH(fpdate)+(B317-1)/2+IF(AND(DAY(fpdate)&gt;=15,MOD(B317,2)=0),1,0),IF(MOD(B317,2)=0,IF(DAY(fpdate)&gt;=15,DAY(fpdate)-14,DAY(fpdate)+14),DAY(fpdate))),IF(DAY(DATE(YEAR(fpdate),MONTH(fpdate)+(B317-1)*months_per_period,DAY(fpdate)))&lt;&gt;DAY(fpdate),DATE(YEAR(fpdate),MONTH(fpdate)+(B317-1)*months_per_period+1,0),DATE(YEAR(fpdate),MONTH(fpdate)+(B317-1)*months_per_period,DAY(fpdate))))))</f>
        <v/>
      </c>
      <c r="D317" s="557" t="str">
        <f t="shared" ref="D317:D380" si="29">IF(B317="","",IF(roundOpt,IF(OR(B317=nper,payment&gt;ROUND((1+rate)*I316,2)),ROUND((1+rate)*I316,2),payment),IF(OR(B317=nper,payment&gt;(1+rate)*I316),(1+rate)*I316,payment)))</f>
        <v/>
      </c>
      <c r="E317" s="560"/>
      <c r="F317" s="559"/>
      <c r="G317" s="559" t="str">
        <f t="shared" ref="G317:G380" si="30">IF(B317="","",IF(AND(B317=1,pmtType=1),0,IF(roundOpt,ROUND(rate*I316,2),rate*I316)))</f>
        <v/>
      </c>
      <c r="H317" s="559" t="str">
        <f t="shared" ref="H317:H380" si="31">IF(B317="","",D317-G317+E317)</f>
        <v/>
      </c>
      <c r="I317" s="559" t="str">
        <f t="shared" ref="I317:I380" si="32">IF(B317="","",I316-H317)</f>
        <v/>
      </c>
    </row>
    <row r="318" spans="2:9">
      <c r="B318" s="555" t="str">
        <f t="shared" si="27"/>
        <v/>
      </c>
      <c r="C318" s="556" t="str">
        <f t="shared" si="28"/>
        <v/>
      </c>
      <c r="D318" s="557" t="str">
        <f t="shared" si="29"/>
        <v/>
      </c>
      <c r="E318" s="560"/>
      <c r="F318" s="559"/>
      <c r="G318" s="559" t="str">
        <f t="shared" si="30"/>
        <v/>
      </c>
      <c r="H318" s="559" t="str">
        <f t="shared" si="31"/>
        <v/>
      </c>
      <c r="I318" s="559" t="str">
        <f t="shared" si="32"/>
        <v/>
      </c>
    </row>
    <row r="319" spans="2:9">
      <c r="B319" s="555" t="str">
        <f t="shared" si="27"/>
        <v/>
      </c>
      <c r="C319" s="556" t="str">
        <f t="shared" si="28"/>
        <v/>
      </c>
      <c r="D319" s="557" t="str">
        <f t="shared" si="29"/>
        <v/>
      </c>
      <c r="E319" s="560"/>
      <c r="F319" s="559"/>
      <c r="G319" s="559" t="str">
        <f t="shared" si="30"/>
        <v/>
      </c>
      <c r="H319" s="559" t="str">
        <f t="shared" si="31"/>
        <v/>
      </c>
      <c r="I319" s="559" t="str">
        <f t="shared" si="32"/>
        <v/>
      </c>
    </row>
    <row r="320" spans="2:9">
      <c r="B320" s="555" t="str">
        <f t="shared" si="27"/>
        <v/>
      </c>
      <c r="C320" s="556" t="str">
        <f t="shared" si="28"/>
        <v/>
      </c>
      <c r="D320" s="557" t="str">
        <f t="shared" si="29"/>
        <v/>
      </c>
      <c r="E320" s="560"/>
      <c r="F320" s="559"/>
      <c r="G320" s="559" t="str">
        <f t="shared" si="30"/>
        <v/>
      </c>
      <c r="H320" s="559" t="str">
        <f t="shared" si="31"/>
        <v/>
      </c>
      <c r="I320" s="559" t="str">
        <f t="shared" si="32"/>
        <v/>
      </c>
    </row>
    <row r="321" spans="2:9">
      <c r="B321" s="555" t="str">
        <f t="shared" si="27"/>
        <v/>
      </c>
      <c r="C321" s="556" t="str">
        <f t="shared" si="28"/>
        <v/>
      </c>
      <c r="D321" s="557" t="str">
        <f t="shared" si="29"/>
        <v/>
      </c>
      <c r="E321" s="560"/>
      <c r="F321" s="559"/>
      <c r="G321" s="559" t="str">
        <f t="shared" si="30"/>
        <v/>
      </c>
      <c r="H321" s="559" t="str">
        <f t="shared" si="31"/>
        <v/>
      </c>
      <c r="I321" s="559" t="str">
        <f t="shared" si="32"/>
        <v/>
      </c>
    </row>
    <row r="322" spans="2:9">
      <c r="B322" s="555" t="str">
        <f t="shared" si="27"/>
        <v/>
      </c>
      <c r="C322" s="556" t="str">
        <f t="shared" si="28"/>
        <v/>
      </c>
      <c r="D322" s="557" t="str">
        <f t="shared" si="29"/>
        <v/>
      </c>
      <c r="E322" s="560"/>
      <c r="F322" s="559"/>
      <c r="G322" s="559" t="str">
        <f t="shared" si="30"/>
        <v/>
      </c>
      <c r="H322" s="559" t="str">
        <f t="shared" si="31"/>
        <v/>
      </c>
      <c r="I322" s="559" t="str">
        <f t="shared" si="32"/>
        <v/>
      </c>
    </row>
    <row r="323" spans="2:9">
      <c r="B323" s="555" t="str">
        <f t="shared" si="27"/>
        <v/>
      </c>
      <c r="C323" s="556" t="str">
        <f t="shared" si="28"/>
        <v/>
      </c>
      <c r="D323" s="557" t="str">
        <f t="shared" si="29"/>
        <v/>
      </c>
      <c r="E323" s="560"/>
      <c r="F323" s="559"/>
      <c r="G323" s="559" t="str">
        <f t="shared" si="30"/>
        <v/>
      </c>
      <c r="H323" s="559" t="str">
        <f t="shared" si="31"/>
        <v/>
      </c>
      <c r="I323" s="559" t="str">
        <f t="shared" si="32"/>
        <v/>
      </c>
    </row>
    <row r="324" spans="2:9">
      <c r="B324" s="555" t="str">
        <f t="shared" si="27"/>
        <v/>
      </c>
      <c r="C324" s="556" t="str">
        <f t="shared" si="28"/>
        <v/>
      </c>
      <c r="D324" s="557" t="str">
        <f t="shared" si="29"/>
        <v/>
      </c>
      <c r="E324" s="560"/>
      <c r="F324" s="559"/>
      <c r="G324" s="559" t="str">
        <f t="shared" si="30"/>
        <v/>
      </c>
      <c r="H324" s="559" t="str">
        <f t="shared" si="31"/>
        <v/>
      </c>
      <c r="I324" s="559" t="str">
        <f t="shared" si="32"/>
        <v/>
      </c>
    </row>
    <row r="325" spans="2:9">
      <c r="B325" s="555" t="str">
        <f t="shared" si="27"/>
        <v/>
      </c>
      <c r="C325" s="556" t="str">
        <f t="shared" si="28"/>
        <v/>
      </c>
      <c r="D325" s="557" t="str">
        <f t="shared" si="29"/>
        <v/>
      </c>
      <c r="E325" s="560"/>
      <c r="F325" s="559"/>
      <c r="G325" s="559" t="str">
        <f t="shared" si="30"/>
        <v/>
      </c>
      <c r="H325" s="559" t="str">
        <f t="shared" si="31"/>
        <v/>
      </c>
      <c r="I325" s="559" t="str">
        <f t="shared" si="32"/>
        <v/>
      </c>
    </row>
    <row r="326" spans="2:9">
      <c r="B326" s="555" t="str">
        <f t="shared" si="27"/>
        <v/>
      </c>
      <c r="C326" s="556" t="str">
        <f t="shared" si="28"/>
        <v/>
      </c>
      <c r="D326" s="557" t="str">
        <f t="shared" si="29"/>
        <v/>
      </c>
      <c r="E326" s="560"/>
      <c r="F326" s="559"/>
      <c r="G326" s="559" t="str">
        <f t="shared" si="30"/>
        <v/>
      </c>
      <c r="H326" s="559" t="str">
        <f t="shared" si="31"/>
        <v/>
      </c>
      <c r="I326" s="559" t="str">
        <f t="shared" si="32"/>
        <v/>
      </c>
    </row>
    <row r="327" spans="2:9">
      <c r="B327" s="555" t="str">
        <f t="shared" si="27"/>
        <v/>
      </c>
      <c r="C327" s="556" t="str">
        <f t="shared" si="28"/>
        <v/>
      </c>
      <c r="D327" s="557" t="str">
        <f t="shared" si="29"/>
        <v/>
      </c>
      <c r="E327" s="560"/>
      <c r="F327" s="559"/>
      <c r="G327" s="559" t="str">
        <f t="shared" si="30"/>
        <v/>
      </c>
      <c r="H327" s="559" t="str">
        <f t="shared" si="31"/>
        <v/>
      </c>
      <c r="I327" s="559" t="str">
        <f t="shared" si="32"/>
        <v/>
      </c>
    </row>
    <row r="328" spans="2:9">
      <c r="B328" s="555" t="str">
        <f t="shared" si="27"/>
        <v/>
      </c>
      <c r="C328" s="556" t="str">
        <f t="shared" si="28"/>
        <v/>
      </c>
      <c r="D328" s="557" t="str">
        <f t="shared" si="29"/>
        <v/>
      </c>
      <c r="E328" s="560"/>
      <c r="F328" s="559"/>
      <c r="G328" s="559" t="str">
        <f t="shared" si="30"/>
        <v/>
      </c>
      <c r="H328" s="559" t="str">
        <f t="shared" si="31"/>
        <v/>
      </c>
      <c r="I328" s="559" t="str">
        <f t="shared" si="32"/>
        <v/>
      </c>
    </row>
    <row r="329" spans="2:9">
      <c r="B329" s="555" t="str">
        <f t="shared" si="27"/>
        <v/>
      </c>
      <c r="C329" s="556" t="str">
        <f t="shared" si="28"/>
        <v/>
      </c>
      <c r="D329" s="557" t="str">
        <f t="shared" si="29"/>
        <v/>
      </c>
      <c r="E329" s="560"/>
      <c r="F329" s="559"/>
      <c r="G329" s="559" t="str">
        <f t="shared" si="30"/>
        <v/>
      </c>
      <c r="H329" s="559" t="str">
        <f t="shared" si="31"/>
        <v/>
      </c>
      <c r="I329" s="559" t="str">
        <f t="shared" si="32"/>
        <v/>
      </c>
    </row>
    <row r="330" spans="2:9">
      <c r="B330" s="555" t="str">
        <f t="shared" si="27"/>
        <v/>
      </c>
      <c r="C330" s="556" t="str">
        <f t="shared" si="28"/>
        <v/>
      </c>
      <c r="D330" s="557" t="str">
        <f t="shared" si="29"/>
        <v/>
      </c>
      <c r="E330" s="560"/>
      <c r="F330" s="559"/>
      <c r="G330" s="559" t="str">
        <f t="shared" si="30"/>
        <v/>
      </c>
      <c r="H330" s="559" t="str">
        <f t="shared" si="31"/>
        <v/>
      </c>
      <c r="I330" s="559" t="str">
        <f t="shared" si="32"/>
        <v/>
      </c>
    </row>
    <row r="331" spans="2:9">
      <c r="B331" s="555" t="str">
        <f t="shared" si="27"/>
        <v/>
      </c>
      <c r="C331" s="556" t="str">
        <f t="shared" si="28"/>
        <v/>
      </c>
      <c r="D331" s="557" t="str">
        <f t="shared" si="29"/>
        <v/>
      </c>
      <c r="E331" s="560"/>
      <c r="F331" s="559"/>
      <c r="G331" s="559" t="str">
        <f t="shared" si="30"/>
        <v/>
      </c>
      <c r="H331" s="559" t="str">
        <f t="shared" si="31"/>
        <v/>
      </c>
      <c r="I331" s="559" t="str">
        <f t="shared" si="32"/>
        <v/>
      </c>
    </row>
    <row r="332" spans="2:9">
      <c r="B332" s="555" t="str">
        <f t="shared" si="27"/>
        <v/>
      </c>
      <c r="C332" s="556" t="str">
        <f t="shared" si="28"/>
        <v/>
      </c>
      <c r="D332" s="557" t="str">
        <f t="shared" si="29"/>
        <v/>
      </c>
      <c r="E332" s="560"/>
      <c r="F332" s="559"/>
      <c r="G332" s="559" t="str">
        <f t="shared" si="30"/>
        <v/>
      </c>
      <c r="H332" s="559" t="str">
        <f t="shared" si="31"/>
        <v/>
      </c>
      <c r="I332" s="559" t="str">
        <f t="shared" si="32"/>
        <v/>
      </c>
    </row>
    <row r="333" spans="2:9">
      <c r="B333" s="555" t="str">
        <f t="shared" si="27"/>
        <v/>
      </c>
      <c r="C333" s="556" t="str">
        <f t="shared" si="28"/>
        <v/>
      </c>
      <c r="D333" s="557" t="str">
        <f t="shared" si="29"/>
        <v/>
      </c>
      <c r="E333" s="560"/>
      <c r="F333" s="559"/>
      <c r="G333" s="559" t="str">
        <f t="shared" si="30"/>
        <v/>
      </c>
      <c r="H333" s="559" t="str">
        <f t="shared" si="31"/>
        <v/>
      </c>
      <c r="I333" s="559" t="str">
        <f t="shared" si="32"/>
        <v/>
      </c>
    </row>
    <row r="334" spans="2:9">
      <c r="B334" s="555" t="str">
        <f t="shared" si="27"/>
        <v/>
      </c>
      <c r="C334" s="556" t="str">
        <f t="shared" si="28"/>
        <v/>
      </c>
      <c r="D334" s="557" t="str">
        <f t="shared" si="29"/>
        <v/>
      </c>
      <c r="E334" s="560"/>
      <c r="F334" s="559"/>
      <c r="G334" s="559" t="str">
        <f t="shared" si="30"/>
        <v/>
      </c>
      <c r="H334" s="559" t="str">
        <f t="shared" si="31"/>
        <v/>
      </c>
      <c r="I334" s="559" t="str">
        <f t="shared" si="32"/>
        <v/>
      </c>
    </row>
    <row r="335" spans="2:9">
      <c r="B335" s="555" t="str">
        <f t="shared" si="27"/>
        <v/>
      </c>
      <c r="C335" s="556" t="str">
        <f t="shared" si="28"/>
        <v/>
      </c>
      <c r="D335" s="557" t="str">
        <f t="shared" si="29"/>
        <v/>
      </c>
      <c r="E335" s="560"/>
      <c r="F335" s="559"/>
      <c r="G335" s="559" t="str">
        <f t="shared" si="30"/>
        <v/>
      </c>
      <c r="H335" s="559" t="str">
        <f t="shared" si="31"/>
        <v/>
      </c>
      <c r="I335" s="559" t="str">
        <f t="shared" si="32"/>
        <v/>
      </c>
    </row>
    <row r="336" spans="2:9">
      <c r="B336" s="555" t="str">
        <f t="shared" si="27"/>
        <v/>
      </c>
      <c r="C336" s="556" t="str">
        <f t="shared" si="28"/>
        <v/>
      </c>
      <c r="D336" s="557" t="str">
        <f t="shared" si="29"/>
        <v/>
      </c>
      <c r="E336" s="560"/>
      <c r="F336" s="559"/>
      <c r="G336" s="559" t="str">
        <f t="shared" si="30"/>
        <v/>
      </c>
      <c r="H336" s="559" t="str">
        <f t="shared" si="31"/>
        <v/>
      </c>
      <c r="I336" s="559" t="str">
        <f t="shared" si="32"/>
        <v/>
      </c>
    </row>
    <row r="337" spans="2:9">
      <c r="B337" s="555" t="str">
        <f t="shared" si="27"/>
        <v/>
      </c>
      <c r="C337" s="556" t="str">
        <f t="shared" si="28"/>
        <v/>
      </c>
      <c r="D337" s="557" t="str">
        <f t="shared" si="29"/>
        <v/>
      </c>
      <c r="E337" s="560"/>
      <c r="F337" s="559"/>
      <c r="G337" s="559" t="str">
        <f t="shared" si="30"/>
        <v/>
      </c>
      <c r="H337" s="559" t="str">
        <f t="shared" si="31"/>
        <v/>
      </c>
      <c r="I337" s="559" t="str">
        <f t="shared" si="32"/>
        <v/>
      </c>
    </row>
    <row r="338" spans="2:9">
      <c r="B338" s="555" t="str">
        <f t="shared" si="27"/>
        <v/>
      </c>
      <c r="C338" s="556" t="str">
        <f t="shared" si="28"/>
        <v/>
      </c>
      <c r="D338" s="557" t="str">
        <f t="shared" si="29"/>
        <v/>
      </c>
      <c r="E338" s="560"/>
      <c r="F338" s="559"/>
      <c r="G338" s="559" t="str">
        <f t="shared" si="30"/>
        <v/>
      </c>
      <c r="H338" s="559" t="str">
        <f t="shared" si="31"/>
        <v/>
      </c>
      <c r="I338" s="559" t="str">
        <f t="shared" si="32"/>
        <v/>
      </c>
    </row>
    <row r="339" spans="2:9">
      <c r="B339" s="555" t="str">
        <f t="shared" si="27"/>
        <v/>
      </c>
      <c r="C339" s="556" t="str">
        <f t="shared" si="28"/>
        <v/>
      </c>
      <c r="D339" s="557" t="str">
        <f t="shared" si="29"/>
        <v/>
      </c>
      <c r="E339" s="560"/>
      <c r="F339" s="559"/>
      <c r="G339" s="559" t="str">
        <f t="shared" si="30"/>
        <v/>
      </c>
      <c r="H339" s="559" t="str">
        <f t="shared" si="31"/>
        <v/>
      </c>
      <c r="I339" s="559" t="str">
        <f t="shared" si="32"/>
        <v/>
      </c>
    </row>
    <row r="340" spans="2:9">
      <c r="B340" s="555" t="str">
        <f t="shared" si="27"/>
        <v/>
      </c>
      <c r="C340" s="556" t="str">
        <f t="shared" si="28"/>
        <v/>
      </c>
      <c r="D340" s="557" t="str">
        <f t="shared" si="29"/>
        <v/>
      </c>
      <c r="E340" s="560"/>
      <c r="F340" s="559"/>
      <c r="G340" s="559" t="str">
        <f t="shared" si="30"/>
        <v/>
      </c>
      <c r="H340" s="559" t="str">
        <f t="shared" si="31"/>
        <v/>
      </c>
      <c r="I340" s="559" t="str">
        <f t="shared" si="32"/>
        <v/>
      </c>
    </row>
    <row r="341" spans="2:9">
      <c r="B341" s="555" t="str">
        <f t="shared" si="27"/>
        <v/>
      </c>
      <c r="C341" s="556" t="str">
        <f t="shared" si="28"/>
        <v/>
      </c>
      <c r="D341" s="557" t="str">
        <f t="shared" si="29"/>
        <v/>
      </c>
      <c r="E341" s="560"/>
      <c r="F341" s="559"/>
      <c r="G341" s="559" t="str">
        <f t="shared" si="30"/>
        <v/>
      </c>
      <c r="H341" s="559" t="str">
        <f t="shared" si="31"/>
        <v/>
      </c>
      <c r="I341" s="559" t="str">
        <f t="shared" si="32"/>
        <v/>
      </c>
    </row>
    <row r="342" spans="2:9">
      <c r="B342" s="555" t="str">
        <f t="shared" si="27"/>
        <v/>
      </c>
      <c r="C342" s="556" t="str">
        <f t="shared" si="28"/>
        <v/>
      </c>
      <c r="D342" s="557" t="str">
        <f t="shared" si="29"/>
        <v/>
      </c>
      <c r="E342" s="560"/>
      <c r="F342" s="559"/>
      <c r="G342" s="559" t="str">
        <f t="shared" si="30"/>
        <v/>
      </c>
      <c r="H342" s="559" t="str">
        <f t="shared" si="31"/>
        <v/>
      </c>
      <c r="I342" s="559" t="str">
        <f t="shared" si="32"/>
        <v/>
      </c>
    </row>
    <row r="343" spans="2:9">
      <c r="B343" s="555" t="str">
        <f t="shared" si="27"/>
        <v/>
      </c>
      <c r="C343" s="556" t="str">
        <f t="shared" si="28"/>
        <v/>
      </c>
      <c r="D343" s="557" t="str">
        <f t="shared" si="29"/>
        <v/>
      </c>
      <c r="E343" s="560"/>
      <c r="F343" s="559"/>
      <c r="G343" s="559" t="str">
        <f t="shared" si="30"/>
        <v/>
      </c>
      <c r="H343" s="559" t="str">
        <f t="shared" si="31"/>
        <v/>
      </c>
      <c r="I343" s="559" t="str">
        <f t="shared" si="32"/>
        <v/>
      </c>
    </row>
    <row r="344" spans="2:9">
      <c r="B344" s="555" t="str">
        <f t="shared" si="27"/>
        <v/>
      </c>
      <c r="C344" s="556" t="str">
        <f t="shared" si="28"/>
        <v/>
      </c>
      <c r="D344" s="557" t="str">
        <f t="shared" si="29"/>
        <v/>
      </c>
      <c r="E344" s="560"/>
      <c r="F344" s="559"/>
      <c r="G344" s="559" t="str">
        <f t="shared" si="30"/>
        <v/>
      </c>
      <c r="H344" s="559" t="str">
        <f t="shared" si="31"/>
        <v/>
      </c>
      <c r="I344" s="559" t="str">
        <f t="shared" si="32"/>
        <v/>
      </c>
    </row>
    <row r="345" spans="2:9">
      <c r="B345" s="555" t="str">
        <f t="shared" si="27"/>
        <v/>
      </c>
      <c r="C345" s="556" t="str">
        <f t="shared" si="28"/>
        <v/>
      </c>
      <c r="D345" s="557" t="str">
        <f t="shared" si="29"/>
        <v/>
      </c>
      <c r="E345" s="560"/>
      <c r="F345" s="559"/>
      <c r="G345" s="559" t="str">
        <f t="shared" si="30"/>
        <v/>
      </c>
      <c r="H345" s="559" t="str">
        <f t="shared" si="31"/>
        <v/>
      </c>
      <c r="I345" s="559" t="str">
        <f t="shared" si="32"/>
        <v/>
      </c>
    </row>
    <row r="346" spans="2:9">
      <c r="B346" s="555" t="str">
        <f t="shared" si="27"/>
        <v/>
      </c>
      <c r="C346" s="556" t="str">
        <f t="shared" si="28"/>
        <v/>
      </c>
      <c r="D346" s="557" t="str">
        <f t="shared" si="29"/>
        <v/>
      </c>
      <c r="E346" s="560"/>
      <c r="F346" s="559"/>
      <c r="G346" s="559" t="str">
        <f t="shared" si="30"/>
        <v/>
      </c>
      <c r="H346" s="559" t="str">
        <f t="shared" si="31"/>
        <v/>
      </c>
      <c r="I346" s="559" t="str">
        <f t="shared" si="32"/>
        <v/>
      </c>
    </row>
    <row r="347" spans="2:9">
      <c r="B347" s="555" t="str">
        <f t="shared" si="27"/>
        <v/>
      </c>
      <c r="C347" s="556" t="str">
        <f t="shared" si="28"/>
        <v/>
      </c>
      <c r="D347" s="557" t="str">
        <f t="shared" si="29"/>
        <v/>
      </c>
      <c r="E347" s="560"/>
      <c r="F347" s="559"/>
      <c r="G347" s="559" t="str">
        <f t="shared" si="30"/>
        <v/>
      </c>
      <c r="H347" s="559" t="str">
        <f t="shared" si="31"/>
        <v/>
      </c>
      <c r="I347" s="559" t="str">
        <f t="shared" si="32"/>
        <v/>
      </c>
    </row>
    <row r="348" spans="2:9">
      <c r="B348" s="555" t="str">
        <f t="shared" si="27"/>
        <v/>
      </c>
      <c r="C348" s="556" t="str">
        <f t="shared" si="28"/>
        <v/>
      </c>
      <c r="D348" s="557" t="str">
        <f t="shared" si="29"/>
        <v/>
      </c>
      <c r="E348" s="560"/>
      <c r="F348" s="559"/>
      <c r="G348" s="559" t="str">
        <f t="shared" si="30"/>
        <v/>
      </c>
      <c r="H348" s="559" t="str">
        <f t="shared" si="31"/>
        <v/>
      </c>
      <c r="I348" s="559" t="str">
        <f t="shared" si="32"/>
        <v/>
      </c>
    </row>
    <row r="349" spans="2:9">
      <c r="B349" s="555" t="str">
        <f t="shared" si="27"/>
        <v/>
      </c>
      <c r="C349" s="556" t="str">
        <f t="shared" si="28"/>
        <v/>
      </c>
      <c r="D349" s="557" t="str">
        <f t="shared" si="29"/>
        <v/>
      </c>
      <c r="E349" s="560"/>
      <c r="F349" s="559"/>
      <c r="G349" s="559" t="str">
        <f t="shared" si="30"/>
        <v/>
      </c>
      <c r="H349" s="559" t="str">
        <f t="shared" si="31"/>
        <v/>
      </c>
      <c r="I349" s="559" t="str">
        <f t="shared" si="32"/>
        <v/>
      </c>
    </row>
    <row r="350" spans="2:9">
      <c r="B350" s="555" t="str">
        <f t="shared" si="27"/>
        <v/>
      </c>
      <c r="C350" s="556" t="str">
        <f t="shared" si="28"/>
        <v/>
      </c>
      <c r="D350" s="557" t="str">
        <f t="shared" si="29"/>
        <v/>
      </c>
      <c r="E350" s="560"/>
      <c r="F350" s="559"/>
      <c r="G350" s="559" t="str">
        <f t="shared" si="30"/>
        <v/>
      </c>
      <c r="H350" s="559" t="str">
        <f t="shared" si="31"/>
        <v/>
      </c>
      <c r="I350" s="559" t="str">
        <f t="shared" si="32"/>
        <v/>
      </c>
    </row>
    <row r="351" spans="2:9">
      <c r="B351" s="555" t="str">
        <f t="shared" si="27"/>
        <v/>
      </c>
      <c r="C351" s="556" t="str">
        <f t="shared" si="28"/>
        <v/>
      </c>
      <c r="D351" s="557" t="str">
        <f t="shared" si="29"/>
        <v/>
      </c>
      <c r="E351" s="560"/>
      <c r="F351" s="559"/>
      <c r="G351" s="559" t="str">
        <f t="shared" si="30"/>
        <v/>
      </c>
      <c r="H351" s="559" t="str">
        <f t="shared" si="31"/>
        <v/>
      </c>
      <c r="I351" s="559" t="str">
        <f t="shared" si="32"/>
        <v/>
      </c>
    </row>
    <row r="352" spans="2:9">
      <c r="B352" s="555" t="str">
        <f t="shared" si="27"/>
        <v/>
      </c>
      <c r="C352" s="556" t="str">
        <f t="shared" si="28"/>
        <v/>
      </c>
      <c r="D352" s="557" t="str">
        <f t="shared" si="29"/>
        <v/>
      </c>
      <c r="E352" s="560"/>
      <c r="F352" s="559"/>
      <c r="G352" s="559" t="str">
        <f t="shared" si="30"/>
        <v/>
      </c>
      <c r="H352" s="559" t="str">
        <f t="shared" si="31"/>
        <v/>
      </c>
      <c r="I352" s="559" t="str">
        <f t="shared" si="32"/>
        <v/>
      </c>
    </row>
    <row r="353" spans="2:9">
      <c r="B353" s="555" t="str">
        <f t="shared" si="27"/>
        <v/>
      </c>
      <c r="C353" s="556" t="str">
        <f t="shared" si="28"/>
        <v/>
      </c>
      <c r="D353" s="557" t="str">
        <f t="shared" si="29"/>
        <v/>
      </c>
      <c r="E353" s="560"/>
      <c r="F353" s="559"/>
      <c r="G353" s="559" t="str">
        <f t="shared" si="30"/>
        <v/>
      </c>
      <c r="H353" s="559" t="str">
        <f t="shared" si="31"/>
        <v/>
      </c>
      <c r="I353" s="559" t="str">
        <f t="shared" si="32"/>
        <v/>
      </c>
    </row>
    <row r="354" spans="2:9">
      <c r="B354" s="555" t="str">
        <f t="shared" si="27"/>
        <v/>
      </c>
      <c r="C354" s="556" t="str">
        <f t="shared" si="28"/>
        <v/>
      </c>
      <c r="D354" s="557" t="str">
        <f t="shared" si="29"/>
        <v/>
      </c>
      <c r="E354" s="560"/>
      <c r="F354" s="559"/>
      <c r="G354" s="559" t="str">
        <f t="shared" si="30"/>
        <v/>
      </c>
      <c r="H354" s="559" t="str">
        <f t="shared" si="31"/>
        <v/>
      </c>
      <c r="I354" s="559" t="str">
        <f t="shared" si="32"/>
        <v/>
      </c>
    </row>
    <row r="355" spans="2:9">
      <c r="B355" s="555" t="str">
        <f t="shared" si="27"/>
        <v/>
      </c>
      <c r="C355" s="556" t="str">
        <f t="shared" si="28"/>
        <v/>
      </c>
      <c r="D355" s="557" t="str">
        <f t="shared" si="29"/>
        <v/>
      </c>
      <c r="E355" s="560"/>
      <c r="F355" s="559"/>
      <c r="G355" s="559" t="str">
        <f t="shared" si="30"/>
        <v/>
      </c>
      <c r="H355" s="559" t="str">
        <f t="shared" si="31"/>
        <v/>
      </c>
      <c r="I355" s="559" t="str">
        <f t="shared" si="32"/>
        <v/>
      </c>
    </row>
    <row r="356" spans="2:9">
      <c r="B356" s="555" t="str">
        <f t="shared" si="27"/>
        <v/>
      </c>
      <c r="C356" s="556" t="str">
        <f t="shared" si="28"/>
        <v/>
      </c>
      <c r="D356" s="557" t="str">
        <f t="shared" si="29"/>
        <v/>
      </c>
      <c r="E356" s="560"/>
      <c r="F356" s="559"/>
      <c r="G356" s="559" t="str">
        <f t="shared" si="30"/>
        <v/>
      </c>
      <c r="H356" s="559" t="str">
        <f t="shared" si="31"/>
        <v/>
      </c>
      <c r="I356" s="559" t="str">
        <f t="shared" si="32"/>
        <v/>
      </c>
    </row>
    <row r="357" spans="2:9">
      <c r="B357" s="555" t="str">
        <f t="shared" si="27"/>
        <v/>
      </c>
      <c r="C357" s="556" t="str">
        <f t="shared" si="28"/>
        <v/>
      </c>
      <c r="D357" s="557" t="str">
        <f t="shared" si="29"/>
        <v/>
      </c>
      <c r="E357" s="560"/>
      <c r="F357" s="559"/>
      <c r="G357" s="559" t="str">
        <f t="shared" si="30"/>
        <v/>
      </c>
      <c r="H357" s="559" t="str">
        <f t="shared" si="31"/>
        <v/>
      </c>
      <c r="I357" s="559" t="str">
        <f t="shared" si="32"/>
        <v/>
      </c>
    </row>
    <row r="358" spans="2:9">
      <c r="B358" s="555" t="str">
        <f t="shared" si="27"/>
        <v/>
      </c>
      <c r="C358" s="556" t="str">
        <f t="shared" si="28"/>
        <v/>
      </c>
      <c r="D358" s="557" t="str">
        <f t="shared" si="29"/>
        <v/>
      </c>
      <c r="E358" s="560"/>
      <c r="F358" s="559"/>
      <c r="G358" s="559" t="str">
        <f t="shared" si="30"/>
        <v/>
      </c>
      <c r="H358" s="559" t="str">
        <f t="shared" si="31"/>
        <v/>
      </c>
      <c r="I358" s="559" t="str">
        <f t="shared" si="32"/>
        <v/>
      </c>
    </row>
    <row r="359" spans="2:9">
      <c r="B359" s="555" t="str">
        <f t="shared" si="27"/>
        <v/>
      </c>
      <c r="C359" s="556" t="str">
        <f t="shared" si="28"/>
        <v/>
      </c>
      <c r="D359" s="557" t="str">
        <f t="shared" si="29"/>
        <v/>
      </c>
      <c r="E359" s="560"/>
      <c r="F359" s="559"/>
      <c r="G359" s="559" t="str">
        <f t="shared" si="30"/>
        <v/>
      </c>
      <c r="H359" s="559" t="str">
        <f t="shared" si="31"/>
        <v/>
      </c>
      <c r="I359" s="559" t="str">
        <f t="shared" si="32"/>
        <v/>
      </c>
    </row>
    <row r="360" spans="2:9">
      <c r="B360" s="555" t="str">
        <f t="shared" si="27"/>
        <v/>
      </c>
      <c r="C360" s="556" t="str">
        <f t="shared" si="28"/>
        <v/>
      </c>
      <c r="D360" s="557" t="str">
        <f t="shared" si="29"/>
        <v/>
      </c>
      <c r="E360" s="560"/>
      <c r="F360" s="559"/>
      <c r="G360" s="559" t="str">
        <f t="shared" si="30"/>
        <v/>
      </c>
      <c r="H360" s="559" t="str">
        <f t="shared" si="31"/>
        <v/>
      </c>
      <c r="I360" s="559" t="str">
        <f t="shared" si="32"/>
        <v/>
      </c>
    </row>
    <row r="361" spans="2:9">
      <c r="B361" s="555" t="str">
        <f t="shared" si="27"/>
        <v/>
      </c>
      <c r="C361" s="556" t="str">
        <f t="shared" si="28"/>
        <v/>
      </c>
      <c r="D361" s="557" t="str">
        <f t="shared" si="29"/>
        <v/>
      </c>
      <c r="E361" s="560"/>
      <c r="F361" s="559"/>
      <c r="G361" s="559" t="str">
        <f t="shared" si="30"/>
        <v/>
      </c>
      <c r="H361" s="559" t="str">
        <f t="shared" si="31"/>
        <v/>
      </c>
      <c r="I361" s="559" t="str">
        <f t="shared" si="32"/>
        <v/>
      </c>
    </row>
    <row r="362" spans="2:9">
      <c r="B362" s="555" t="str">
        <f t="shared" si="27"/>
        <v/>
      </c>
      <c r="C362" s="556" t="str">
        <f t="shared" si="28"/>
        <v/>
      </c>
      <c r="D362" s="557" t="str">
        <f t="shared" si="29"/>
        <v/>
      </c>
      <c r="E362" s="560"/>
      <c r="F362" s="559"/>
      <c r="G362" s="559" t="str">
        <f t="shared" si="30"/>
        <v/>
      </c>
      <c r="H362" s="559" t="str">
        <f t="shared" si="31"/>
        <v/>
      </c>
      <c r="I362" s="559" t="str">
        <f t="shared" si="32"/>
        <v/>
      </c>
    </row>
    <row r="363" spans="2:9">
      <c r="B363" s="555" t="str">
        <f t="shared" si="27"/>
        <v/>
      </c>
      <c r="C363" s="556" t="str">
        <f t="shared" si="28"/>
        <v/>
      </c>
      <c r="D363" s="557" t="str">
        <f t="shared" si="29"/>
        <v/>
      </c>
      <c r="E363" s="560"/>
      <c r="F363" s="559"/>
      <c r="G363" s="559" t="str">
        <f t="shared" si="30"/>
        <v/>
      </c>
      <c r="H363" s="559" t="str">
        <f t="shared" si="31"/>
        <v/>
      </c>
      <c r="I363" s="559" t="str">
        <f t="shared" si="32"/>
        <v/>
      </c>
    </row>
    <row r="364" spans="2:9">
      <c r="B364" s="555" t="str">
        <f t="shared" si="27"/>
        <v/>
      </c>
      <c r="C364" s="556" t="str">
        <f t="shared" si="28"/>
        <v/>
      </c>
      <c r="D364" s="557" t="str">
        <f t="shared" si="29"/>
        <v/>
      </c>
      <c r="E364" s="560"/>
      <c r="F364" s="559"/>
      <c r="G364" s="559" t="str">
        <f t="shared" si="30"/>
        <v/>
      </c>
      <c r="H364" s="559" t="str">
        <f t="shared" si="31"/>
        <v/>
      </c>
      <c r="I364" s="559" t="str">
        <f t="shared" si="32"/>
        <v/>
      </c>
    </row>
    <row r="365" spans="2:9">
      <c r="B365" s="555" t="str">
        <f t="shared" si="27"/>
        <v/>
      </c>
      <c r="C365" s="556" t="str">
        <f t="shared" si="28"/>
        <v/>
      </c>
      <c r="D365" s="557" t="str">
        <f t="shared" si="29"/>
        <v/>
      </c>
      <c r="E365" s="560"/>
      <c r="F365" s="559"/>
      <c r="G365" s="559" t="str">
        <f t="shared" si="30"/>
        <v/>
      </c>
      <c r="H365" s="559" t="str">
        <f t="shared" si="31"/>
        <v/>
      </c>
      <c r="I365" s="559" t="str">
        <f t="shared" si="32"/>
        <v/>
      </c>
    </row>
    <row r="366" spans="2:9">
      <c r="B366" s="555" t="str">
        <f t="shared" si="27"/>
        <v/>
      </c>
      <c r="C366" s="556" t="str">
        <f t="shared" si="28"/>
        <v/>
      </c>
      <c r="D366" s="557" t="str">
        <f t="shared" si="29"/>
        <v/>
      </c>
      <c r="E366" s="560"/>
      <c r="F366" s="559"/>
      <c r="G366" s="559" t="str">
        <f t="shared" si="30"/>
        <v/>
      </c>
      <c r="H366" s="559" t="str">
        <f t="shared" si="31"/>
        <v/>
      </c>
      <c r="I366" s="559" t="str">
        <f t="shared" si="32"/>
        <v/>
      </c>
    </row>
    <row r="367" spans="2:9">
      <c r="B367" s="555" t="str">
        <f t="shared" si="27"/>
        <v/>
      </c>
      <c r="C367" s="556" t="str">
        <f t="shared" si="28"/>
        <v/>
      </c>
      <c r="D367" s="557" t="str">
        <f t="shared" si="29"/>
        <v/>
      </c>
      <c r="E367" s="560"/>
      <c r="F367" s="559"/>
      <c r="G367" s="559" t="str">
        <f t="shared" si="30"/>
        <v/>
      </c>
      <c r="H367" s="559" t="str">
        <f t="shared" si="31"/>
        <v/>
      </c>
      <c r="I367" s="559" t="str">
        <f t="shared" si="32"/>
        <v/>
      </c>
    </row>
    <row r="368" spans="2:9">
      <c r="B368" s="555" t="str">
        <f t="shared" si="27"/>
        <v/>
      </c>
      <c r="C368" s="556" t="str">
        <f t="shared" si="28"/>
        <v/>
      </c>
      <c r="D368" s="557" t="str">
        <f t="shared" si="29"/>
        <v/>
      </c>
      <c r="E368" s="560"/>
      <c r="F368" s="559"/>
      <c r="G368" s="559" t="str">
        <f t="shared" si="30"/>
        <v/>
      </c>
      <c r="H368" s="559" t="str">
        <f t="shared" si="31"/>
        <v/>
      </c>
      <c r="I368" s="559" t="str">
        <f t="shared" si="32"/>
        <v/>
      </c>
    </row>
    <row r="369" spans="2:9">
      <c r="B369" s="555" t="str">
        <f t="shared" si="27"/>
        <v/>
      </c>
      <c r="C369" s="556" t="str">
        <f t="shared" si="28"/>
        <v/>
      </c>
      <c r="D369" s="557" t="str">
        <f t="shared" si="29"/>
        <v/>
      </c>
      <c r="E369" s="560"/>
      <c r="F369" s="559"/>
      <c r="G369" s="559" t="str">
        <f t="shared" si="30"/>
        <v/>
      </c>
      <c r="H369" s="559" t="str">
        <f t="shared" si="31"/>
        <v/>
      </c>
      <c r="I369" s="559" t="str">
        <f t="shared" si="32"/>
        <v/>
      </c>
    </row>
    <row r="370" spans="2:9">
      <c r="B370" s="555" t="str">
        <f t="shared" si="27"/>
        <v/>
      </c>
      <c r="C370" s="556" t="str">
        <f t="shared" si="28"/>
        <v/>
      </c>
      <c r="D370" s="557" t="str">
        <f t="shared" si="29"/>
        <v/>
      </c>
      <c r="E370" s="560"/>
      <c r="F370" s="559"/>
      <c r="G370" s="559" t="str">
        <f t="shared" si="30"/>
        <v/>
      </c>
      <c r="H370" s="559" t="str">
        <f t="shared" si="31"/>
        <v/>
      </c>
      <c r="I370" s="559" t="str">
        <f t="shared" si="32"/>
        <v/>
      </c>
    </row>
    <row r="371" spans="2:9">
      <c r="B371" s="555" t="str">
        <f t="shared" si="27"/>
        <v/>
      </c>
      <c r="C371" s="556" t="str">
        <f t="shared" si="28"/>
        <v/>
      </c>
      <c r="D371" s="557" t="str">
        <f t="shared" si="29"/>
        <v/>
      </c>
      <c r="E371" s="560"/>
      <c r="F371" s="559"/>
      <c r="G371" s="559" t="str">
        <f t="shared" si="30"/>
        <v/>
      </c>
      <c r="H371" s="559" t="str">
        <f t="shared" si="31"/>
        <v/>
      </c>
      <c r="I371" s="559" t="str">
        <f t="shared" si="32"/>
        <v/>
      </c>
    </row>
    <row r="372" spans="2:9">
      <c r="B372" s="555" t="str">
        <f t="shared" si="27"/>
        <v/>
      </c>
      <c r="C372" s="556" t="str">
        <f t="shared" si="28"/>
        <v/>
      </c>
      <c r="D372" s="557" t="str">
        <f t="shared" si="29"/>
        <v/>
      </c>
      <c r="E372" s="560"/>
      <c r="F372" s="559"/>
      <c r="G372" s="559" t="str">
        <f t="shared" si="30"/>
        <v/>
      </c>
      <c r="H372" s="559" t="str">
        <f t="shared" si="31"/>
        <v/>
      </c>
      <c r="I372" s="559" t="str">
        <f t="shared" si="32"/>
        <v/>
      </c>
    </row>
    <row r="373" spans="2:9">
      <c r="B373" s="555" t="str">
        <f t="shared" si="27"/>
        <v/>
      </c>
      <c r="C373" s="556" t="str">
        <f t="shared" si="28"/>
        <v/>
      </c>
      <c r="D373" s="557" t="str">
        <f t="shared" si="29"/>
        <v/>
      </c>
      <c r="E373" s="560"/>
      <c r="F373" s="559"/>
      <c r="G373" s="559" t="str">
        <f t="shared" si="30"/>
        <v/>
      </c>
      <c r="H373" s="559" t="str">
        <f t="shared" si="31"/>
        <v/>
      </c>
      <c r="I373" s="559" t="str">
        <f t="shared" si="32"/>
        <v/>
      </c>
    </row>
    <row r="374" spans="2:9">
      <c r="B374" s="555" t="str">
        <f t="shared" si="27"/>
        <v/>
      </c>
      <c r="C374" s="556" t="str">
        <f t="shared" si="28"/>
        <v/>
      </c>
      <c r="D374" s="557" t="str">
        <f t="shared" si="29"/>
        <v/>
      </c>
      <c r="E374" s="560"/>
      <c r="F374" s="559"/>
      <c r="G374" s="559" t="str">
        <f t="shared" si="30"/>
        <v/>
      </c>
      <c r="H374" s="559" t="str">
        <f t="shared" si="31"/>
        <v/>
      </c>
      <c r="I374" s="559" t="str">
        <f t="shared" si="32"/>
        <v/>
      </c>
    </row>
    <row r="375" spans="2:9">
      <c r="B375" s="555" t="str">
        <f t="shared" si="27"/>
        <v/>
      </c>
      <c r="C375" s="556" t="str">
        <f t="shared" si="28"/>
        <v/>
      </c>
      <c r="D375" s="557" t="str">
        <f t="shared" si="29"/>
        <v/>
      </c>
      <c r="E375" s="560"/>
      <c r="F375" s="559"/>
      <c r="G375" s="559" t="str">
        <f t="shared" si="30"/>
        <v/>
      </c>
      <c r="H375" s="559" t="str">
        <f t="shared" si="31"/>
        <v/>
      </c>
      <c r="I375" s="559" t="str">
        <f t="shared" si="32"/>
        <v/>
      </c>
    </row>
    <row r="376" spans="2:9">
      <c r="B376" s="555" t="str">
        <f t="shared" si="27"/>
        <v/>
      </c>
      <c r="C376" s="556" t="str">
        <f t="shared" si="28"/>
        <v/>
      </c>
      <c r="D376" s="557" t="str">
        <f t="shared" si="29"/>
        <v/>
      </c>
      <c r="E376" s="560"/>
      <c r="F376" s="559"/>
      <c r="G376" s="559" t="str">
        <f t="shared" si="30"/>
        <v/>
      </c>
      <c r="H376" s="559" t="str">
        <f t="shared" si="31"/>
        <v/>
      </c>
      <c r="I376" s="559" t="str">
        <f t="shared" si="32"/>
        <v/>
      </c>
    </row>
    <row r="377" spans="2:9">
      <c r="B377" s="555" t="str">
        <f t="shared" si="27"/>
        <v/>
      </c>
      <c r="C377" s="556" t="str">
        <f t="shared" si="28"/>
        <v/>
      </c>
      <c r="D377" s="557" t="str">
        <f t="shared" si="29"/>
        <v/>
      </c>
      <c r="E377" s="560"/>
      <c r="F377" s="559"/>
      <c r="G377" s="559" t="str">
        <f t="shared" si="30"/>
        <v/>
      </c>
      <c r="H377" s="559" t="str">
        <f t="shared" si="31"/>
        <v/>
      </c>
      <c r="I377" s="559" t="str">
        <f t="shared" si="32"/>
        <v/>
      </c>
    </row>
    <row r="378" spans="2:9">
      <c r="B378" s="555" t="str">
        <f t="shared" si="27"/>
        <v/>
      </c>
      <c r="C378" s="556" t="str">
        <f t="shared" si="28"/>
        <v/>
      </c>
      <c r="D378" s="557" t="str">
        <f t="shared" si="29"/>
        <v/>
      </c>
      <c r="E378" s="560"/>
      <c r="F378" s="559"/>
      <c r="G378" s="559" t="str">
        <f t="shared" si="30"/>
        <v/>
      </c>
      <c r="H378" s="559" t="str">
        <f t="shared" si="31"/>
        <v/>
      </c>
      <c r="I378" s="559" t="str">
        <f t="shared" si="32"/>
        <v/>
      </c>
    </row>
    <row r="379" spans="2:9">
      <c r="B379" s="555" t="str">
        <f t="shared" si="27"/>
        <v/>
      </c>
      <c r="C379" s="556" t="str">
        <f t="shared" si="28"/>
        <v/>
      </c>
      <c r="D379" s="557" t="str">
        <f t="shared" si="29"/>
        <v/>
      </c>
      <c r="E379" s="560"/>
      <c r="F379" s="559"/>
      <c r="G379" s="559" t="str">
        <f t="shared" si="30"/>
        <v/>
      </c>
      <c r="H379" s="559" t="str">
        <f t="shared" si="31"/>
        <v/>
      </c>
      <c r="I379" s="559" t="str">
        <f t="shared" si="32"/>
        <v/>
      </c>
    </row>
    <row r="380" spans="2:9">
      <c r="B380" s="555" t="str">
        <f t="shared" si="27"/>
        <v/>
      </c>
      <c r="C380" s="556" t="str">
        <f t="shared" si="28"/>
        <v/>
      </c>
      <c r="D380" s="557" t="str">
        <f t="shared" si="29"/>
        <v/>
      </c>
      <c r="E380" s="560"/>
      <c r="F380" s="559"/>
      <c r="G380" s="559" t="str">
        <f t="shared" si="30"/>
        <v/>
      </c>
      <c r="H380" s="559" t="str">
        <f t="shared" si="31"/>
        <v/>
      </c>
      <c r="I380" s="559" t="str">
        <f t="shared" si="32"/>
        <v/>
      </c>
    </row>
    <row r="381" spans="2:9">
      <c r="B381" s="555" t="str">
        <f t="shared" ref="B381:B444" si="33">IF(I380="","",IF(roundOpt,IF(OR(B380&gt;=nper,ROUND(I380,2)&lt;=0),"",B380+1),IF(OR(B380&gt;=nper,I380&lt;=0),"",B380+1)))</f>
        <v/>
      </c>
      <c r="C381" s="556" t="str">
        <f t="shared" ref="C381:C444" si="34">IF(B381="","",IF(OR(periods_per_year=26,periods_per_year=52),IF(periods_per_year=26,IF(B381=1,fpdate,C380+14),IF(periods_per_year=52,IF(B381=1,fpdate,C380+7),"n/a")),IF(periods_per_year=24,DATE(YEAR(fpdate),MONTH(fpdate)+(B381-1)/2+IF(AND(DAY(fpdate)&gt;=15,MOD(B381,2)=0),1,0),IF(MOD(B381,2)=0,IF(DAY(fpdate)&gt;=15,DAY(fpdate)-14,DAY(fpdate)+14),DAY(fpdate))),IF(DAY(DATE(YEAR(fpdate),MONTH(fpdate)+(B381-1)*months_per_period,DAY(fpdate)))&lt;&gt;DAY(fpdate),DATE(YEAR(fpdate),MONTH(fpdate)+(B381-1)*months_per_period+1,0),DATE(YEAR(fpdate),MONTH(fpdate)+(B381-1)*months_per_period,DAY(fpdate))))))</f>
        <v/>
      </c>
      <c r="D381" s="557" t="str">
        <f t="shared" ref="D381:D444" si="35">IF(B381="","",IF(roundOpt,IF(OR(B381=nper,payment&gt;ROUND((1+rate)*I380,2)),ROUND((1+rate)*I380,2),payment),IF(OR(B381=nper,payment&gt;(1+rate)*I380),(1+rate)*I380,payment)))</f>
        <v/>
      </c>
      <c r="E381" s="560"/>
      <c r="F381" s="559"/>
      <c r="G381" s="559" t="str">
        <f t="shared" ref="G381:G444" si="36">IF(B381="","",IF(AND(B381=1,pmtType=1),0,IF(roundOpt,ROUND(rate*I380,2),rate*I380)))</f>
        <v/>
      </c>
      <c r="H381" s="559" t="str">
        <f t="shared" ref="H381:H444" si="37">IF(B381="","",D381-G381+E381)</f>
        <v/>
      </c>
      <c r="I381" s="559" t="str">
        <f t="shared" ref="I381:I444" si="38">IF(B381="","",I380-H381)</f>
        <v/>
      </c>
    </row>
    <row r="382" spans="2:9">
      <c r="B382" s="555" t="str">
        <f t="shared" si="33"/>
        <v/>
      </c>
      <c r="C382" s="556" t="str">
        <f t="shared" si="34"/>
        <v/>
      </c>
      <c r="D382" s="557" t="str">
        <f t="shared" si="35"/>
        <v/>
      </c>
      <c r="E382" s="560"/>
      <c r="F382" s="559"/>
      <c r="G382" s="559" t="str">
        <f t="shared" si="36"/>
        <v/>
      </c>
      <c r="H382" s="559" t="str">
        <f t="shared" si="37"/>
        <v/>
      </c>
      <c r="I382" s="559" t="str">
        <f t="shared" si="38"/>
        <v/>
      </c>
    </row>
    <row r="383" spans="2:9">
      <c r="B383" s="555" t="str">
        <f t="shared" si="33"/>
        <v/>
      </c>
      <c r="C383" s="556" t="str">
        <f t="shared" si="34"/>
        <v/>
      </c>
      <c r="D383" s="557" t="str">
        <f t="shared" si="35"/>
        <v/>
      </c>
      <c r="E383" s="560"/>
      <c r="F383" s="559"/>
      <c r="G383" s="559" t="str">
        <f t="shared" si="36"/>
        <v/>
      </c>
      <c r="H383" s="559" t="str">
        <f t="shared" si="37"/>
        <v/>
      </c>
      <c r="I383" s="559" t="str">
        <f t="shared" si="38"/>
        <v/>
      </c>
    </row>
    <row r="384" spans="2:9">
      <c r="B384" s="555" t="str">
        <f t="shared" si="33"/>
        <v/>
      </c>
      <c r="C384" s="556" t="str">
        <f t="shared" si="34"/>
        <v/>
      </c>
      <c r="D384" s="557" t="str">
        <f t="shared" si="35"/>
        <v/>
      </c>
      <c r="E384" s="560"/>
      <c r="F384" s="559"/>
      <c r="G384" s="559" t="str">
        <f t="shared" si="36"/>
        <v/>
      </c>
      <c r="H384" s="559" t="str">
        <f t="shared" si="37"/>
        <v/>
      </c>
      <c r="I384" s="559" t="str">
        <f t="shared" si="38"/>
        <v/>
      </c>
    </row>
    <row r="385" spans="2:9">
      <c r="B385" s="555" t="str">
        <f t="shared" si="33"/>
        <v/>
      </c>
      <c r="C385" s="556" t="str">
        <f t="shared" si="34"/>
        <v/>
      </c>
      <c r="D385" s="557" t="str">
        <f t="shared" si="35"/>
        <v/>
      </c>
      <c r="E385" s="560"/>
      <c r="F385" s="559"/>
      <c r="G385" s="559" t="str">
        <f t="shared" si="36"/>
        <v/>
      </c>
      <c r="H385" s="559" t="str">
        <f t="shared" si="37"/>
        <v/>
      </c>
      <c r="I385" s="559" t="str">
        <f t="shared" si="38"/>
        <v/>
      </c>
    </row>
    <row r="386" spans="2:9">
      <c r="B386" s="555" t="str">
        <f t="shared" si="33"/>
        <v/>
      </c>
      <c r="C386" s="556" t="str">
        <f t="shared" si="34"/>
        <v/>
      </c>
      <c r="D386" s="557" t="str">
        <f t="shared" si="35"/>
        <v/>
      </c>
      <c r="E386" s="560"/>
      <c r="F386" s="559"/>
      <c r="G386" s="559" t="str">
        <f t="shared" si="36"/>
        <v/>
      </c>
      <c r="H386" s="559" t="str">
        <f t="shared" si="37"/>
        <v/>
      </c>
      <c r="I386" s="559" t="str">
        <f t="shared" si="38"/>
        <v/>
      </c>
    </row>
    <row r="387" spans="2:9">
      <c r="B387" s="555" t="str">
        <f t="shared" si="33"/>
        <v/>
      </c>
      <c r="C387" s="556" t="str">
        <f t="shared" si="34"/>
        <v/>
      </c>
      <c r="D387" s="557" t="str">
        <f t="shared" si="35"/>
        <v/>
      </c>
      <c r="E387" s="560"/>
      <c r="F387" s="559"/>
      <c r="G387" s="559" t="str">
        <f t="shared" si="36"/>
        <v/>
      </c>
      <c r="H387" s="559" t="str">
        <f t="shared" si="37"/>
        <v/>
      </c>
      <c r="I387" s="559" t="str">
        <f t="shared" si="38"/>
        <v/>
      </c>
    </row>
    <row r="388" spans="2:9">
      <c r="B388" s="555" t="str">
        <f t="shared" si="33"/>
        <v/>
      </c>
      <c r="C388" s="556" t="str">
        <f t="shared" si="34"/>
        <v/>
      </c>
      <c r="D388" s="557" t="str">
        <f t="shared" si="35"/>
        <v/>
      </c>
      <c r="E388" s="560"/>
      <c r="F388" s="559"/>
      <c r="G388" s="559" t="str">
        <f t="shared" si="36"/>
        <v/>
      </c>
      <c r="H388" s="559" t="str">
        <f t="shared" si="37"/>
        <v/>
      </c>
      <c r="I388" s="559" t="str">
        <f t="shared" si="38"/>
        <v/>
      </c>
    </row>
    <row r="389" spans="2:9">
      <c r="B389" s="555" t="str">
        <f t="shared" si="33"/>
        <v/>
      </c>
      <c r="C389" s="556" t="str">
        <f t="shared" si="34"/>
        <v/>
      </c>
      <c r="D389" s="557" t="str">
        <f t="shared" si="35"/>
        <v/>
      </c>
      <c r="E389" s="560"/>
      <c r="F389" s="559"/>
      <c r="G389" s="559" t="str">
        <f t="shared" si="36"/>
        <v/>
      </c>
      <c r="H389" s="559" t="str">
        <f t="shared" si="37"/>
        <v/>
      </c>
      <c r="I389" s="559" t="str">
        <f t="shared" si="38"/>
        <v/>
      </c>
    </row>
    <row r="390" spans="2:9">
      <c r="B390" s="555" t="str">
        <f t="shared" si="33"/>
        <v/>
      </c>
      <c r="C390" s="556" t="str">
        <f t="shared" si="34"/>
        <v/>
      </c>
      <c r="D390" s="557" t="str">
        <f t="shared" si="35"/>
        <v/>
      </c>
      <c r="E390" s="560"/>
      <c r="F390" s="559"/>
      <c r="G390" s="559" t="str">
        <f t="shared" si="36"/>
        <v/>
      </c>
      <c r="H390" s="559" t="str">
        <f t="shared" si="37"/>
        <v/>
      </c>
      <c r="I390" s="559" t="str">
        <f t="shared" si="38"/>
        <v/>
      </c>
    </row>
    <row r="391" spans="2:9">
      <c r="B391" s="555" t="str">
        <f t="shared" si="33"/>
        <v/>
      </c>
      <c r="C391" s="556" t="str">
        <f t="shared" si="34"/>
        <v/>
      </c>
      <c r="D391" s="557" t="str">
        <f t="shared" si="35"/>
        <v/>
      </c>
      <c r="E391" s="560"/>
      <c r="F391" s="559"/>
      <c r="G391" s="559" t="str">
        <f t="shared" si="36"/>
        <v/>
      </c>
      <c r="H391" s="559" t="str">
        <f t="shared" si="37"/>
        <v/>
      </c>
      <c r="I391" s="559" t="str">
        <f t="shared" si="38"/>
        <v/>
      </c>
    </row>
    <row r="392" spans="2:9">
      <c r="B392" s="555" t="str">
        <f t="shared" si="33"/>
        <v/>
      </c>
      <c r="C392" s="556" t="str">
        <f t="shared" si="34"/>
        <v/>
      </c>
      <c r="D392" s="557" t="str">
        <f t="shared" si="35"/>
        <v/>
      </c>
      <c r="E392" s="560"/>
      <c r="F392" s="559"/>
      <c r="G392" s="559" t="str">
        <f t="shared" si="36"/>
        <v/>
      </c>
      <c r="H392" s="559" t="str">
        <f t="shared" si="37"/>
        <v/>
      </c>
      <c r="I392" s="559" t="str">
        <f t="shared" si="38"/>
        <v/>
      </c>
    </row>
    <row r="393" spans="2:9">
      <c r="B393" s="555" t="str">
        <f t="shared" si="33"/>
        <v/>
      </c>
      <c r="C393" s="556" t="str">
        <f t="shared" si="34"/>
        <v/>
      </c>
      <c r="D393" s="557" t="str">
        <f t="shared" si="35"/>
        <v/>
      </c>
      <c r="E393" s="560"/>
      <c r="F393" s="559"/>
      <c r="G393" s="559" t="str">
        <f t="shared" si="36"/>
        <v/>
      </c>
      <c r="H393" s="559" t="str">
        <f t="shared" si="37"/>
        <v/>
      </c>
      <c r="I393" s="559" t="str">
        <f t="shared" si="38"/>
        <v/>
      </c>
    </row>
    <row r="394" spans="2:9">
      <c r="B394" s="555" t="str">
        <f t="shared" si="33"/>
        <v/>
      </c>
      <c r="C394" s="556" t="str">
        <f t="shared" si="34"/>
        <v/>
      </c>
      <c r="D394" s="557" t="str">
        <f t="shared" si="35"/>
        <v/>
      </c>
      <c r="E394" s="560"/>
      <c r="F394" s="559"/>
      <c r="G394" s="559" t="str">
        <f t="shared" si="36"/>
        <v/>
      </c>
      <c r="H394" s="559" t="str">
        <f t="shared" si="37"/>
        <v/>
      </c>
      <c r="I394" s="559" t="str">
        <f t="shared" si="38"/>
        <v/>
      </c>
    </row>
    <row r="395" spans="2:9">
      <c r="B395" s="555" t="str">
        <f t="shared" si="33"/>
        <v/>
      </c>
      <c r="C395" s="556" t="str">
        <f t="shared" si="34"/>
        <v/>
      </c>
      <c r="D395" s="557" t="str">
        <f t="shared" si="35"/>
        <v/>
      </c>
      <c r="E395" s="560"/>
      <c r="F395" s="559"/>
      <c r="G395" s="559" t="str">
        <f t="shared" si="36"/>
        <v/>
      </c>
      <c r="H395" s="559" t="str">
        <f t="shared" si="37"/>
        <v/>
      </c>
      <c r="I395" s="559" t="str">
        <f t="shared" si="38"/>
        <v/>
      </c>
    </row>
    <row r="396" spans="2:9">
      <c r="B396" s="555" t="str">
        <f t="shared" si="33"/>
        <v/>
      </c>
      <c r="C396" s="556" t="str">
        <f t="shared" si="34"/>
        <v/>
      </c>
      <c r="D396" s="557" t="str">
        <f t="shared" si="35"/>
        <v/>
      </c>
      <c r="E396" s="560"/>
      <c r="F396" s="559"/>
      <c r="G396" s="559" t="str">
        <f t="shared" si="36"/>
        <v/>
      </c>
      <c r="H396" s="559" t="str">
        <f t="shared" si="37"/>
        <v/>
      </c>
      <c r="I396" s="559" t="str">
        <f t="shared" si="38"/>
        <v/>
      </c>
    </row>
    <row r="397" spans="2:9">
      <c r="B397" s="555" t="str">
        <f t="shared" si="33"/>
        <v/>
      </c>
      <c r="C397" s="556" t="str">
        <f t="shared" si="34"/>
        <v/>
      </c>
      <c r="D397" s="557" t="str">
        <f t="shared" si="35"/>
        <v/>
      </c>
      <c r="E397" s="560"/>
      <c r="F397" s="559"/>
      <c r="G397" s="559" t="str">
        <f t="shared" si="36"/>
        <v/>
      </c>
      <c r="H397" s="559" t="str">
        <f t="shared" si="37"/>
        <v/>
      </c>
      <c r="I397" s="559" t="str">
        <f t="shared" si="38"/>
        <v/>
      </c>
    </row>
    <row r="398" spans="2:9">
      <c r="B398" s="555" t="str">
        <f t="shared" si="33"/>
        <v/>
      </c>
      <c r="C398" s="556" t="str">
        <f t="shared" si="34"/>
        <v/>
      </c>
      <c r="D398" s="557" t="str">
        <f t="shared" si="35"/>
        <v/>
      </c>
      <c r="E398" s="560"/>
      <c r="F398" s="559"/>
      <c r="G398" s="559" t="str">
        <f t="shared" si="36"/>
        <v/>
      </c>
      <c r="H398" s="559" t="str">
        <f t="shared" si="37"/>
        <v/>
      </c>
      <c r="I398" s="559" t="str">
        <f t="shared" si="38"/>
        <v/>
      </c>
    </row>
    <row r="399" spans="2:9">
      <c r="B399" s="555" t="str">
        <f t="shared" si="33"/>
        <v/>
      </c>
      <c r="C399" s="556" t="str">
        <f t="shared" si="34"/>
        <v/>
      </c>
      <c r="D399" s="557" t="str">
        <f t="shared" si="35"/>
        <v/>
      </c>
      <c r="E399" s="560"/>
      <c r="F399" s="559"/>
      <c r="G399" s="559" t="str">
        <f t="shared" si="36"/>
        <v/>
      </c>
      <c r="H399" s="559" t="str">
        <f t="shared" si="37"/>
        <v/>
      </c>
      <c r="I399" s="559" t="str">
        <f t="shared" si="38"/>
        <v/>
      </c>
    </row>
    <row r="400" spans="2:9">
      <c r="B400" s="555" t="str">
        <f t="shared" si="33"/>
        <v/>
      </c>
      <c r="C400" s="556" t="str">
        <f t="shared" si="34"/>
        <v/>
      </c>
      <c r="D400" s="557" t="str">
        <f t="shared" si="35"/>
        <v/>
      </c>
      <c r="E400" s="560"/>
      <c r="F400" s="559"/>
      <c r="G400" s="559" t="str">
        <f t="shared" si="36"/>
        <v/>
      </c>
      <c r="H400" s="559" t="str">
        <f t="shared" si="37"/>
        <v/>
      </c>
      <c r="I400" s="559" t="str">
        <f t="shared" si="38"/>
        <v/>
      </c>
    </row>
    <row r="401" spans="2:9">
      <c r="B401" s="555" t="str">
        <f t="shared" si="33"/>
        <v/>
      </c>
      <c r="C401" s="556" t="str">
        <f t="shared" si="34"/>
        <v/>
      </c>
      <c r="D401" s="557" t="str">
        <f t="shared" si="35"/>
        <v/>
      </c>
      <c r="E401" s="560"/>
      <c r="F401" s="559"/>
      <c r="G401" s="559" t="str">
        <f t="shared" si="36"/>
        <v/>
      </c>
      <c r="H401" s="559" t="str">
        <f t="shared" si="37"/>
        <v/>
      </c>
      <c r="I401" s="559" t="str">
        <f t="shared" si="38"/>
        <v/>
      </c>
    </row>
    <row r="402" spans="2:9">
      <c r="B402" s="555" t="str">
        <f t="shared" si="33"/>
        <v/>
      </c>
      <c r="C402" s="556" t="str">
        <f t="shared" si="34"/>
        <v/>
      </c>
      <c r="D402" s="557" t="str">
        <f t="shared" si="35"/>
        <v/>
      </c>
      <c r="E402" s="560"/>
      <c r="F402" s="559"/>
      <c r="G402" s="559" t="str">
        <f t="shared" si="36"/>
        <v/>
      </c>
      <c r="H402" s="559" t="str">
        <f t="shared" si="37"/>
        <v/>
      </c>
      <c r="I402" s="559" t="str">
        <f t="shared" si="38"/>
        <v/>
      </c>
    </row>
    <row r="403" spans="2:9">
      <c r="B403" s="555" t="str">
        <f t="shared" si="33"/>
        <v/>
      </c>
      <c r="C403" s="556" t="str">
        <f t="shared" si="34"/>
        <v/>
      </c>
      <c r="D403" s="557" t="str">
        <f t="shared" si="35"/>
        <v/>
      </c>
      <c r="E403" s="560"/>
      <c r="F403" s="559"/>
      <c r="G403" s="559" t="str">
        <f t="shared" si="36"/>
        <v/>
      </c>
      <c r="H403" s="559" t="str">
        <f t="shared" si="37"/>
        <v/>
      </c>
      <c r="I403" s="559" t="str">
        <f t="shared" si="38"/>
        <v/>
      </c>
    </row>
    <row r="404" spans="2:9">
      <c r="B404" s="555" t="str">
        <f t="shared" si="33"/>
        <v/>
      </c>
      <c r="C404" s="556" t="str">
        <f t="shared" si="34"/>
        <v/>
      </c>
      <c r="D404" s="557" t="str">
        <f t="shared" si="35"/>
        <v/>
      </c>
      <c r="E404" s="560"/>
      <c r="F404" s="559"/>
      <c r="G404" s="559" t="str">
        <f t="shared" si="36"/>
        <v/>
      </c>
      <c r="H404" s="559" t="str">
        <f t="shared" si="37"/>
        <v/>
      </c>
      <c r="I404" s="559" t="str">
        <f t="shared" si="38"/>
        <v/>
      </c>
    </row>
    <row r="405" spans="2:9">
      <c r="B405" s="555" t="str">
        <f t="shared" si="33"/>
        <v/>
      </c>
      <c r="C405" s="556" t="str">
        <f t="shared" si="34"/>
        <v/>
      </c>
      <c r="D405" s="557" t="str">
        <f t="shared" si="35"/>
        <v/>
      </c>
      <c r="E405" s="560"/>
      <c r="F405" s="559"/>
      <c r="G405" s="559" t="str">
        <f t="shared" si="36"/>
        <v/>
      </c>
      <c r="H405" s="559" t="str">
        <f t="shared" si="37"/>
        <v/>
      </c>
      <c r="I405" s="559" t="str">
        <f t="shared" si="38"/>
        <v/>
      </c>
    </row>
    <row r="406" spans="2:9">
      <c r="B406" s="555" t="str">
        <f t="shared" si="33"/>
        <v/>
      </c>
      <c r="C406" s="556" t="str">
        <f t="shared" si="34"/>
        <v/>
      </c>
      <c r="D406" s="557" t="str">
        <f t="shared" si="35"/>
        <v/>
      </c>
      <c r="E406" s="560"/>
      <c r="F406" s="559"/>
      <c r="G406" s="559" t="str">
        <f t="shared" si="36"/>
        <v/>
      </c>
      <c r="H406" s="559" t="str">
        <f t="shared" si="37"/>
        <v/>
      </c>
      <c r="I406" s="559" t="str">
        <f t="shared" si="38"/>
        <v/>
      </c>
    </row>
    <row r="407" spans="2:9">
      <c r="B407" s="555" t="str">
        <f t="shared" si="33"/>
        <v/>
      </c>
      <c r="C407" s="556" t="str">
        <f t="shared" si="34"/>
        <v/>
      </c>
      <c r="D407" s="557" t="str">
        <f t="shared" si="35"/>
        <v/>
      </c>
      <c r="E407" s="560"/>
      <c r="F407" s="559"/>
      <c r="G407" s="559" t="str">
        <f t="shared" si="36"/>
        <v/>
      </c>
      <c r="H407" s="559" t="str">
        <f t="shared" si="37"/>
        <v/>
      </c>
      <c r="I407" s="559" t="str">
        <f t="shared" si="38"/>
        <v/>
      </c>
    </row>
    <row r="408" spans="2:9">
      <c r="B408" s="555" t="str">
        <f t="shared" si="33"/>
        <v/>
      </c>
      <c r="C408" s="556" t="str">
        <f t="shared" si="34"/>
        <v/>
      </c>
      <c r="D408" s="557" t="str">
        <f t="shared" si="35"/>
        <v/>
      </c>
      <c r="E408" s="560"/>
      <c r="F408" s="559"/>
      <c r="G408" s="559" t="str">
        <f t="shared" si="36"/>
        <v/>
      </c>
      <c r="H408" s="559" t="str">
        <f t="shared" si="37"/>
        <v/>
      </c>
      <c r="I408" s="559" t="str">
        <f t="shared" si="38"/>
        <v/>
      </c>
    </row>
    <row r="409" spans="2:9">
      <c r="B409" s="555" t="str">
        <f t="shared" si="33"/>
        <v/>
      </c>
      <c r="C409" s="556" t="str">
        <f t="shared" si="34"/>
        <v/>
      </c>
      <c r="D409" s="557" t="str">
        <f t="shared" si="35"/>
        <v/>
      </c>
      <c r="E409" s="560"/>
      <c r="F409" s="559"/>
      <c r="G409" s="559" t="str">
        <f t="shared" si="36"/>
        <v/>
      </c>
      <c r="H409" s="559" t="str">
        <f t="shared" si="37"/>
        <v/>
      </c>
      <c r="I409" s="559" t="str">
        <f t="shared" si="38"/>
        <v/>
      </c>
    </row>
    <row r="410" spans="2:9">
      <c r="B410" s="555" t="str">
        <f t="shared" si="33"/>
        <v/>
      </c>
      <c r="C410" s="556" t="str">
        <f t="shared" si="34"/>
        <v/>
      </c>
      <c r="D410" s="557" t="str">
        <f t="shared" si="35"/>
        <v/>
      </c>
      <c r="E410" s="560"/>
      <c r="F410" s="559"/>
      <c r="G410" s="559" t="str">
        <f t="shared" si="36"/>
        <v/>
      </c>
      <c r="H410" s="559" t="str">
        <f t="shared" si="37"/>
        <v/>
      </c>
      <c r="I410" s="559" t="str">
        <f t="shared" si="38"/>
        <v/>
      </c>
    </row>
    <row r="411" spans="2:9">
      <c r="B411" s="555" t="str">
        <f t="shared" si="33"/>
        <v/>
      </c>
      <c r="C411" s="556" t="str">
        <f t="shared" si="34"/>
        <v/>
      </c>
      <c r="D411" s="557" t="str">
        <f t="shared" si="35"/>
        <v/>
      </c>
      <c r="E411" s="560"/>
      <c r="F411" s="559"/>
      <c r="G411" s="559" t="str">
        <f t="shared" si="36"/>
        <v/>
      </c>
      <c r="H411" s="559" t="str">
        <f t="shared" si="37"/>
        <v/>
      </c>
      <c r="I411" s="559" t="str">
        <f t="shared" si="38"/>
        <v/>
      </c>
    </row>
    <row r="412" spans="2:9">
      <c r="B412" s="555" t="str">
        <f t="shared" si="33"/>
        <v/>
      </c>
      <c r="C412" s="556" t="str">
        <f t="shared" si="34"/>
        <v/>
      </c>
      <c r="D412" s="557" t="str">
        <f t="shared" si="35"/>
        <v/>
      </c>
      <c r="E412" s="560"/>
      <c r="F412" s="559"/>
      <c r="G412" s="559" t="str">
        <f t="shared" si="36"/>
        <v/>
      </c>
      <c r="H412" s="559" t="str">
        <f t="shared" si="37"/>
        <v/>
      </c>
      <c r="I412" s="559" t="str">
        <f t="shared" si="38"/>
        <v/>
      </c>
    </row>
    <row r="413" spans="2:9">
      <c r="B413" s="555" t="str">
        <f t="shared" si="33"/>
        <v/>
      </c>
      <c r="C413" s="556" t="str">
        <f t="shared" si="34"/>
        <v/>
      </c>
      <c r="D413" s="557" t="str">
        <f t="shared" si="35"/>
        <v/>
      </c>
      <c r="E413" s="560"/>
      <c r="F413" s="559"/>
      <c r="G413" s="559" t="str">
        <f t="shared" si="36"/>
        <v/>
      </c>
      <c r="H413" s="559" t="str">
        <f t="shared" si="37"/>
        <v/>
      </c>
      <c r="I413" s="559" t="str">
        <f t="shared" si="38"/>
        <v/>
      </c>
    </row>
    <row r="414" spans="2:9">
      <c r="B414" s="555" t="str">
        <f t="shared" si="33"/>
        <v/>
      </c>
      <c r="C414" s="556" t="str">
        <f t="shared" si="34"/>
        <v/>
      </c>
      <c r="D414" s="557" t="str">
        <f t="shared" si="35"/>
        <v/>
      </c>
      <c r="E414" s="560"/>
      <c r="F414" s="559"/>
      <c r="G414" s="559" t="str">
        <f t="shared" si="36"/>
        <v/>
      </c>
      <c r="H414" s="559" t="str">
        <f t="shared" si="37"/>
        <v/>
      </c>
      <c r="I414" s="559" t="str">
        <f t="shared" si="38"/>
        <v/>
      </c>
    </row>
    <row r="415" spans="2:9">
      <c r="B415" s="555" t="str">
        <f t="shared" si="33"/>
        <v/>
      </c>
      <c r="C415" s="556" t="str">
        <f t="shared" si="34"/>
        <v/>
      </c>
      <c r="D415" s="557" t="str">
        <f t="shared" si="35"/>
        <v/>
      </c>
      <c r="E415" s="560"/>
      <c r="F415" s="559"/>
      <c r="G415" s="559" t="str">
        <f t="shared" si="36"/>
        <v/>
      </c>
      <c r="H415" s="559" t="str">
        <f t="shared" si="37"/>
        <v/>
      </c>
      <c r="I415" s="559" t="str">
        <f t="shared" si="38"/>
        <v/>
      </c>
    </row>
    <row r="416" spans="2:9">
      <c r="B416" s="555" t="str">
        <f t="shared" si="33"/>
        <v/>
      </c>
      <c r="C416" s="556" t="str">
        <f t="shared" si="34"/>
        <v/>
      </c>
      <c r="D416" s="557" t="str">
        <f t="shared" si="35"/>
        <v/>
      </c>
      <c r="E416" s="560"/>
      <c r="F416" s="559"/>
      <c r="G416" s="559" t="str">
        <f t="shared" si="36"/>
        <v/>
      </c>
      <c r="H416" s="559" t="str">
        <f t="shared" si="37"/>
        <v/>
      </c>
      <c r="I416" s="559" t="str">
        <f t="shared" si="38"/>
        <v/>
      </c>
    </row>
    <row r="417" spans="2:9">
      <c r="B417" s="555" t="str">
        <f t="shared" si="33"/>
        <v/>
      </c>
      <c r="C417" s="556" t="str">
        <f t="shared" si="34"/>
        <v/>
      </c>
      <c r="D417" s="557" t="str">
        <f t="shared" si="35"/>
        <v/>
      </c>
      <c r="E417" s="560"/>
      <c r="F417" s="559"/>
      <c r="G417" s="559" t="str">
        <f t="shared" si="36"/>
        <v/>
      </c>
      <c r="H417" s="559" t="str">
        <f t="shared" si="37"/>
        <v/>
      </c>
      <c r="I417" s="559" t="str">
        <f t="shared" si="38"/>
        <v/>
      </c>
    </row>
    <row r="418" spans="2:9">
      <c r="B418" s="555" t="str">
        <f t="shared" si="33"/>
        <v/>
      </c>
      <c r="C418" s="556" t="str">
        <f t="shared" si="34"/>
        <v/>
      </c>
      <c r="D418" s="557" t="str">
        <f t="shared" si="35"/>
        <v/>
      </c>
      <c r="E418" s="560"/>
      <c r="F418" s="559"/>
      <c r="G418" s="559" t="str">
        <f t="shared" si="36"/>
        <v/>
      </c>
      <c r="H418" s="559" t="str">
        <f t="shared" si="37"/>
        <v/>
      </c>
      <c r="I418" s="559" t="str">
        <f t="shared" si="38"/>
        <v/>
      </c>
    </row>
    <row r="419" spans="2:9">
      <c r="B419" s="555" t="str">
        <f t="shared" si="33"/>
        <v/>
      </c>
      <c r="C419" s="556" t="str">
        <f t="shared" si="34"/>
        <v/>
      </c>
      <c r="D419" s="557" t="str">
        <f t="shared" si="35"/>
        <v/>
      </c>
      <c r="E419" s="560"/>
      <c r="F419" s="559"/>
      <c r="G419" s="559" t="str">
        <f t="shared" si="36"/>
        <v/>
      </c>
      <c r="H419" s="559" t="str">
        <f t="shared" si="37"/>
        <v/>
      </c>
      <c r="I419" s="559" t="str">
        <f t="shared" si="38"/>
        <v/>
      </c>
    </row>
    <row r="420" spans="2:9">
      <c r="B420" s="555" t="str">
        <f t="shared" si="33"/>
        <v/>
      </c>
      <c r="C420" s="556" t="str">
        <f t="shared" si="34"/>
        <v/>
      </c>
      <c r="D420" s="557" t="str">
        <f t="shared" si="35"/>
        <v/>
      </c>
      <c r="E420" s="560"/>
      <c r="F420" s="559"/>
      <c r="G420" s="559" t="str">
        <f t="shared" si="36"/>
        <v/>
      </c>
      <c r="H420" s="559" t="str">
        <f t="shared" si="37"/>
        <v/>
      </c>
      <c r="I420" s="559" t="str">
        <f t="shared" si="38"/>
        <v/>
      </c>
    </row>
    <row r="421" spans="2:9">
      <c r="B421" s="555" t="str">
        <f t="shared" si="33"/>
        <v/>
      </c>
      <c r="C421" s="556" t="str">
        <f t="shared" si="34"/>
        <v/>
      </c>
      <c r="D421" s="557" t="str">
        <f t="shared" si="35"/>
        <v/>
      </c>
      <c r="E421" s="560"/>
      <c r="F421" s="559"/>
      <c r="G421" s="559" t="str">
        <f t="shared" si="36"/>
        <v/>
      </c>
      <c r="H421" s="559" t="str">
        <f t="shared" si="37"/>
        <v/>
      </c>
      <c r="I421" s="559" t="str">
        <f t="shared" si="38"/>
        <v/>
      </c>
    </row>
    <row r="422" spans="2:9">
      <c r="B422" s="555" t="str">
        <f t="shared" si="33"/>
        <v/>
      </c>
      <c r="C422" s="556" t="str">
        <f t="shared" si="34"/>
        <v/>
      </c>
      <c r="D422" s="557" t="str">
        <f t="shared" si="35"/>
        <v/>
      </c>
      <c r="E422" s="560"/>
      <c r="F422" s="559"/>
      <c r="G422" s="559" t="str">
        <f t="shared" si="36"/>
        <v/>
      </c>
      <c r="H422" s="559" t="str">
        <f t="shared" si="37"/>
        <v/>
      </c>
      <c r="I422" s="559" t="str">
        <f t="shared" si="38"/>
        <v/>
      </c>
    </row>
    <row r="423" spans="2:9">
      <c r="B423" s="555" t="str">
        <f t="shared" si="33"/>
        <v/>
      </c>
      <c r="C423" s="556" t="str">
        <f t="shared" si="34"/>
        <v/>
      </c>
      <c r="D423" s="557" t="str">
        <f t="shared" si="35"/>
        <v/>
      </c>
      <c r="E423" s="560"/>
      <c r="F423" s="559"/>
      <c r="G423" s="559" t="str">
        <f t="shared" si="36"/>
        <v/>
      </c>
      <c r="H423" s="559" t="str">
        <f t="shared" si="37"/>
        <v/>
      </c>
      <c r="I423" s="559" t="str">
        <f t="shared" si="38"/>
        <v/>
      </c>
    </row>
    <row r="424" spans="2:9">
      <c r="B424" s="555" t="str">
        <f t="shared" si="33"/>
        <v/>
      </c>
      <c r="C424" s="556" t="str">
        <f t="shared" si="34"/>
        <v/>
      </c>
      <c r="D424" s="557" t="str">
        <f t="shared" si="35"/>
        <v/>
      </c>
      <c r="E424" s="560"/>
      <c r="F424" s="559"/>
      <c r="G424" s="559" t="str">
        <f t="shared" si="36"/>
        <v/>
      </c>
      <c r="H424" s="559" t="str">
        <f t="shared" si="37"/>
        <v/>
      </c>
      <c r="I424" s="559" t="str">
        <f t="shared" si="38"/>
        <v/>
      </c>
    </row>
    <row r="425" spans="2:9">
      <c r="B425" s="555" t="str">
        <f t="shared" si="33"/>
        <v/>
      </c>
      <c r="C425" s="556" t="str">
        <f t="shared" si="34"/>
        <v/>
      </c>
      <c r="D425" s="557" t="str">
        <f t="shared" si="35"/>
        <v/>
      </c>
      <c r="E425" s="560"/>
      <c r="F425" s="559"/>
      <c r="G425" s="559" t="str">
        <f t="shared" si="36"/>
        <v/>
      </c>
      <c r="H425" s="559" t="str">
        <f t="shared" si="37"/>
        <v/>
      </c>
      <c r="I425" s="559" t="str">
        <f t="shared" si="38"/>
        <v/>
      </c>
    </row>
    <row r="426" spans="2:9">
      <c r="B426" s="555" t="str">
        <f t="shared" si="33"/>
        <v/>
      </c>
      <c r="C426" s="556" t="str">
        <f t="shared" si="34"/>
        <v/>
      </c>
      <c r="D426" s="557" t="str">
        <f t="shared" si="35"/>
        <v/>
      </c>
      <c r="E426" s="560"/>
      <c r="F426" s="559"/>
      <c r="G426" s="559" t="str">
        <f t="shared" si="36"/>
        <v/>
      </c>
      <c r="H426" s="559" t="str">
        <f t="shared" si="37"/>
        <v/>
      </c>
      <c r="I426" s="559" t="str">
        <f t="shared" si="38"/>
        <v/>
      </c>
    </row>
    <row r="427" spans="2:9">
      <c r="B427" s="555" t="str">
        <f t="shared" si="33"/>
        <v/>
      </c>
      <c r="C427" s="556" t="str">
        <f t="shared" si="34"/>
        <v/>
      </c>
      <c r="D427" s="557" t="str">
        <f t="shared" si="35"/>
        <v/>
      </c>
      <c r="E427" s="560"/>
      <c r="F427" s="559"/>
      <c r="G427" s="559" t="str">
        <f t="shared" si="36"/>
        <v/>
      </c>
      <c r="H427" s="559" t="str">
        <f t="shared" si="37"/>
        <v/>
      </c>
      <c r="I427" s="559" t="str">
        <f t="shared" si="38"/>
        <v/>
      </c>
    </row>
    <row r="428" spans="2:9">
      <c r="B428" s="555" t="str">
        <f t="shared" si="33"/>
        <v/>
      </c>
      <c r="C428" s="556" t="str">
        <f t="shared" si="34"/>
        <v/>
      </c>
      <c r="D428" s="557" t="str">
        <f t="shared" si="35"/>
        <v/>
      </c>
      <c r="E428" s="560"/>
      <c r="F428" s="559"/>
      <c r="G428" s="559" t="str">
        <f t="shared" si="36"/>
        <v/>
      </c>
      <c r="H428" s="559" t="str">
        <f t="shared" si="37"/>
        <v/>
      </c>
      <c r="I428" s="559" t="str">
        <f t="shared" si="38"/>
        <v/>
      </c>
    </row>
    <row r="429" spans="2:9">
      <c r="B429" s="555" t="str">
        <f t="shared" si="33"/>
        <v/>
      </c>
      <c r="C429" s="556" t="str">
        <f t="shared" si="34"/>
        <v/>
      </c>
      <c r="D429" s="557" t="str">
        <f t="shared" si="35"/>
        <v/>
      </c>
      <c r="E429" s="560"/>
      <c r="F429" s="559"/>
      <c r="G429" s="559" t="str">
        <f t="shared" si="36"/>
        <v/>
      </c>
      <c r="H429" s="559" t="str">
        <f t="shared" si="37"/>
        <v/>
      </c>
      <c r="I429" s="559" t="str">
        <f t="shared" si="38"/>
        <v/>
      </c>
    </row>
    <row r="430" spans="2:9">
      <c r="B430" s="555" t="str">
        <f t="shared" si="33"/>
        <v/>
      </c>
      <c r="C430" s="556" t="str">
        <f t="shared" si="34"/>
        <v/>
      </c>
      <c r="D430" s="557" t="str">
        <f t="shared" si="35"/>
        <v/>
      </c>
      <c r="E430" s="560"/>
      <c r="F430" s="559"/>
      <c r="G430" s="559" t="str">
        <f t="shared" si="36"/>
        <v/>
      </c>
      <c r="H430" s="559" t="str">
        <f t="shared" si="37"/>
        <v/>
      </c>
      <c r="I430" s="559" t="str">
        <f t="shared" si="38"/>
        <v/>
      </c>
    </row>
    <row r="431" spans="2:9">
      <c r="B431" s="555" t="str">
        <f t="shared" si="33"/>
        <v/>
      </c>
      <c r="C431" s="556" t="str">
        <f t="shared" si="34"/>
        <v/>
      </c>
      <c r="D431" s="557" t="str">
        <f t="shared" si="35"/>
        <v/>
      </c>
      <c r="E431" s="560"/>
      <c r="F431" s="559"/>
      <c r="G431" s="559" t="str">
        <f t="shared" si="36"/>
        <v/>
      </c>
      <c r="H431" s="559" t="str">
        <f t="shared" si="37"/>
        <v/>
      </c>
      <c r="I431" s="559" t="str">
        <f t="shared" si="38"/>
        <v/>
      </c>
    </row>
    <row r="432" spans="2:9">
      <c r="B432" s="555" t="str">
        <f t="shared" si="33"/>
        <v/>
      </c>
      <c r="C432" s="556" t="str">
        <f t="shared" si="34"/>
        <v/>
      </c>
      <c r="D432" s="557" t="str">
        <f t="shared" si="35"/>
        <v/>
      </c>
      <c r="E432" s="560"/>
      <c r="F432" s="559"/>
      <c r="G432" s="559" t="str">
        <f t="shared" si="36"/>
        <v/>
      </c>
      <c r="H432" s="559" t="str">
        <f t="shared" si="37"/>
        <v/>
      </c>
      <c r="I432" s="559" t="str">
        <f t="shared" si="38"/>
        <v/>
      </c>
    </row>
    <row r="433" spans="2:9">
      <c r="B433" s="555" t="str">
        <f t="shared" si="33"/>
        <v/>
      </c>
      <c r="C433" s="556" t="str">
        <f t="shared" si="34"/>
        <v/>
      </c>
      <c r="D433" s="557" t="str">
        <f t="shared" si="35"/>
        <v/>
      </c>
      <c r="E433" s="560"/>
      <c r="F433" s="559"/>
      <c r="G433" s="559" t="str">
        <f t="shared" si="36"/>
        <v/>
      </c>
      <c r="H433" s="559" t="str">
        <f t="shared" si="37"/>
        <v/>
      </c>
      <c r="I433" s="559" t="str">
        <f t="shared" si="38"/>
        <v/>
      </c>
    </row>
    <row r="434" spans="2:9">
      <c r="B434" s="555" t="str">
        <f t="shared" si="33"/>
        <v/>
      </c>
      <c r="C434" s="556" t="str">
        <f t="shared" si="34"/>
        <v/>
      </c>
      <c r="D434" s="557" t="str">
        <f t="shared" si="35"/>
        <v/>
      </c>
      <c r="E434" s="560"/>
      <c r="F434" s="559"/>
      <c r="G434" s="559" t="str">
        <f t="shared" si="36"/>
        <v/>
      </c>
      <c r="H434" s="559" t="str">
        <f t="shared" si="37"/>
        <v/>
      </c>
      <c r="I434" s="559" t="str">
        <f t="shared" si="38"/>
        <v/>
      </c>
    </row>
    <row r="435" spans="2:9">
      <c r="B435" s="555" t="str">
        <f t="shared" si="33"/>
        <v/>
      </c>
      <c r="C435" s="556" t="str">
        <f t="shared" si="34"/>
        <v/>
      </c>
      <c r="D435" s="557" t="str">
        <f t="shared" si="35"/>
        <v/>
      </c>
      <c r="E435" s="560"/>
      <c r="F435" s="559"/>
      <c r="G435" s="559" t="str">
        <f t="shared" si="36"/>
        <v/>
      </c>
      <c r="H435" s="559" t="str">
        <f t="shared" si="37"/>
        <v/>
      </c>
      <c r="I435" s="559" t="str">
        <f t="shared" si="38"/>
        <v/>
      </c>
    </row>
    <row r="436" spans="2:9">
      <c r="B436" s="555" t="str">
        <f t="shared" si="33"/>
        <v/>
      </c>
      <c r="C436" s="556" t="str">
        <f t="shared" si="34"/>
        <v/>
      </c>
      <c r="D436" s="557" t="str">
        <f t="shared" si="35"/>
        <v/>
      </c>
      <c r="E436" s="560"/>
      <c r="F436" s="559"/>
      <c r="G436" s="559" t="str">
        <f t="shared" si="36"/>
        <v/>
      </c>
      <c r="H436" s="559" t="str">
        <f t="shared" si="37"/>
        <v/>
      </c>
      <c r="I436" s="559" t="str">
        <f t="shared" si="38"/>
        <v/>
      </c>
    </row>
    <row r="437" spans="2:9">
      <c r="B437" s="555" t="str">
        <f t="shared" si="33"/>
        <v/>
      </c>
      <c r="C437" s="556" t="str">
        <f t="shared" si="34"/>
        <v/>
      </c>
      <c r="D437" s="557" t="str">
        <f t="shared" si="35"/>
        <v/>
      </c>
      <c r="E437" s="560"/>
      <c r="F437" s="559"/>
      <c r="G437" s="559" t="str">
        <f t="shared" si="36"/>
        <v/>
      </c>
      <c r="H437" s="559" t="str">
        <f t="shared" si="37"/>
        <v/>
      </c>
      <c r="I437" s="559" t="str">
        <f t="shared" si="38"/>
        <v/>
      </c>
    </row>
    <row r="438" spans="2:9">
      <c r="B438" s="555" t="str">
        <f t="shared" si="33"/>
        <v/>
      </c>
      <c r="C438" s="556" t="str">
        <f t="shared" si="34"/>
        <v/>
      </c>
      <c r="D438" s="557" t="str">
        <f t="shared" si="35"/>
        <v/>
      </c>
      <c r="E438" s="560"/>
      <c r="F438" s="559"/>
      <c r="G438" s="559" t="str">
        <f t="shared" si="36"/>
        <v/>
      </c>
      <c r="H438" s="559" t="str">
        <f t="shared" si="37"/>
        <v/>
      </c>
      <c r="I438" s="559" t="str">
        <f t="shared" si="38"/>
        <v/>
      </c>
    </row>
    <row r="439" spans="2:9">
      <c r="B439" s="555" t="str">
        <f t="shared" si="33"/>
        <v/>
      </c>
      <c r="C439" s="556" t="str">
        <f t="shared" si="34"/>
        <v/>
      </c>
      <c r="D439" s="557" t="str">
        <f t="shared" si="35"/>
        <v/>
      </c>
      <c r="E439" s="560"/>
      <c r="F439" s="559"/>
      <c r="G439" s="559" t="str">
        <f t="shared" si="36"/>
        <v/>
      </c>
      <c r="H439" s="559" t="str">
        <f t="shared" si="37"/>
        <v/>
      </c>
      <c r="I439" s="559" t="str">
        <f t="shared" si="38"/>
        <v/>
      </c>
    </row>
    <row r="440" spans="2:9">
      <c r="B440" s="555" t="str">
        <f t="shared" si="33"/>
        <v/>
      </c>
      <c r="C440" s="556" t="str">
        <f t="shared" si="34"/>
        <v/>
      </c>
      <c r="D440" s="557" t="str">
        <f t="shared" si="35"/>
        <v/>
      </c>
      <c r="E440" s="560"/>
      <c r="F440" s="559"/>
      <c r="G440" s="559" t="str">
        <f t="shared" si="36"/>
        <v/>
      </c>
      <c r="H440" s="559" t="str">
        <f t="shared" si="37"/>
        <v/>
      </c>
      <c r="I440" s="559" t="str">
        <f t="shared" si="38"/>
        <v/>
      </c>
    </row>
    <row r="441" spans="2:9">
      <c r="B441" s="555" t="str">
        <f t="shared" si="33"/>
        <v/>
      </c>
      <c r="C441" s="556" t="str">
        <f t="shared" si="34"/>
        <v/>
      </c>
      <c r="D441" s="557" t="str">
        <f t="shared" si="35"/>
        <v/>
      </c>
      <c r="E441" s="560"/>
      <c r="F441" s="559"/>
      <c r="G441" s="559" t="str">
        <f t="shared" si="36"/>
        <v/>
      </c>
      <c r="H441" s="559" t="str">
        <f t="shared" si="37"/>
        <v/>
      </c>
      <c r="I441" s="559" t="str">
        <f t="shared" si="38"/>
        <v/>
      </c>
    </row>
    <row r="442" spans="2:9">
      <c r="B442" s="555" t="str">
        <f t="shared" si="33"/>
        <v/>
      </c>
      <c r="C442" s="556" t="str">
        <f t="shared" si="34"/>
        <v/>
      </c>
      <c r="D442" s="557" t="str">
        <f t="shared" si="35"/>
        <v/>
      </c>
      <c r="E442" s="560"/>
      <c r="F442" s="559"/>
      <c r="G442" s="559" t="str">
        <f t="shared" si="36"/>
        <v/>
      </c>
      <c r="H442" s="559" t="str">
        <f t="shared" si="37"/>
        <v/>
      </c>
      <c r="I442" s="559" t="str">
        <f t="shared" si="38"/>
        <v/>
      </c>
    </row>
    <row r="443" spans="2:9">
      <c r="B443" s="555" t="str">
        <f t="shared" si="33"/>
        <v/>
      </c>
      <c r="C443" s="556" t="str">
        <f t="shared" si="34"/>
        <v/>
      </c>
      <c r="D443" s="557" t="str">
        <f t="shared" si="35"/>
        <v/>
      </c>
      <c r="E443" s="560"/>
      <c r="F443" s="559"/>
      <c r="G443" s="559" t="str">
        <f t="shared" si="36"/>
        <v/>
      </c>
      <c r="H443" s="559" t="str">
        <f t="shared" si="37"/>
        <v/>
      </c>
      <c r="I443" s="559" t="str">
        <f t="shared" si="38"/>
        <v/>
      </c>
    </row>
    <row r="444" spans="2:9">
      <c r="B444" s="555" t="str">
        <f t="shared" si="33"/>
        <v/>
      </c>
      <c r="C444" s="556" t="str">
        <f t="shared" si="34"/>
        <v/>
      </c>
      <c r="D444" s="557" t="str">
        <f t="shared" si="35"/>
        <v/>
      </c>
      <c r="E444" s="560"/>
      <c r="F444" s="559"/>
      <c r="G444" s="559" t="str">
        <f t="shared" si="36"/>
        <v/>
      </c>
      <c r="H444" s="559" t="str">
        <f t="shared" si="37"/>
        <v/>
      </c>
      <c r="I444" s="559" t="str">
        <f t="shared" si="38"/>
        <v/>
      </c>
    </row>
    <row r="445" spans="2:9">
      <c r="B445" s="555" t="str">
        <f t="shared" ref="B445:B508" si="39">IF(I444="","",IF(roundOpt,IF(OR(B444&gt;=nper,ROUND(I444,2)&lt;=0),"",B444+1),IF(OR(B444&gt;=nper,I444&lt;=0),"",B444+1)))</f>
        <v/>
      </c>
      <c r="C445" s="556" t="str">
        <f t="shared" ref="C445:C508" si="40">IF(B445="","",IF(OR(periods_per_year=26,periods_per_year=52),IF(periods_per_year=26,IF(B445=1,fpdate,C444+14),IF(periods_per_year=52,IF(B445=1,fpdate,C444+7),"n/a")),IF(periods_per_year=24,DATE(YEAR(fpdate),MONTH(fpdate)+(B445-1)/2+IF(AND(DAY(fpdate)&gt;=15,MOD(B445,2)=0),1,0),IF(MOD(B445,2)=0,IF(DAY(fpdate)&gt;=15,DAY(fpdate)-14,DAY(fpdate)+14),DAY(fpdate))),IF(DAY(DATE(YEAR(fpdate),MONTH(fpdate)+(B445-1)*months_per_period,DAY(fpdate)))&lt;&gt;DAY(fpdate),DATE(YEAR(fpdate),MONTH(fpdate)+(B445-1)*months_per_period+1,0),DATE(YEAR(fpdate),MONTH(fpdate)+(B445-1)*months_per_period,DAY(fpdate))))))</f>
        <v/>
      </c>
      <c r="D445" s="557" t="str">
        <f t="shared" ref="D445:D508" si="41">IF(B445="","",IF(roundOpt,IF(OR(B445=nper,payment&gt;ROUND((1+rate)*I444,2)),ROUND((1+rate)*I444,2),payment),IF(OR(B445=nper,payment&gt;(1+rate)*I444),(1+rate)*I444,payment)))</f>
        <v/>
      </c>
      <c r="E445" s="560"/>
      <c r="F445" s="559"/>
      <c r="G445" s="559" t="str">
        <f t="shared" ref="G445:G508" si="42">IF(B445="","",IF(AND(B445=1,pmtType=1),0,IF(roundOpt,ROUND(rate*I444,2),rate*I444)))</f>
        <v/>
      </c>
      <c r="H445" s="559" t="str">
        <f t="shared" ref="H445:H508" si="43">IF(B445="","",D445-G445+E445)</f>
        <v/>
      </c>
      <c r="I445" s="559" t="str">
        <f t="shared" ref="I445:I508" si="44">IF(B445="","",I444-H445)</f>
        <v/>
      </c>
    </row>
    <row r="446" spans="2:9">
      <c r="B446" s="555" t="str">
        <f t="shared" si="39"/>
        <v/>
      </c>
      <c r="C446" s="556" t="str">
        <f t="shared" si="40"/>
        <v/>
      </c>
      <c r="D446" s="557" t="str">
        <f t="shared" si="41"/>
        <v/>
      </c>
      <c r="E446" s="560"/>
      <c r="F446" s="559"/>
      <c r="G446" s="559" t="str">
        <f t="shared" si="42"/>
        <v/>
      </c>
      <c r="H446" s="559" t="str">
        <f t="shared" si="43"/>
        <v/>
      </c>
      <c r="I446" s="559" t="str">
        <f t="shared" si="44"/>
        <v/>
      </c>
    </row>
    <row r="447" spans="2:9">
      <c r="B447" s="555" t="str">
        <f t="shared" si="39"/>
        <v/>
      </c>
      <c r="C447" s="556" t="str">
        <f t="shared" si="40"/>
        <v/>
      </c>
      <c r="D447" s="557" t="str">
        <f t="shared" si="41"/>
        <v/>
      </c>
      <c r="E447" s="560"/>
      <c r="F447" s="559"/>
      <c r="G447" s="559" t="str">
        <f t="shared" si="42"/>
        <v/>
      </c>
      <c r="H447" s="559" t="str">
        <f t="shared" si="43"/>
        <v/>
      </c>
      <c r="I447" s="559" t="str">
        <f t="shared" si="44"/>
        <v/>
      </c>
    </row>
    <row r="448" spans="2:9">
      <c r="B448" s="555" t="str">
        <f t="shared" si="39"/>
        <v/>
      </c>
      <c r="C448" s="556" t="str">
        <f t="shared" si="40"/>
        <v/>
      </c>
      <c r="D448" s="557" t="str">
        <f t="shared" si="41"/>
        <v/>
      </c>
      <c r="E448" s="560"/>
      <c r="F448" s="559"/>
      <c r="G448" s="559" t="str">
        <f t="shared" si="42"/>
        <v/>
      </c>
      <c r="H448" s="559" t="str">
        <f t="shared" si="43"/>
        <v/>
      </c>
      <c r="I448" s="559" t="str">
        <f t="shared" si="44"/>
        <v/>
      </c>
    </row>
    <row r="449" spans="2:9">
      <c r="B449" s="555" t="str">
        <f t="shared" si="39"/>
        <v/>
      </c>
      <c r="C449" s="556" t="str">
        <f t="shared" si="40"/>
        <v/>
      </c>
      <c r="D449" s="557" t="str">
        <f t="shared" si="41"/>
        <v/>
      </c>
      <c r="E449" s="560"/>
      <c r="F449" s="559"/>
      <c r="G449" s="559" t="str">
        <f t="shared" si="42"/>
        <v/>
      </c>
      <c r="H449" s="559" t="str">
        <f t="shared" si="43"/>
        <v/>
      </c>
      <c r="I449" s="559" t="str">
        <f t="shared" si="44"/>
        <v/>
      </c>
    </row>
    <row r="450" spans="2:9">
      <c r="B450" s="555" t="str">
        <f t="shared" si="39"/>
        <v/>
      </c>
      <c r="C450" s="556" t="str">
        <f t="shared" si="40"/>
        <v/>
      </c>
      <c r="D450" s="557" t="str">
        <f t="shared" si="41"/>
        <v/>
      </c>
      <c r="E450" s="560"/>
      <c r="F450" s="559"/>
      <c r="G450" s="559" t="str">
        <f t="shared" si="42"/>
        <v/>
      </c>
      <c r="H450" s="559" t="str">
        <f t="shared" si="43"/>
        <v/>
      </c>
      <c r="I450" s="559" t="str">
        <f t="shared" si="44"/>
        <v/>
      </c>
    </row>
    <row r="451" spans="2:9">
      <c r="B451" s="555" t="str">
        <f t="shared" si="39"/>
        <v/>
      </c>
      <c r="C451" s="556" t="str">
        <f t="shared" si="40"/>
        <v/>
      </c>
      <c r="D451" s="557" t="str">
        <f t="shared" si="41"/>
        <v/>
      </c>
      <c r="E451" s="560"/>
      <c r="F451" s="559"/>
      <c r="G451" s="559" t="str">
        <f t="shared" si="42"/>
        <v/>
      </c>
      <c r="H451" s="559" t="str">
        <f t="shared" si="43"/>
        <v/>
      </c>
      <c r="I451" s="559" t="str">
        <f t="shared" si="44"/>
        <v/>
      </c>
    </row>
    <row r="452" spans="2:9">
      <c r="B452" s="555" t="str">
        <f t="shared" si="39"/>
        <v/>
      </c>
      <c r="C452" s="556" t="str">
        <f t="shared" si="40"/>
        <v/>
      </c>
      <c r="D452" s="557" t="str">
        <f t="shared" si="41"/>
        <v/>
      </c>
      <c r="E452" s="560"/>
      <c r="F452" s="559"/>
      <c r="G452" s="559" t="str">
        <f t="shared" si="42"/>
        <v/>
      </c>
      <c r="H452" s="559" t="str">
        <f t="shared" si="43"/>
        <v/>
      </c>
      <c r="I452" s="559" t="str">
        <f t="shared" si="44"/>
        <v/>
      </c>
    </row>
    <row r="453" spans="2:9">
      <c r="B453" s="555" t="str">
        <f t="shared" si="39"/>
        <v/>
      </c>
      <c r="C453" s="556" t="str">
        <f t="shared" si="40"/>
        <v/>
      </c>
      <c r="D453" s="557" t="str">
        <f t="shared" si="41"/>
        <v/>
      </c>
      <c r="E453" s="560"/>
      <c r="F453" s="559"/>
      <c r="G453" s="559" t="str">
        <f t="shared" si="42"/>
        <v/>
      </c>
      <c r="H453" s="559" t="str">
        <f t="shared" si="43"/>
        <v/>
      </c>
      <c r="I453" s="559" t="str">
        <f t="shared" si="44"/>
        <v/>
      </c>
    </row>
    <row r="454" spans="2:9">
      <c r="B454" s="555" t="str">
        <f t="shared" si="39"/>
        <v/>
      </c>
      <c r="C454" s="556" t="str">
        <f t="shared" si="40"/>
        <v/>
      </c>
      <c r="D454" s="557" t="str">
        <f t="shared" si="41"/>
        <v/>
      </c>
      <c r="E454" s="560"/>
      <c r="F454" s="559"/>
      <c r="G454" s="559" t="str">
        <f t="shared" si="42"/>
        <v/>
      </c>
      <c r="H454" s="559" t="str">
        <f t="shared" si="43"/>
        <v/>
      </c>
      <c r="I454" s="559" t="str">
        <f t="shared" si="44"/>
        <v/>
      </c>
    </row>
    <row r="455" spans="2:9">
      <c r="B455" s="555" t="str">
        <f t="shared" si="39"/>
        <v/>
      </c>
      <c r="C455" s="556" t="str">
        <f t="shared" si="40"/>
        <v/>
      </c>
      <c r="D455" s="557" t="str">
        <f t="shared" si="41"/>
        <v/>
      </c>
      <c r="E455" s="560"/>
      <c r="F455" s="559"/>
      <c r="G455" s="559" t="str">
        <f t="shared" si="42"/>
        <v/>
      </c>
      <c r="H455" s="559" t="str">
        <f t="shared" si="43"/>
        <v/>
      </c>
      <c r="I455" s="559" t="str">
        <f t="shared" si="44"/>
        <v/>
      </c>
    </row>
    <row r="456" spans="2:9">
      <c r="B456" s="555" t="str">
        <f t="shared" si="39"/>
        <v/>
      </c>
      <c r="C456" s="556" t="str">
        <f t="shared" si="40"/>
        <v/>
      </c>
      <c r="D456" s="557" t="str">
        <f t="shared" si="41"/>
        <v/>
      </c>
      <c r="E456" s="560"/>
      <c r="F456" s="559"/>
      <c r="G456" s="559" t="str">
        <f t="shared" si="42"/>
        <v/>
      </c>
      <c r="H456" s="559" t="str">
        <f t="shared" si="43"/>
        <v/>
      </c>
      <c r="I456" s="559" t="str">
        <f t="shared" si="44"/>
        <v/>
      </c>
    </row>
    <row r="457" spans="2:9">
      <c r="B457" s="555" t="str">
        <f t="shared" si="39"/>
        <v/>
      </c>
      <c r="C457" s="556" t="str">
        <f t="shared" si="40"/>
        <v/>
      </c>
      <c r="D457" s="557" t="str">
        <f t="shared" si="41"/>
        <v/>
      </c>
      <c r="E457" s="560"/>
      <c r="F457" s="559"/>
      <c r="G457" s="559" t="str">
        <f t="shared" si="42"/>
        <v/>
      </c>
      <c r="H457" s="559" t="str">
        <f t="shared" si="43"/>
        <v/>
      </c>
      <c r="I457" s="559" t="str">
        <f t="shared" si="44"/>
        <v/>
      </c>
    </row>
    <row r="458" spans="2:9">
      <c r="B458" s="555" t="str">
        <f t="shared" si="39"/>
        <v/>
      </c>
      <c r="C458" s="556" t="str">
        <f t="shared" si="40"/>
        <v/>
      </c>
      <c r="D458" s="557" t="str">
        <f t="shared" si="41"/>
        <v/>
      </c>
      <c r="E458" s="560"/>
      <c r="F458" s="559"/>
      <c r="G458" s="559" t="str">
        <f t="shared" si="42"/>
        <v/>
      </c>
      <c r="H458" s="559" t="str">
        <f t="shared" si="43"/>
        <v/>
      </c>
      <c r="I458" s="559" t="str">
        <f t="shared" si="44"/>
        <v/>
      </c>
    </row>
    <row r="459" spans="2:9">
      <c r="B459" s="555" t="str">
        <f t="shared" si="39"/>
        <v/>
      </c>
      <c r="C459" s="556" t="str">
        <f t="shared" si="40"/>
        <v/>
      </c>
      <c r="D459" s="557" t="str">
        <f t="shared" si="41"/>
        <v/>
      </c>
      <c r="E459" s="560"/>
      <c r="F459" s="559"/>
      <c r="G459" s="559" t="str">
        <f t="shared" si="42"/>
        <v/>
      </c>
      <c r="H459" s="559" t="str">
        <f t="shared" si="43"/>
        <v/>
      </c>
      <c r="I459" s="559" t="str">
        <f t="shared" si="44"/>
        <v/>
      </c>
    </row>
    <row r="460" spans="2:9">
      <c r="B460" s="555" t="str">
        <f t="shared" si="39"/>
        <v/>
      </c>
      <c r="C460" s="556" t="str">
        <f t="shared" si="40"/>
        <v/>
      </c>
      <c r="D460" s="557" t="str">
        <f t="shared" si="41"/>
        <v/>
      </c>
      <c r="E460" s="560"/>
      <c r="F460" s="559"/>
      <c r="G460" s="559" t="str">
        <f t="shared" si="42"/>
        <v/>
      </c>
      <c r="H460" s="559" t="str">
        <f t="shared" si="43"/>
        <v/>
      </c>
      <c r="I460" s="559" t="str">
        <f t="shared" si="44"/>
        <v/>
      </c>
    </row>
    <row r="461" spans="2:9">
      <c r="B461" s="555" t="str">
        <f t="shared" si="39"/>
        <v/>
      </c>
      <c r="C461" s="556" t="str">
        <f t="shared" si="40"/>
        <v/>
      </c>
      <c r="D461" s="557" t="str">
        <f t="shared" si="41"/>
        <v/>
      </c>
      <c r="E461" s="560"/>
      <c r="F461" s="559"/>
      <c r="G461" s="559" t="str">
        <f t="shared" si="42"/>
        <v/>
      </c>
      <c r="H461" s="559" t="str">
        <f t="shared" si="43"/>
        <v/>
      </c>
      <c r="I461" s="559" t="str">
        <f t="shared" si="44"/>
        <v/>
      </c>
    </row>
    <row r="462" spans="2:9">
      <c r="B462" s="555" t="str">
        <f t="shared" si="39"/>
        <v/>
      </c>
      <c r="C462" s="556" t="str">
        <f t="shared" si="40"/>
        <v/>
      </c>
      <c r="D462" s="557" t="str">
        <f t="shared" si="41"/>
        <v/>
      </c>
      <c r="E462" s="560"/>
      <c r="F462" s="559"/>
      <c r="G462" s="559" t="str">
        <f t="shared" si="42"/>
        <v/>
      </c>
      <c r="H462" s="559" t="str">
        <f t="shared" si="43"/>
        <v/>
      </c>
      <c r="I462" s="559" t="str">
        <f t="shared" si="44"/>
        <v/>
      </c>
    </row>
    <row r="463" spans="2:9">
      <c r="B463" s="555" t="str">
        <f t="shared" si="39"/>
        <v/>
      </c>
      <c r="C463" s="556" t="str">
        <f t="shared" si="40"/>
        <v/>
      </c>
      <c r="D463" s="557" t="str">
        <f t="shared" si="41"/>
        <v/>
      </c>
      <c r="E463" s="560"/>
      <c r="F463" s="559"/>
      <c r="G463" s="559" t="str">
        <f t="shared" si="42"/>
        <v/>
      </c>
      <c r="H463" s="559" t="str">
        <f t="shared" si="43"/>
        <v/>
      </c>
      <c r="I463" s="559" t="str">
        <f t="shared" si="44"/>
        <v/>
      </c>
    </row>
    <row r="464" spans="2:9">
      <c r="B464" s="555" t="str">
        <f t="shared" si="39"/>
        <v/>
      </c>
      <c r="C464" s="556" t="str">
        <f t="shared" si="40"/>
        <v/>
      </c>
      <c r="D464" s="557" t="str">
        <f t="shared" si="41"/>
        <v/>
      </c>
      <c r="E464" s="560"/>
      <c r="F464" s="559"/>
      <c r="G464" s="559" t="str">
        <f t="shared" si="42"/>
        <v/>
      </c>
      <c r="H464" s="559" t="str">
        <f t="shared" si="43"/>
        <v/>
      </c>
      <c r="I464" s="559" t="str">
        <f t="shared" si="44"/>
        <v/>
      </c>
    </row>
    <row r="465" spans="2:9">
      <c r="B465" s="555" t="str">
        <f t="shared" si="39"/>
        <v/>
      </c>
      <c r="C465" s="556" t="str">
        <f t="shared" si="40"/>
        <v/>
      </c>
      <c r="D465" s="557" t="str">
        <f t="shared" si="41"/>
        <v/>
      </c>
      <c r="E465" s="560"/>
      <c r="F465" s="559"/>
      <c r="G465" s="559" t="str">
        <f t="shared" si="42"/>
        <v/>
      </c>
      <c r="H465" s="559" t="str">
        <f t="shared" si="43"/>
        <v/>
      </c>
      <c r="I465" s="559" t="str">
        <f t="shared" si="44"/>
        <v/>
      </c>
    </row>
    <row r="466" spans="2:9">
      <c r="B466" s="555" t="str">
        <f t="shared" si="39"/>
        <v/>
      </c>
      <c r="C466" s="556" t="str">
        <f t="shared" si="40"/>
        <v/>
      </c>
      <c r="D466" s="557" t="str">
        <f t="shared" si="41"/>
        <v/>
      </c>
      <c r="E466" s="560"/>
      <c r="F466" s="559"/>
      <c r="G466" s="559" t="str">
        <f t="shared" si="42"/>
        <v/>
      </c>
      <c r="H466" s="559" t="str">
        <f t="shared" si="43"/>
        <v/>
      </c>
      <c r="I466" s="559" t="str">
        <f t="shared" si="44"/>
        <v/>
      </c>
    </row>
    <row r="467" spans="2:9">
      <c r="B467" s="555" t="str">
        <f t="shared" si="39"/>
        <v/>
      </c>
      <c r="C467" s="556" t="str">
        <f t="shared" si="40"/>
        <v/>
      </c>
      <c r="D467" s="557" t="str">
        <f t="shared" si="41"/>
        <v/>
      </c>
      <c r="E467" s="560"/>
      <c r="F467" s="559"/>
      <c r="G467" s="559" t="str">
        <f t="shared" si="42"/>
        <v/>
      </c>
      <c r="H467" s="559" t="str">
        <f t="shared" si="43"/>
        <v/>
      </c>
      <c r="I467" s="559" t="str">
        <f t="shared" si="44"/>
        <v/>
      </c>
    </row>
    <row r="468" spans="2:9">
      <c r="B468" s="555" t="str">
        <f t="shared" si="39"/>
        <v/>
      </c>
      <c r="C468" s="556" t="str">
        <f t="shared" si="40"/>
        <v/>
      </c>
      <c r="D468" s="557" t="str">
        <f t="shared" si="41"/>
        <v/>
      </c>
      <c r="E468" s="560"/>
      <c r="F468" s="559"/>
      <c r="G468" s="559" t="str">
        <f t="shared" si="42"/>
        <v/>
      </c>
      <c r="H468" s="559" t="str">
        <f t="shared" si="43"/>
        <v/>
      </c>
      <c r="I468" s="559" t="str">
        <f t="shared" si="44"/>
        <v/>
      </c>
    </row>
    <row r="469" spans="2:9">
      <c r="B469" s="555" t="str">
        <f t="shared" si="39"/>
        <v/>
      </c>
      <c r="C469" s="556" t="str">
        <f t="shared" si="40"/>
        <v/>
      </c>
      <c r="D469" s="557" t="str">
        <f t="shared" si="41"/>
        <v/>
      </c>
      <c r="E469" s="560"/>
      <c r="F469" s="559"/>
      <c r="G469" s="559" t="str">
        <f t="shared" si="42"/>
        <v/>
      </c>
      <c r="H469" s="559" t="str">
        <f t="shared" si="43"/>
        <v/>
      </c>
      <c r="I469" s="559" t="str">
        <f t="shared" si="44"/>
        <v/>
      </c>
    </row>
    <row r="470" spans="2:9">
      <c r="B470" s="555" t="str">
        <f t="shared" si="39"/>
        <v/>
      </c>
      <c r="C470" s="556" t="str">
        <f t="shared" si="40"/>
        <v/>
      </c>
      <c r="D470" s="557" t="str">
        <f t="shared" si="41"/>
        <v/>
      </c>
      <c r="E470" s="560"/>
      <c r="F470" s="559"/>
      <c r="G470" s="559" t="str">
        <f t="shared" si="42"/>
        <v/>
      </c>
      <c r="H470" s="559" t="str">
        <f t="shared" si="43"/>
        <v/>
      </c>
      <c r="I470" s="559" t="str">
        <f t="shared" si="44"/>
        <v/>
      </c>
    </row>
    <row r="471" spans="2:9">
      <c r="B471" s="555" t="str">
        <f t="shared" si="39"/>
        <v/>
      </c>
      <c r="C471" s="556" t="str">
        <f t="shared" si="40"/>
        <v/>
      </c>
      <c r="D471" s="557" t="str">
        <f t="shared" si="41"/>
        <v/>
      </c>
      <c r="E471" s="560"/>
      <c r="F471" s="559"/>
      <c r="G471" s="559" t="str">
        <f t="shared" si="42"/>
        <v/>
      </c>
      <c r="H471" s="559" t="str">
        <f t="shared" si="43"/>
        <v/>
      </c>
      <c r="I471" s="559" t="str">
        <f t="shared" si="44"/>
        <v/>
      </c>
    </row>
    <row r="472" spans="2:9">
      <c r="B472" s="555" t="str">
        <f t="shared" si="39"/>
        <v/>
      </c>
      <c r="C472" s="556" t="str">
        <f t="shared" si="40"/>
        <v/>
      </c>
      <c r="D472" s="557" t="str">
        <f t="shared" si="41"/>
        <v/>
      </c>
      <c r="E472" s="560"/>
      <c r="F472" s="559"/>
      <c r="G472" s="559" t="str">
        <f t="shared" si="42"/>
        <v/>
      </c>
      <c r="H472" s="559" t="str">
        <f t="shared" si="43"/>
        <v/>
      </c>
      <c r="I472" s="559" t="str">
        <f t="shared" si="44"/>
        <v/>
      </c>
    </row>
    <row r="473" spans="2:9">
      <c r="B473" s="555" t="str">
        <f t="shared" si="39"/>
        <v/>
      </c>
      <c r="C473" s="556" t="str">
        <f t="shared" si="40"/>
        <v/>
      </c>
      <c r="D473" s="557" t="str">
        <f t="shared" si="41"/>
        <v/>
      </c>
      <c r="E473" s="560"/>
      <c r="F473" s="559"/>
      <c r="G473" s="559" t="str">
        <f t="shared" si="42"/>
        <v/>
      </c>
      <c r="H473" s="559" t="str">
        <f t="shared" si="43"/>
        <v/>
      </c>
      <c r="I473" s="559" t="str">
        <f t="shared" si="44"/>
        <v/>
      </c>
    </row>
    <row r="474" spans="2:9">
      <c r="B474" s="555" t="str">
        <f t="shared" si="39"/>
        <v/>
      </c>
      <c r="C474" s="556" t="str">
        <f t="shared" si="40"/>
        <v/>
      </c>
      <c r="D474" s="557" t="str">
        <f t="shared" si="41"/>
        <v/>
      </c>
      <c r="E474" s="560"/>
      <c r="F474" s="559"/>
      <c r="G474" s="559" t="str">
        <f t="shared" si="42"/>
        <v/>
      </c>
      <c r="H474" s="559" t="str">
        <f t="shared" si="43"/>
        <v/>
      </c>
      <c r="I474" s="559" t="str">
        <f t="shared" si="44"/>
        <v/>
      </c>
    </row>
    <row r="475" spans="2:9">
      <c r="B475" s="555" t="str">
        <f t="shared" si="39"/>
        <v/>
      </c>
      <c r="C475" s="556" t="str">
        <f t="shared" si="40"/>
        <v/>
      </c>
      <c r="D475" s="557" t="str">
        <f t="shared" si="41"/>
        <v/>
      </c>
      <c r="E475" s="560"/>
      <c r="F475" s="559"/>
      <c r="G475" s="559" t="str">
        <f t="shared" si="42"/>
        <v/>
      </c>
      <c r="H475" s="559" t="str">
        <f t="shared" si="43"/>
        <v/>
      </c>
      <c r="I475" s="559" t="str">
        <f t="shared" si="44"/>
        <v/>
      </c>
    </row>
    <row r="476" spans="2:9">
      <c r="B476" s="555" t="str">
        <f t="shared" si="39"/>
        <v/>
      </c>
      <c r="C476" s="556" t="str">
        <f t="shared" si="40"/>
        <v/>
      </c>
      <c r="D476" s="557" t="str">
        <f t="shared" si="41"/>
        <v/>
      </c>
      <c r="E476" s="560"/>
      <c r="F476" s="559"/>
      <c r="G476" s="559" t="str">
        <f t="shared" si="42"/>
        <v/>
      </c>
      <c r="H476" s="559" t="str">
        <f t="shared" si="43"/>
        <v/>
      </c>
      <c r="I476" s="559" t="str">
        <f t="shared" si="44"/>
        <v/>
      </c>
    </row>
    <row r="477" spans="2:9">
      <c r="B477" s="555" t="str">
        <f t="shared" si="39"/>
        <v/>
      </c>
      <c r="C477" s="556" t="str">
        <f t="shared" si="40"/>
        <v/>
      </c>
      <c r="D477" s="557" t="str">
        <f t="shared" si="41"/>
        <v/>
      </c>
      <c r="E477" s="560"/>
      <c r="F477" s="559"/>
      <c r="G477" s="559" t="str">
        <f t="shared" si="42"/>
        <v/>
      </c>
      <c r="H477" s="559" t="str">
        <f t="shared" si="43"/>
        <v/>
      </c>
      <c r="I477" s="559" t="str">
        <f t="shared" si="44"/>
        <v/>
      </c>
    </row>
    <row r="478" spans="2:9">
      <c r="B478" s="555" t="str">
        <f t="shared" si="39"/>
        <v/>
      </c>
      <c r="C478" s="556" t="str">
        <f t="shared" si="40"/>
        <v/>
      </c>
      <c r="D478" s="557" t="str">
        <f t="shared" si="41"/>
        <v/>
      </c>
      <c r="E478" s="560"/>
      <c r="F478" s="559"/>
      <c r="G478" s="559" t="str">
        <f t="shared" si="42"/>
        <v/>
      </c>
      <c r="H478" s="559" t="str">
        <f t="shared" si="43"/>
        <v/>
      </c>
      <c r="I478" s="559" t="str">
        <f t="shared" si="44"/>
        <v/>
      </c>
    </row>
    <row r="479" spans="2:9">
      <c r="B479" s="555" t="str">
        <f t="shared" si="39"/>
        <v/>
      </c>
      <c r="C479" s="556" t="str">
        <f t="shared" si="40"/>
        <v/>
      </c>
      <c r="D479" s="557" t="str">
        <f t="shared" si="41"/>
        <v/>
      </c>
      <c r="E479" s="560"/>
      <c r="F479" s="559"/>
      <c r="G479" s="559" t="str">
        <f t="shared" si="42"/>
        <v/>
      </c>
      <c r="H479" s="559" t="str">
        <f t="shared" si="43"/>
        <v/>
      </c>
      <c r="I479" s="559" t="str">
        <f t="shared" si="44"/>
        <v/>
      </c>
    </row>
    <row r="480" spans="2:9">
      <c r="B480" s="555" t="str">
        <f t="shared" si="39"/>
        <v/>
      </c>
      <c r="C480" s="556" t="str">
        <f t="shared" si="40"/>
        <v/>
      </c>
      <c r="D480" s="557" t="str">
        <f t="shared" si="41"/>
        <v/>
      </c>
      <c r="E480" s="560"/>
      <c r="F480" s="559"/>
      <c r="G480" s="559" t="str">
        <f t="shared" si="42"/>
        <v/>
      </c>
      <c r="H480" s="559" t="str">
        <f t="shared" si="43"/>
        <v/>
      </c>
      <c r="I480" s="559" t="str">
        <f t="shared" si="44"/>
        <v/>
      </c>
    </row>
    <row r="481" spans="2:9">
      <c r="B481" s="555" t="str">
        <f t="shared" si="39"/>
        <v/>
      </c>
      <c r="C481" s="556" t="str">
        <f t="shared" si="40"/>
        <v/>
      </c>
      <c r="D481" s="557" t="str">
        <f t="shared" si="41"/>
        <v/>
      </c>
      <c r="E481" s="560"/>
      <c r="F481" s="559"/>
      <c r="G481" s="559" t="str">
        <f t="shared" si="42"/>
        <v/>
      </c>
      <c r="H481" s="559" t="str">
        <f t="shared" si="43"/>
        <v/>
      </c>
      <c r="I481" s="559" t="str">
        <f t="shared" si="44"/>
        <v/>
      </c>
    </row>
    <row r="482" spans="2:9">
      <c r="B482" s="555" t="str">
        <f t="shared" si="39"/>
        <v/>
      </c>
      <c r="C482" s="556" t="str">
        <f t="shared" si="40"/>
        <v/>
      </c>
      <c r="D482" s="557" t="str">
        <f t="shared" si="41"/>
        <v/>
      </c>
      <c r="E482" s="560"/>
      <c r="F482" s="559"/>
      <c r="G482" s="559" t="str">
        <f t="shared" si="42"/>
        <v/>
      </c>
      <c r="H482" s="559" t="str">
        <f t="shared" si="43"/>
        <v/>
      </c>
      <c r="I482" s="559" t="str">
        <f t="shared" si="44"/>
        <v/>
      </c>
    </row>
    <row r="483" spans="2:9">
      <c r="B483" s="555" t="str">
        <f t="shared" si="39"/>
        <v/>
      </c>
      <c r="C483" s="556" t="str">
        <f t="shared" si="40"/>
        <v/>
      </c>
      <c r="D483" s="557" t="str">
        <f t="shared" si="41"/>
        <v/>
      </c>
      <c r="E483" s="560"/>
      <c r="F483" s="559"/>
      <c r="G483" s="559" t="str">
        <f t="shared" si="42"/>
        <v/>
      </c>
      <c r="H483" s="559" t="str">
        <f t="shared" si="43"/>
        <v/>
      </c>
      <c r="I483" s="559" t="str">
        <f t="shared" si="44"/>
        <v/>
      </c>
    </row>
    <row r="484" spans="2:9">
      <c r="B484" s="555" t="str">
        <f t="shared" si="39"/>
        <v/>
      </c>
      <c r="C484" s="556" t="str">
        <f t="shared" si="40"/>
        <v/>
      </c>
      <c r="D484" s="557" t="str">
        <f t="shared" si="41"/>
        <v/>
      </c>
      <c r="E484" s="560"/>
      <c r="F484" s="559"/>
      <c r="G484" s="559" t="str">
        <f t="shared" si="42"/>
        <v/>
      </c>
      <c r="H484" s="559" t="str">
        <f t="shared" si="43"/>
        <v/>
      </c>
      <c r="I484" s="559" t="str">
        <f t="shared" si="44"/>
        <v/>
      </c>
    </row>
    <row r="485" spans="2:9">
      <c r="B485" s="555" t="str">
        <f t="shared" si="39"/>
        <v/>
      </c>
      <c r="C485" s="556" t="str">
        <f t="shared" si="40"/>
        <v/>
      </c>
      <c r="D485" s="557" t="str">
        <f t="shared" si="41"/>
        <v/>
      </c>
      <c r="E485" s="560"/>
      <c r="F485" s="559"/>
      <c r="G485" s="559" t="str">
        <f t="shared" si="42"/>
        <v/>
      </c>
      <c r="H485" s="559" t="str">
        <f t="shared" si="43"/>
        <v/>
      </c>
      <c r="I485" s="559" t="str">
        <f t="shared" si="44"/>
        <v/>
      </c>
    </row>
    <row r="486" spans="2:9">
      <c r="B486" s="555" t="str">
        <f t="shared" si="39"/>
        <v/>
      </c>
      <c r="C486" s="556" t="str">
        <f t="shared" si="40"/>
        <v/>
      </c>
      <c r="D486" s="557" t="str">
        <f t="shared" si="41"/>
        <v/>
      </c>
      <c r="E486" s="560"/>
      <c r="F486" s="559"/>
      <c r="G486" s="559" t="str">
        <f t="shared" si="42"/>
        <v/>
      </c>
      <c r="H486" s="559" t="str">
        <f t="shared" si="43"/>
        <v/>
      </c>
      <c r="I486" s="559" t="str">
        <f t="shared" si="44"/>
        <v/>
      </c>
    </row>
    <row r="487" spans="2:9">
      <c r="B487" s="555" t="str">
        <f t="shared" si="39"/>
        <v/>
      </c>
      <c r="C487" s="556" t="str">
        <f t="shared" si="40"/>
        <v/>
      </c>
      <c r="D487" s="557" t="str">
        <f t="shared" si="41"/>
        <v/>
      </c>
      <c r="E487" s="560"/>
      <c r="F487" s="559"/>
      <c r="G487" s="559" t="str">
        <f t="shared" si="42"/>
        <v/>
      </c>
      <c r="H487" s="559" t="str">
        <f t="shared" si="43"/>
        <v/>
      </c>
      <c r="I487" s="559" t="str">
        <f t="shared" si="44"/>
        <v/>
      </c>
    </row>
    <row r="488" spans="2:9">
      <c r="B488" s="555" t="str">
        <f t="shared" si="39"/>
        <v/>
      </c>
      <c r="C488" s="556" t="str">
        <f t="shared" si="40"/>
        <v/>
      </c>
      <c r="D488" s="557" t="str">
        <f t="shared" si="41"/>
        <v/>
      </c>
      <c r="E488" s="560"/>
      <c r="F488" s="559"/>
      <c r="G488" s="559" t="str">
        <f t="shared" si="42"/>
        <v/>
      </c>
      <c r="H488" s="559" t="str">
        <f t="shared" si="43"/>
        <v/>
      </c>
      <c r="I488" s="559" t="str">
        <f t="shared" si="44"/>
        <v/>
      </c>
    </row>
    <row r="489" spans="2:9">
      <c r="B489" s="555" t="str">
        <f t="shared" si="39"/>
        <v/>
      </c>
      <c r="C489" s="556" t="str">
        <f t="shared" si="40"/>
        <v/>
      </c>
      <c r="D489" s="557" t="str">
        <f t="shared" si="41"/>
        <v/>
      </c>
      <c r="E489" s="560"/>
      <c r="F489" s="559"/>
      <c r="G489" s="559" t="str">
        <f t="shared" si="42"/>
        <v/>
      </c>
      <c r="H489" s="559" t="str">
        <f t="shared" si="43"/>
        <v/>
      </c>
      <c r="I489" s="559" t="str">
        <f t="shared" si="44"/>
        <v/>
      </c>
    </row>
    <row r="490" spans="2:9">
      <c r="B490" s="555" t="str">
        <f t="shared" si="39"/>
        <v/>
      </c>
      <c r="C490" s="556" t="str">
        <f t="shared" si="40"/>
        <v/>
      </c>
      <c r="D490" s="557" t="str">
        <f t="shared" si="41"/>
        <v/>
      </c>
      <c r="E490" s="560"/>
      <c r="F490" s="559"/>
      <c r="G490" s="559" t="str">
        <f t="shared" si="42"/>
        <v/>
      </c>
      <c r="H490" s="559" t="str">
        <f t="shared" si="43"/>
        <v/>
      </c>
      <c r="I490" s="559" t="str">
        <f t="shared" si="44"/>
        <v/>
      </c>
    </row>
    <row r="491" spans="2:9">
      <c r="B491" s="555" t="str">
        <f t="shared" si="39"/>
        <v/>
      </c>
      <c r="C491" s="556" t="str">
        <f t="shared" si="40"/>
        <v/>
      </c>
      <c r="D491" s="557" t="str">
        <f t="shared" si="41"/>
        <v/>
      </c>
      <c r="E491" s="560"/>
      <c r="F491" s="559"/>
      <c r="G491" s="559" t="str">
        <f t="shared" si="42"/>
        <v/>
      </c>
      <c r="H491" s="559" t="str">
        <f t="shared" si="43"/>
        <v/>
      </c>
      <c r="I491" s="559" t="str">
        <f t="shared" si="44"/>
        <v/>
      </c>
    </row>
    <row r="492" spans="2:9">
      <c r="B492" s="555" t="str">
        <f t="shared" si="39"/>
        <v/>
      </c>
      <c r="C492" s="556" t="str">
        <f t="shared" si="40"/>
        <v/>
      </c>
      <c r="D492" s="557" t="str">
        <f t="shared" si="41"/>
        <v/>
      </c>
      <c r="E492" s="560"/>
      <c r="F492" s="559"/>
      <c r="G492" s="559" t="str">
        <f t="shared" si="42"/>
        <v/>
      </c>
      <c r="H492" s="559" t="str">
        <f t="shared" si="43"/>
        <v/>
      </c>
      <c r="I492" s="559" t="str">
        <f t="shared" si="44"/>
        <v/>
      </c>
    </row>
    <row r="493" spans="2:9">
      <c r="B493" s="555" t="str">
        <f t="shared" si="39"/>
        <v/>
      </c>
      <c r="C493" s="556" t="str">
        <f t="shared" si="40"/>
        <v/>
      </c>
      <c r="D493" s="557" t="str">
        <f t="shared" si="41"/>
        <v/>
      </c>
      <c r="E493" s="560"/>
      <c r="F493" s="559"/>
      <c r="G493" s="559" t="str">
        <f t="shared" si="42"/>
        <v/>
      </c>
      <c r="H493" s="559" t="str">
        <f t="shared" si="43"/>
        <v/>
      </c>
      <c r="I493" s="559" t="str">
        <f t="shared" si="44"/>
        <v/>
      </c>
    </row>
    <row r="494" spans="2:9">
      <c r="B494" s="555" t="str">
        <f t="shared" si="39"/>
        <v/>
      </c>
      <c r="C494" s="556" t="str">
        <f t="shared" si="40"/>
        <v/>
      </c>
      <c r="D494" s="557" t="str">
        <f t="shared" si="41"/>
        <v/>
      </c>
      <c r="E494" s="560"/>
      <c r="F494" s="559"/>
      <c r="G494" s="559" t="str">
        <f t="shared" si="42"/>
        <v/>
      </c>
      <c r="H494" s="559" t="str">
        <f t="shared" si="43"/>
        <v/>
      </c>
      <c r="I494" s="559" t="str">
        <f t="shared" si="44"/>
        <v/>
      </c>
    </row>
    <row r="495" spans="2:9">
      <c r="B495" s="555" t="str">
        <f t="shared" si="39"/>
        <v/>
      </c>
      <c r="C495" s="556" t="str">
        <f t="shared" si="40"/>
        <v/>
      </c>
      <c r="D495" s="557" t="str">
        <f t="shared" si="41"/>
        <v/>
      </c>
      <c r="E495" s="560"/>
      <c r="F495" s="559"/>
      <c r="G495" s="559" t="str">
        <f t="shared" si="42"/>
        <v/>
      </c>
      <c r="H495" s="559" t="str">
        <f t="shared" si="43"/>
        <v/>
      </c>
      <c r="I495" s="559" t="str">
        <f t="shared" si="44"/>
        <v/>
      </c>
    </row>
    <row r="496" spans="2:9">
      <c r="B496" s="555" t="str">
        <f t="shared" si="39"/>
        <v/>
      </c>
      <c r="C496" s="556" t="str">
        <f t="shared" si="40"/>
        <v/>
      </c>
      <c r="D496" s="557" t="str">
        <f t="shared" si="41"/>
        <v/>
      </c>
      <c r="E496" s="560"/>
      <c r="F496" s="559"/>
      <c r="G496" s="559" t="str">
        <f t="shared" si="42"/>
        <v/>
      </c>
      <c r="H496" s="559" t="str">
        <f t="shared" si="43"/>
        <v/>
      </c>
      <c r="I496" s="559" t="str">
        <f t="shared" si="44"/>
        <v/>
      </c>
    </row>
    <row r="497" spans="2:9">
      <c r="B497" s="555" t="str">
        <f t="shared" si="39"/>
        <v/>
      </c>
      <c r="C497" s="556" t="str">
        <f t="shared" si="40"/>
        <v/>
      </c>
      <c r="D497" s="557" t="str">
        <f t="shared" si="41"/>
        <v/>
      </c>
      <c r="E497" s="560"/>
      <c r="F497" s="559"/>
      <c r="G497" s="559" t="str">
        <f t="shared" si="42"/>
        <v/>
      </c>
      <c r="H497" s="559" t="str">
        <f t="shared" si="43"/>
        <v/>
      </c>
      <c r="I497" s="559" t="str">
        <f t="shared" si="44"/>
        <v/>
      </c>
    </row>
    <row r="498" spans="2:9">
      <c r="B498" s="555" t="str">
        <f t="shared" si="39"/>
        <v/>
      </c>
      <c r="C498" s="556" t="str">
        <f t="shared" si="40"/>
        <v/>
      </c>
      <c r="D498" s="557" t="str">
        <f t="shared" si="41"/>
        <v/>
      </c>
      <c r="E498" s="560"/>
      <c r="F498" s="559"/>
      <c r="G498" s="559" t="str">
        <f t="shared" si="42"/>
        <v/>
      </c>
      <c r="H498" s="559" t="str">
        <f t="shared" si="43"/>
        <v/>
      </c>
      <c r="I498" s="559" t="str">
        <f t="shared" si="44"/>
        <v/>
      </c>
    </row>
    <row r="499" spans="2:9">
      <c r="B499" s="555" t="str">
        <f t="shared" si="39"/>
        <v/>
      </c>
      <c r="C499" s="556" t="str">
        <f t="shared" si="40"/>
        <v/>
      </c>
      <c r="D499" s="557" t="str">
        <f t="shared" si="41"/>
        <v/>
      </c>
      <c r="E499" s="560"/>
      <c r="F499" s="559"/>
      <c r="G499" s="559" t="str">
        <f t="shared" si="42"/>
        <v/>
      </c>
      <c r="H499" s="559" t="str">
        <f t="shared" si="43"/>
        <v/>
      </c>
      <c r="I499" s="559" t="str">
        <f t="shared" si="44"/>
        <v/>
      </c>
    </row>
    <row r="500" spans="2:9">
      <c r="B500" s="555" t="str">
        <f t="shared" si="39"/>
        <v/>
      </c>
      <c r="C500" s="556" t="str">
        <f t="shared" si="40"/>
        <v/>
      </c>
      <c r="D500" s="557" t="str">
        <f t="shared" si="41"/>
        <v/>
      </c>
      <c r="E500" s="560"/>
      <c r="F500" s="559"/>
      <c r="G500" s="559" t="str">
        <f t="shared" si="42"/>
        <v/>
      </c>
      <c r="H500" s="559" t="str">
        <f t="shared" si="43"/>
        <v/>
      </c>
      <c r="I500" s="559" t="str">
        <f t="shared" si="44"/>
        <v/>
      </c>
    </row>
    <row r="501" spans="2:9">
      <c r="B501" s="555" t="str">
        <f t="shared" si="39"/>
        <v/>
      </c>
      <c r="C501" s="556" t="str">
        <f t="shared" si="40"/>
        <v/>
      </c>
      <c r="D501" s="557" t="str">
        <f t="shared" si="41"/>
        <v/>
      </c>
      <c r="E501" s="560"/>
      <c r="F501" s="559"/>
      <c r="G501" s="559" t="str">
        <f t="shared" si="42"/>
        <v/>
      </c>
      <c r="H501" s="559" t="str">
        <f t="shared" si="43"/>
        <v/>
      </c>
      <c r="I501" s="559" t="str">
        <f t="shared" si="44"/>
        <v/>
      </c>
    </row>
    <row r="502" spans="2:9">
      <c r="B502" s="555" t="str">
        <f t="shared" si="39"/>
        <v/>
      </c>
      <c r="C502" s="556" t="str">
        <f t="shared" si="40"/>
        <v/>
      </c>
      <c r="D502" s="557" t="str">
        <f t="shared" si="41"/>
        <v/>
      </c>
      <c r="E502" s="560"/>
      <c r="F502" s="559"/>
      <c r="G502" s="559" t="str">
        <f t="shared" si="42"/>
        <v/>
      </c>
      <c r="H502" s="559" t="str">
        <f t="shared" si="43"/>
        <v/>
      </c>
      <c r="I502" s="559" t="str">
        <f t="shared" si="44"/>
        <v/>
      </c>
    </row>
    <row r="503" spans="2:9">
      <c r="B503" s="555" t="str">
        <f t="shared" si="39"/>
        <v/>
      </c>
      <c r="C503" s="556" t="str">
        <f t="shared" si="40"/>
        <v/>
      </c>
      <c r="D503" s="557" t="str">
        <f t="shared" si="41"/>
        <v/>
      </c>
      <c r="E503" s="560"/>
      <c r="F503" s="559"/>
      <c r="G503" s="559" t="str">
        <f t="shared" si="42"/>
        <v/>
      </c>
      <c r="H503" s="559" t="str">
        <f t="shared" si="43"/>
        <v/>
      </c>
      <c r="I503" s="559" t="str">
        <f t="shared" si="44"/>
        <v/>
      </c>
    </row>
    <row r="504" spans="2:9">
      <c r="B504" s="555" t="str">
        <f t="shared" si="39"/>
        <v/>
      </c>
      <c r="C504" s="556" t="str">
        <f t="shared" si="40"/>
        <v/>
      </c>
      <c r="D504" s="557" t="str">
        <f t="shared" si="41"/>
        <v/>
      </c>
      <c r="E504" s="560"/>
      <c r="F504" s="559"/>
      <c r="G504" s="559" t="str">
        <f t="shared" si="42"/>
        <v/>
      </c>
      <c r="H504" s="559" t="str">
        <f t="shared" si="43"/>
        <v/>
      </c>
      <c r="I504" s="559" t="str">
        <f t="shared" si="44"/>
        <v/>
      </c>
    </row>
    <row r="505" spans="2:9">
      <c r="B505" s="555" t="str">
        <f t="shared" si="39"/>
        <v/>
      </c>
      <c r="C505" s="556" t="str">
        <f t="shared" si="40"/>
        <v/>
      </c>
      <c r="D505" s="557" t="str">
        <f t="shared" si="41"/>
        <v/>
      </c>
      <c r="E505" s="560"/>
      <c r="F505" s="559"/>
      <c r="G505" s="559" t="str">
        <f t="shared" si="42"/>
        <v/>
      </c>
      <c r="H505" s="559" t="str">
        <f t="shared" si="43"/>
        <v/>
      </c>
      <c r="I505" s="559" t="str">
        <f t="shared" si="44"/>
        <v/>
      </c>
    </row>
    <row r="506" spans="2:9">
      <c r="B506" s="555" t="str">
        <f t="shared" si="39"/>
        <v/>
      </c>
      <c r="C506" s="556" t="str">
        <f t="shared" si="40"/>
        <v/>
      </c>
      <c r="D506" s="557" t="str">
        <f t="shared" si="41"/>
        <v/>
      </c>
      <c r="E506" s="560"/>
      <c r="F506" s="559"/>
      <c r="G506" s="559" t="str">
        <f t="shared" si="42"/>
        <v/>
      </c>
      <c r="H506" s="559" t="str">
        <f t="shared" si="43"/>
        <v/>
      </c>
      <c r="I506" s="559" t="str">
        <f t="shared" si="44"/>
        <v/>
      </c>
    </row>
    <row r="507" spans="2:9">
      <c r="B507" s="555" t="str">
        <f t="shared" si="39"/>
        <v/>
      </c>
      <c r="C507" s="556" t="str">
        <f t="shared" si="40"/>
        <v/>
      </c>
      <c r="D507" s="557" t="str">
        <f t="shared" si="41"/>
        <v/>
      </c>
      <c r="E507" s="560"/>
      <c r="F507" s="559"/>
      <c r="G507" s="559" t="str">
        <f t="shared" si="42"/>
        <v/>
      </c>
      <c r="H507" s="559" t="str">
        <f t="shared" si="43"/>
        <v/>
      </c>
      <c r="I507" s="559" t="str">
        <f t="shared" si="44"/>
        <v/>
      </c>
    </row>
    <row r="508" spans="2:9">
      <c r="B508" s="555" t="str">
        <f t="shared" si="39"/>
        <v/>
      </c>
      <c r="C508" s="556" t="str">
        <f t="shared" si="40"/>
        <v/>
      </c>
      <c r="D508" s="557" t="str">
        <f t="shared" si="41"/>
        <v/>
      </c>
      <c r="E508" s="560"/>
      <c r="F508" s="559"/>
      <c r="G508" s="559" t="str">
        <f t="shared" si="42"/>
        <v/>
      </c>
      <c r="H508" s="559" t="str">
        <f t="shared" si="43"/>
        <v/>
      </c>
      <c r="I508" s="559" t="str">
        <f t="shared" si="44"/>
        <v/>
      </c>
    </row>
    <row r="509" spans="2:9">
      <c r="B509" s="555" t="str">
        <f t="shared" ref="B509:B572" si="45">IF(I508="","",IF(roundOpt,IF(OR(B508&gt;=nper,ROUND(I508,2)&lt;=0),"",B508+1),IF(OR(B508&gt;=nper,I508&lt;=0),"",B508+1)))</f>
        <v/>
      </c>
      <c r="C509" s="556" t="str">
        <f t="shared" ref="C509:C572" si="46">IF(B509="","",IF(OR(periods_per_year=26,periods_per_year=52),IF(periods_per_year=26,IF(B509=1,fpdate,C508+14),IF(periods_per_year=52,IF(B509=1,fpdate,C508+7),"n/a")),IF(periods_per_year=24,DATE(YEAR(fpdate),MONTH(fpdate)+(B509-1)/2+IF(AND(DAY(fpdate)&gt;=15,MOD(B509,2)=0),1,0),IF(MOD(B509,2)=0,IF(DAY(fpdate)&gt;=15,DAY(fpdate)-14,DAY(fpdate)+14),DAY(fpdate))),IF(DAY(DATE(YEAR(fpdate),MONTH(fpdate)+(B509-1)*months_per_period,DAY(fpdate)))&lt;&gt;DAY(fpdate),DATE(YEAR(fpdate),MONTH(fpdate)+(B509-1)*months_per_period+1,0),DATE(YEAR(fpdate),MONTH(fpdate)+(B509-1)*months_per_period,DAY(fpdate))))))</f>
        <v/>
      </c>
      <c r="D509" s="557" t="str">
        <f t="shared" ref="D509:D572" si="47">IF(B509="","",IF(roundOpt,IF(OR(B509=nper,payment&gt;ROUND((1+rate)*I508,2)),ROUND((1+rate)*I508,2),payment),IF(OR(B509=nper,payment&gt;(1+rate)*I508),(1+rate)*I508,payment)))</f>
        <v/>
      </c>
      <c r="E509" s="560"/>
      <c r="F509" s="559"/>
      <c r="G509" s="559" t="str">
        <f t="shared" ref="G509:G572" si="48">IF(B509="","",IF(AND(B509=1,pmtType=1),0,IF(roundOpt,ROUND(rate*I508,2),rate*I508)))</f>
        <v/>
      </c>
      <c r="H509" s="559" t="str">
        <f t="shared" ref="H509:H572" si="49">IF(B509="","",D509-G509+E509)</f>
        <v/>
      </c>
      <c r="I509" s="559" t="str">
        <f t="shared" ref="I509:I572" si="50">IF(B509="","",I508-H509)</f>
        <v/>
      </c>
    </row>
    <row r="510" spans="2:9">
      <c r="B510" s="555" t="str">
        <f t="shared" si="45"/>
        <v/>
      </c>
      <c r="C510" s="556" t="str">
        <f t="shared" si="46"/>
        <v/>
      </c>
      <c r="D510" s="557" t="str">
        <f t="shared" si="47"/>
        <v/>
      </c>
      <c r="E510" s="560"/>
      <c r="F510" s="559"/>
      <c r="G510" s="559" t="str">
        <f t="shared" si="48"/>
        <v/>
      </c>
      <c r="H510" s="559" t="str">
        <f t="shared" si="49"/>
        <v/>
      </c>
      <c r="I510" s="559" t="str">
        <f t="shared" si="50"/>
        <v/>
      </c>
    </row>
    <row r="511" spans="2:9">
      <c r="B511" s="555" t="str">
        <f t="shared" si="45"/>
        <v/>
      </c>
      <c r="C511" s="556" t="str">
        <f t="shared" si="46"/>
        <v/>
      </c>
      <c r="D511" s="557" t="str">
        <f t="shared" si="47"/>
        <v/>
      </c>
      <c r="E511" s="560"/>
      <c r="F511" s="559"/>
      <c r="G511" s="559" t="str">
        <f t="shared" si="48"/>
        <v/>
      </c>
      <c r="H511" s="559" t="str">
        <f t="shared" si="49"/>
        <v/>
      </c>
      <c r="I511" s="559" t="str">
        <f t="shared" si="50"/>
        <v/>
      </c>
    </row>
    <row r="512" spans="2:9">
      <c r="B512" s="555" t="str">
        <f t="shared" si="45"/>
        <v/>
      </c>
      <c r="C512" s="556" t="str">
        <f t="shared" si="46"/>
        <v/>
      </c>
      <c r="D512" s="557" t="str">
        <f t="shared" si="47"/>
        <v/>
      </c>
      <c r="E512" s="560"/>
      <c r="F512" s="559"/>
      <c r="G512" s="559" t="str">
        <f t="shared" si="48"/>
        <v/>
      </c>
      <c r="H512" s="559" t="str">
        <f t="shared" si="49"/>
        <v/>
      </c>
      <c r="I512" s="559" t="str">
        <f t="shared" si="50"/>
        <v/>
      </c>
    </row>
    <row r="513" spans="2:9">
      <c r="B513" s="555" t="str">
        <f t="shared" si="45"/>
        <v/>
      </c>
      <c r="C513" s="556" t="str">
        <f t="shared" si="46"/>
        <v/>
      </c>
      <c r="D513" s="557" t="str">
        <f t="shared" si="47"/>
        <v/>
      </c>
      <c r="E513" s="560"/>
      <c r="F513" s="559"/>
      <c r="G513" s="559" t="str">
        <f t="shared" si="48"/>
        <v/>
      </c>
      <c r="H513" s="559" t="str">
        <f t="shared" si="49"/>
        <v/>
      </c>
      <c r="I513" s="559" t="str">
        <f t="shared" si="50"/>
        <v/>
      </c>
    </row>
    <row r="514" spans="2:9">
      <c r="B514" s="555" t="str">
        <f t="shared" si="45"/>
        <v/>
      </c>
      <c r="C514" s="556" t="str">
        <f t="shared" si="46"/>
        <v/>
      </c>
      <c r="D514" s="557" t="str">
        <f t="shared" si="47"/>
        <v/>
      </c>
      <c r="E514" s="560"/>
      <c r="F514" s="559"/>
      <c r="G514" s="559" t="str">
        <f t="shared" si="48"/>
        <v/>
      </c>
      <c r="H514" s="559" t="str">
        <f t="shared" si="49"/>
        <v/>
      </c>
      <c r="I514" s="559" t="str">
        <f t="shared" si="50"/>
        <v/>
      </c>
    </row>
    <row r="515" spans="2:9">
      <c r="B515" s="555" t="str">
        <f t="shared" si="45"/>
        <v/>
      </c>
      <c r="C515" s="556" t="str">
        <f t="shared" si="46"/>
        <v/>
      </c>
      <c r="D515" s="557" t="str">
        <f t="shared" si="47"/>
        <v/>
      </c>
      <c r="E515" s="560"/>
      <c r="F515" s="559"/>
      <c r="G515" s="559" t="str">
        <f t="shared" si="48"/>
        <v/>
      </c>
      <c r="H515" s="559" t="str">
        <f t="shared" si="49"/>
        <v/>
      </c>
      <c r="I515" s="559" t="str">
        <f t="shared" si="50"/>
        <v/>
      </c>
    </row>
    <row r="516" spans="2:9">
      <c r="B516" s="555" t="str">
        <f t="shared" si="45"/>
        <v/>
      </c>
      <c r="C516" s="556" t="str">
        <f t="shared" si="46"/>
        <v/>
      </c>
      <c r="D516" s="557" t="str">
        <f t="shared" si="47"/>
        <v/>
      </c>
      <c r="E516" s="560"/>
      <c r="F516" s="559"/>
      <c r="G516" s="559" t="str">
        <f t="shared" si="48"/>
        <v/>
      </c>
      <c r="H516" s="559" t="str">
        <f t="shared" si="49"/>
        <v/>
      </c>
      <c r="I516" s="559" t="str">
        <f t="shared" si="50"/>
        <v/>
      </c>
    </row>
    <row r="517" spans="2:9">
      <c r="B517" s="555" t="str">
        <f t="shared" si="45"/>
        <v/>
      </c>
      <c r="C517" s="556" t="str">
        <f t="shared" si="46"/>
        <v/>
      </c>
      <c r="D517" s="557" t="str">
        <f t="shared" si="47"/>
        <v/>
      </c>
      <c r="E517" s="560"/>
      <c r="F517" s="559"/>
      <c r="G517" s="559" t="str">
        <f t="shared" si="48"/>
        <v/>
      </c>
      <c r="H517" s="559" t="str">
        <f t="shared" si="49"/>
        <v/>
      </c>
      <c r="I517" s="559" t="str">
        <f t="shared" si="50"/>
        <v/>
      </c>
    </row>
    <row r="518" spans="2:9">
      <c r="B518" s="555" t="str">
        <f t="shared" si="45"/>
        <v/>
      </c>
      <c r="C518" s="556" t="str">
        <f t="shared" si="46"/>
        <v/>
      </c>
      <c r="D518" s="557" t="str">
        <f t="shared" si="47"/>
        <v/>
      </c>
      <c r="E518" s="560"/>
      <c r="F518" s="559"/>
      <c r="G518" s="559" t="str">
        <f t="shared" si="48"/>
        <v/>
      </c>
      <c r="H518" s="559" t="str">
        <f t="shared" si="49"/>
        <v/>
      </c>
      <c r="I518" s="559" t="str">
        <f t="shared" si="50"/>
        <v/>
      </c>
    </row>
    <row r="519" spans="2:9">
      <c r="B519" s="555" t="str">
        <f t="shared" si="45"/>
        <v/>
      </c>
      <c r="C519" s="556" t="str">
        <f t="shared" si="46"/>
        <v/>
      </c>
      <c r="D519" s="557" t="str">
        <f t="shared" si="47"/>
        <v/>
      </c>
      <c r="E519" s="560"/>
      <c r="F519" s="559"/>
      <c r="G519" s="559" t="str">
        <f t="shared" si="48"/>
        <v/>
      </c>
      <c r="H519" s="559" t="str">
        <f t="shared" si="49"/>
        <v/>
      </c>
      <c r="I519" s="559" t="str">
        <f t="shared" si="50"/>
        <v/>
      </c>
    </row>
    <row r="520" spans="2:9">
      <c r="B520" s="555" t="str">
        <f t="shared" si="45"/>
        <v/>
      </c>
      <c r="C520" s="556" t="str">
        <f t="shared" si="46"/>
        <v/>
      </c>
      <c r="D520" s="557" t="str">
        <f t="shared" si="47"/>
        <v/>
      </c>
      <c r="E520" s="560"/>
      <c r="F520" s="559"/>
      <c r="G520" s="559" t="str">
        <f t="shared" si="48"/>
        <v/>
      </c>
      <c r="H520" s="559" t="str">
        <f t="shared" si="49"/>
        <v/>
      </c>
      <c r="I520" s="559" t="str">
        <f t="shared" si="50"/>
        <v/>
      </c>
    </row>
    <row r="521" spans="2:9">
      <c r="B521" s="555" t="str">
        <f t="shared" si="45"/>
        <v/>
      </c>
      <c r="C521" s="556" t="str">
        <f t="shared" si="46"/>
        <v/>
      </c>
      <c r="D521" s="557" t="str">
        <f t="shared" si="47"/>
        <v/>
      </c>
      <c r="E521" s="560"/>
      <c r="F521" s="559"/>
      <c r="G521" s="559" t="str">
        <f t="shared" si="48"/>
        <v/>
      </c>
      <c r="H521" s="559" t="str">
        <f t="shared" si="49"/>
        <v/>
      </c>
      <c r="I521" s="559" t="str">
        <f t="shared" si="50"/>
        <v/>
      </c>
    </row>
    <row r="522" spans="2:9">
      <c r="B522" s="555" t="str">
        <f t="shared" si="45"/>
        <v/>
      </c>
      <c r="C522" s="556" t="str">
        <f t="shared" si="46"/>
        <v/>
      </c>
      <c r="D522" s="557" t="str">
        <f t="shared" si="47"/>
        <v/>
      </c>
      <c r="E522" s="560"/>
      <c r="F522" s="559"/>
      <c r="G522" s="559" t="str">
        <f t="shared" si="48"/>
        <v/>
      </c>
      <c r="H522" s="559" t="str">
        <f t="shared" si="49"/>
        <v/>
      </c>
      <c r="I522" s="559" t="str">
        <f t="shared" si="50"/>
        <v/>
      </c>
    </row>
    <row r="523" spans="2:9">
      <c r="B523" s="555" t="str">
        <f t="shared" si="45"/>
        <v/>
      </c>
      <c r="C523" s="556" t="str">
        <f t="shared" si="46"/>
        <v/>
      </c>
      <c r="D523" s="557" t="str">
        <f t="shared" si="47"/>
        <v/>
      </c>
      <c r="E523" s="560"/>
      <c r="F523" s="559"/>
      <c r="G523" s="559" t="str">
        <f t="shared" si="48"/>
        <v/>
      </c>
      <c r="H523" s="559" t="str">
        <f t="shared" si="49"/>
        <v/>
      </c>
      <c r="I523" s="559" t="str">
        <f t="shared" si="50"/>
        <v/>
      </c>
    </row>
    <row r="524" spans="2:9">
      <c r="B524" s="555" t="str">
        <f t="shared" si="45"/>
        <v/>
      </c>
      <c r="C524" s="556" t="str">
        <f t="shared" si="46"/>
        <v/>
      </c>
      <c r="D524" s="557" t="str">
        <f t="shared" si="47"/>
        <v/>
      </c>
      <c r="E524" s="560"/>
      <c r="F524" s="559"/>
      <c r="G524" s="559" t="str">
        <f t="shared" si="48"/>
        <v/>
      </c>
      <c r="H524" s="559" t="str">
        <f t="shared" si="49"/>
        <v/>
      </c>
      <c r="I524" s="559" t="str">
        <f t="shared" si="50"/>
        <v/>
      </c>
    </row>
    <row r="525" spans="2:9">
      <c r="B525" s="555" t="str">
        <f t="shared" si="45"/>
        <v/>
      </c>
      <c r="C525" s="556" t="str">
        <f t="shared" si="46"/>
        <v/>
      </c>
      <c r="D525" s="557" t="str">
        <f t="shared" si="47"/>
        <v/>
      </c>
      <c r="E525" s="560"/>
      <c r="F525" s="559"/>
      <c r="G525" s="559" t="str">
        <f t="shared" si="48"/>
        <v/>
      </c>
      <c r="H525" s="559" t="str">
        <f t="shared" si="49"/>
        <v/>
      </c>
      <c r="I525" s="559" t="str">
        <f t="shared" si="50"/>
        <v/>
      </c>
    </row>
    <row r="526" spans="2:9">
      <c r="B526" s="555" t="str">
        <f t="shared" si="45"/>
        <v/>
      </c>
      <c r="C526" s="556" t="str">
        <f t="shared" si="46"/>
        <v/>
      </c>
      <c r="D526" s="557" t="str">
        <f t="shared" si="47"/>
        <v/>
      </c>
      <c r="E526" s="560"/>
      <c r="F526" s="559"/>
      <c r="G526" s="559" t="str">
        <f t="shared" si="48"/>
        <v/>
      </c>
      <c r="H526" s="559" t="str">
        <f t="shared" si="49"/>
        <v/>
      </c>
      <c r="I526" s="559" t="str">
        <f t="shared" si="50"/>
        <v/>
      </c>
    </row>
    <row r="527" spans="2:9">
      <c r="B527" s="555" t="str">
        <f t="shared" si="45"/>
        <v/>
      </c>
      <c r="C527" s="556" t="str">
        <f t="shared" si="46"/>
        <v/>
      </c>
      <c r="D527" s="557" t="str">
        <f t="shared" si="47"/>
        <v/>
      </c>
      <c r="E527" s="560"/>
      <c r="F527" s="559"/>
      <c r="G527" s="559" t="str">
        <f t="shared" si="48"/>
        <v/>
      </c>
      <c r="H527" s="559" t="str">
        <f t="shared" si="49"/>
        <v/>
      </c>
      <c r="I527" s="559" t="str">
        <f t="shared" si="50"/>
        <v/>
      </c>
    </row>
    <row r="528" spans="2:9">
      <c r="B528" s="555" t="str">
        <f t="shared" si="45"/>
        <v/>
      </c>
      <c r="C528" s="556" t="str">
        <f t="shared" si="46"/>
        <v/>
      </c>
      <c r="D528" s="557" t="str">
        <f t="shared" si="47"/>
        <v/>
      </c>
      <c r="E528" s="560"/>
      <c r="F528" s="559"/>
      <c r="G528" s="559" t="str">
        <f t="shared" si="48"/>
        <v/>
      </c>
      <c r="H528" s="559" t="str">
        <f t="shared" si="49"/>
        <v/>
      </c>
      <c r="I528" s="559" t="str">
        <f t="shared" si="50"/>
        <v/>
      </c>
    </row>
    <row r="529" spans="2:9">
      <c r="B529" s="555" t="str">
        <f t="shared" si="45"/>
        <v/>
      </c>
      <c r="C529" s="556" t="str">
        <f t="shared" si="46"/>
        <v/>
      </c>
      <c r="D529" s="557" t="str">
        <f t="shared" si="47"/>
        <v/>
      </c>
      <c r="E529" s="560"/>
      <c r="F529" s="559"/>
      <c r="G529" s="559" t="str">
        <f t="shared" si="48"/>
        <v/>
      </c>
      <c r="H529" s="559" t="str">
        <f t="shared" si="49"/>
        <v/>
      </c>
      <c r="I529" s="559" t="str">
        <f t="shared" si="50"/>
        <v/>
      </c>
    </row>
    <row r="530" spans="2:9">
      <c r="B530" s="555" t="str">
        <f t="shared" si="45"/>
        <v/>
      </c>
      <c r="C530" s="556" t="str">
        <f t="shared" si="46"/>
        <v/>
      </c>
      <c r="D530" s="557" t="str">
        <f t="shared" si="47"/>
        <v/>
      </c>
      <c r="E530" s="560"/>
      <c r="F530" s="559"/>
      <c r="G530" s="559" t="str">
        <f t="shared" si="48"/>
        <v/>
      </c>
      <c r="H530" s="559" t="str">
        <f t="shared" si="49"/>
        <v/>
      </c>
      <c r="I530" s="559" t="str">
        <f t="shared" si="50"/>
        <v/>
      </c>
    </row>
    <row r="531" spans="2:9">
      <c r="B531" s="555" t="str">
        <f t="shared" si="45"/>
        <v/>
      </c>
      <c r="C531" s="556" t="str">
        <f t="shared" si="46"/>
        <v/>
      </c>
      <c r="D531" s="557" t="str">
        <f t="shared" si="47"/>
        <v/>
      </c>
      <c r="E531" s="560"/>
      <c r="F531" s="559"/>
      <c r="G531" s="559" t="str">
        <f t="shared" si="48"/>
        <v/>
      </c>
      <c r="H531" s="559" t="str">
        <f t="shared" si="49"/>
        <v/>
      </c>
      <c r="I531" s="559" t="str">
        <f t="shared" si="50"/>
        <v/>
      </c>
    </row>
    <row r="532" spans="2:9">
      <c r="B532" s="555" t="str">
        <f t="shared" si="45"/>
        <v/>
      </c>
      <c r="C532" s="556" t="str">
        <f t="shared" si="46"/>
        <v/>
      </c>
      <c r="D532" s="557" t="str">
        <f t="shared" si="47"/>
        <v/>
      </c>
      <c r="E532" s="560"/>
      <c r="F532" s="559"/>
      <c r="G532" s="559" t="str">
        <f t="shared" si="48"/>
        <v/>
      </c>
      <c r="H532" s="559" t="str">
        <f t="shared" si="49"/>
        <v/>
      </c>
      <c r="I532" s="559" t="str">
        <f t="shared" si="50"/>
        <v/>
      </c>
    </row>
    <row r="533" spans="2:9">
      <c r="B533" s="555" t="str">
        <f t="shared" si="45"/>
        <v/>
      </c>
      <c r="C533" s="556" t="str">
        <f t="shared" si="46"/>
        <v/>
      </c>
      <c r="D533" s="557" t="str">
        <f t="shared" si="47"/>
        <v/>
      </c>
      <c r="E533" s="560"/>
      <c r="F533" s="559"/>
      <c r="G533" s="559" t="str">
        <f t="shared" si="48"/>
        <v/>
      </c>
      <c r="H533" s="559" t="str">
        <f t="shared" si="49"/>
        <v/>
      </c>
      <c r="I533" s="559" t="str">
        <f t="shared" si="50"/>
        <v/>
      </c>
    </row>
    <row r="534" spans="2:9">
      <c r="B534" s="555" t="str">
        <f t="shared" si="45"/>
        <v/>
      </c>
      <c r="C534" s="556" t="str">
        <f t="shared" si="46"/>
        <v/>
      </c>
      <c r="D534" s="557" t="str">
        <f t="shared" si="47"/>
        <v/>
      </c>
      <c r="E534" s="560"/>
      <c r="F534" s="559"/>
      <c r="G534" s="559" t="str">
        <f t="shared" si="48"/>
        <v/>
      </c>
      <c r="H534" s="559" t="str">
        <f t="shared" si="49"/>
        <v/>
      </c>
      <c r="I534" s="559" t="str">
        <f t="shared" si="50"/>
        <v/>
      </c>
    </row>
    <row r="535" spans="2:9">
      <c r="B535" s="555" t="str">
        <f t="shared" si="45"/>
        <v/>
      </c>
      <c r="C535" s="556" t="str">
        <f t="shared" si="46"/>
        <v/>
      </c>
      <c r="D535" s="557" t="str">
        <f t="shared" si="47"/>
        <v/>
      </c>
      <c r="E535" s="560"/>
      <c r="F535" s="559"/>
      <c r="G535" s="559" t="str">
        <f t="shared" si="48"/>
        <v/>
      </c>
      <c r="H535" s="559" t="str">
        <f t="shared" si="49"/>
        <v/>
      </c>
      <c r="I535" s="559" t="str">
        <f t="shared" si="50"/>
        <v/>
      </c>
    </row>
    <row r="536" spans="2:9">
      <c r="B536" s="555" t="str">
        <f t="shared" si="45"/>
        <v/>
      </c>
      <c r="C536" s="556" t="str">
        <f t="shared" si="46"/>
        <v/>
      </c>
      <c r="D536" s="557" t="str">
        <f t="shared" si="47"/>
        <v/>
      </c>
      <c r="E536" s="560"/>
      <c r="F536" s="559"/>
      <c r="G536" s="559" t="str">
        <f t="shared" si="48"/>
        <v/>
      </c>
      <c r="H536" s="559" t="str">
        <f t="shared" si="49"/>
        <v/>
      </c>
      <c r="I536" s="559" t="str">
        <f t="shared" si="50"/>
        <v/>
      </c>
    </row>
    <row r="537" spans="2:9">
      <c r="B537" s="555" t="str">
        <f t="shared" si="45"/>
        <v/>
      </c>
      <c r="C537" s="556" t="str">
        <f t="shared" si="46"/>
        <v/>
      </c>
      <c r="D537" s="557" t="str">
        <f t="shared" si="47"/>
        <v/>
      </c>
      <c r="E537" s="560"/>
      <c r="F537" s="559"/>
      <c r="G537" s="559" t="str">
        <f t="shared" si="48"/>
        <v/>
      </c>
      <c r="H537" s="559" t="str">
        <f t="shared" si="49"/>
        <v/>
      </c>
      <c r="I537" s="559" t="str">
        <f t="shared" si="50"/>
        <v/>
      </c>
    </row>
    <row r="538" spans="2:9">
      <c r="B538" s="555" t="str">
        <f t="shared" si="45"/>
        <v/>
      </c>
      <c r="C538" s="556" t="str">
        <f t="shared" si="46"/>
        <v/>
      </c>
      <c r="D538" s="557" t="str">
        <f t="shared" si="47"/>
        <v/>
      </c>
      <c r="E538" s="560"/>
      <c r="F538" s="559"/>
      <c r="G538" s="559" t="str">
        <f t="shared" si="48"/>
        <v/>
      </c>
      <c r="H538" s="559" t="str">
        <f t="shared" si="49"/>
        <v/>
      </c>
      <c r="I538" s="559" t="str">
        <f t="shared" si="50"/>
        <v/>
      </c>
    </row>
    <row r="539" spans="2:9">
      <c r="B539" s="555" t="str">
        <f t="shared" si="45"/>
        <v/>
      </c>
      <c r="C539" s="556" t="str">
        <f t="shared" si="46"/>
        <v/>
      </c>
      <c r="D539" s="557" t="str">
        <f t="shared" si="47"/>
        <v/>
      </c>
      <c r="E539" s="560"/>
      <c r="F539" s="559"/>
      <c r="G539" s="559" t="str">
        <f t="shared" si="48"/>
        <v/>
      </c>
      <c r="H539" s="559" t="str">
        <f t="shared" si="49"/>
        <v/>
      </c>
      <c r="I539" s="559" t="str">
        <f t="shared" si="50"/>
        <v/>
      </c>
    </row>
    <row r="540" spans="2:9">
      <c r="B540" s="555" t="str">
        <f t="shared" si="45"/>
        <v/>
      </c>
      <c r="C540" s="556" t="str">
        <f t="shared" si="46"/>
        <v/>
      </c>
      <c r="D540" s="557" t="str">
        <f t="shared" si="47"/>
        <v/>
      </c>
      <c r="E540" s="560"/>
      <c r="F540" s="559"/>
      <c r="G540" s="559" t="str">
        <f t="shared" si="48"/>
        <v/>
      </c>
      <c r="H540" s="559" t="str">
        <f t="shared" si="49"/>
        <v/>
      </c>
      <c r="I540" s="559" t="str">
        <f t="shared" si="50"/>
        <v/>
      </c>
    </row>
    <row r="541" spans="2:9">
      <c r="B541" s="555" t="str">
        <f t="shared" si="45"/>
        <v/>
      </c>
      <c r="C541" s="556" t="str">
        <f t="shared" si="46"/>
        <v/>
      </c>
      <c r="D541" s="557" t="str">
        <f t="shared" si="47"/>
        <v/>
      </c>
      <c r="E541" s="560"/>
      <c r="F541" s="559"/>
      <c r="G541" s="559" t="str">
        <f t="shared" si="48"/>
        <v/>
      </c>
      <c r="H541" s="559" t="str">
        <f t="shared" si="49"/>
        <v/>
      </c>
      <c r="I541" s="559" t="str">
        <f t="shared" si="50"/>
        <v/>
      </c>
    </row>
    <row r="542" spans="2:9">
      <c r="B542" s="555" t="str">
        <f t="shared" si="45"/>
        <v/>
      </c>
      <c r="C542" s="556" t="str">
        <f t="shared" si="46"/>
        <v/>
      </c>
      <c r="D542" s="557" t="str">
        <f t="shared" si="47"/>
        <v/>
      </c>
      <c r="E542" s="560"/>
      <c r="F542" s="559"/>
      <c r="G542" s="559" t="str">
        <f t="shared" si="48"/>
        <v/>
      </c>
      <c r="H542" s="559" t="str">
        <f t="shared" si="49"/>
        <v/>
      </c>
      <c r="I542" s="559" t="str">
        <f t="shared" si="50"/>
        <v/>
      </c>
    </row>
    <row r="543" spans="2:9">
      <c r="B543" s="555" t="str">
        <f t="shared" si="45"/>
        <v/>
      </c>
      <c r="C543" s="556" t="str">
        <f t="shared" si="46"/>
        <v/>
      </c>
      <c r="D543" s="557" t="str">
        <f t="shared" si="47"/>
        <v/>
      </c>
      <c r="E543" s="560"/>
      <c r="F543" s="559"/>
      <c r="G543" s="559" t="str">
        <f t="shared" si="48"/>
        <v/>
      </c>
      <c r="H543" s="559" t="str">
        <f t="shared" si="49"/>
        <v/>
      </c>
      <c r="I543" s="559" t="str">
        <f t="shared" si="50"/>
        <v/>
      </c>
    </row>
    <row r="544" spans="2:9">
      <c r="B544" s="555" t="str">
        <f t="shared" si="45"/>
        <v/>
      </c>
      <c r="C544" s="556" t="str">
        <f t="shared" si="46"/>
        <v/>
      </c>
      <c r="D544" s="557" t="str">
        <f t="shared" si="47"/>
        <v/>
      </c>
      <c r="E544" s="560"/>
      <c r="F544" s="559"/>
      <c r="G544" s="559" t="str">
        <f t="shared" si="48"/>
        <v/>
      </c>
      <c r="H544" s="559" t="str">
        <f t="shared" si="49"/>
        <v/>
      </c>
      <c r="I544" s="559" t="str">
        <f t="shared" si="50"/>
        <v/>
      </c>
    </row>
    <row r="545" spans="2:9">
      <c r="B545" s="555" t="str">
        <f t="shared" si="45"/>
        <v/>
      </c>
      <c r="C545" s="556" t="str">
        <f t="shared" si="46"/>
        <v/>
      </c>
      <c r="D545" s="557" t="str">
        <f t="shared" si="47"/>
        <v/>
      </c>
      <c r="E545" s="560"/>
      <c r="F545" s="559"/>
      <c r="G545" s="559" t="str">
        <f t="shared" si="48"/>
        <v/>
      </c>
      <c r="H545" s="559" t="str">
        <f t="shared" si="49"/>
        <v/>
      </c>
      <c r="I545" s="559" t="str">
        <f t="shared" si="50"/>
        <v/>
      </c>
    </row>
    <row r="546" spans="2:9">
      <c r="B546" s="555" t="str">
        <f t="shared" si="45"/>
        <v/>
      </c>
      <c r="C546" s="556" t="str">
        <f t="shared" si="46"/>
        <v/>
      </c>
      <c r="D546" s="557" t="str">
        <f t="shared" si="47"/>
        <v/>
      </c>
      <c r="E546" s="560"/>
      <c r="F546" s="559"/>
      <c r="G546" s="559" t="str">
        <f t="shared" si="48"/>
        <v/>
      </c>
      <c r="H546" s="559" t="str">
        <f t="shared" si="49"/>
        <v/>
      </c>
      <c r="I546" s="559" t="str">
        <f t="shared" si="50"/>
        <v/>
      </c>
    </row>
    <row r="547" spans="2:9">
      <c r="B547" s="555" t="str">
        <f t="shared" si="45"/>
        <v/>
      </c>
      <c r="C547" s="556" t="str">
        <f t="shared" si="46"/>
        <v/>
      </c>
      <c r="D547" s="557" t="str">
        <f t="shared" si="47"/>
        <v/>
      </c>
      <c r="E547" s="560"/>
      <c r="F547" s="559"/>
      <c r="G547" s="559" t="str">
        <f t="shared" si="48"/>
        <v/>
      </c>
      <c r="H547" s="559" t="str">
        <f t="shared" si="49"/>
        <v/>
      </c>
      <c r="I547" s="559" t="str">
        <f t="shared" si="50"/>
        <v/>
      </c>
    </row>
    <row r="548" spans="2:9">
      <c r="B548" s="555" t="str">
        <f t="shared" si="45"/>
        <v/>
      </c>
      <c r="C548" s="556" t="str">
        <f t="shared" si="46"/>
        <v/>
      </c>
      <c r="D548" s="557" t="str">
        <f t="shared" si="47"/>
        <v/>
      </c>
      <c r="E548" s="560"/>
      <c r="F548" s="559"/>
      <c r="G548" s="559" t="str">
        <f t="shared" si="48"/>
        <v/>
      </c>
      <c r="H548" s="559" t="str">
        <f t="shared" si="49"/>
        <v/>
      </c>
      <c r="I548" s="559" t="str">
        <f t="shared" si="50"/>
        <v/>
      </c>
    </row>
    <row r="549" spans="2:9">
      <c r="B549" s="555" t="str">
        <f t="shared" si="45"/>
        <v/>
      </c>
      <c r="C549" s="556" t="str">
        <f t="shared" si="46"/>
        <v/>
      </c>
      <c r="D549" s="557" t="str">
        <f t="shared" si="47"/>
        <v/>
      </c>
      <c r="E549" s="560"/>
      <c r="F549" s="559"/>
      <c r="G549" s="559" t="str">
        <f t="shared" si="48"/>
        <v/>
      </c>
      <c r="H549" s="559" t="str">
        <f t="shared" si="49"/>
        <v/>
      </c>
      <c r="I549" s="559" t="str">
        <f t="shared" si="50"/>
        <v/>
      </c>
    </row>
    <row r="550" spans="2:9">
      <c r="B550" s="555" t="str">
        <f t="shared" si="45"/>
        <v/>
      </c>
      <c r="C550" s="556" t="str">
        <f t="shared" si="46"/>
        <v/>
      </c>
      <c r="D550" s="557" t="str">
        <f t="shared" si="47"/>
        <v/>
      </c>
      <c r="E550" s="560"/>
      <c r="F550" s="559"/>
      <c r="G550" s="559" t="str">
        <f t="shared" si="48"/>
        <v/>
      </c>
      <c r="H550" s="559" t="str">
        <f t="shared" si="49"/>
        <v/>
      </c>
      <c r="I550" s="559" t="str">
        <f t="shared" si="50"/>
        <v/>
      </c>
    </row>
    <row r="551" spans="2:9">
      <c r="B551" s="555" t="str">
        <f t="shared" si="45"/>
        <v/>
      </c>
      <c r="C551" s="556" t="str">
        <f t="shared" si="46"/>
        <v/>
      </c>
      <c r="D551" s="557" t="str">
        <f t="shared" si="47"/>
        <v/>
      </c>
      <c r="E551" s="560"/>
      <c r="F551" s="559"/>
      <c r="G551" s="559" t="str">
        <f t="shared" si="48"/>
        <v/>
      </c>
      <c r="H551" s="559" t="str">
        <f t="shared" si="49"/>
        <v/>
      </c>
      <c r="I551" s="559" t="str">
        <f t="shared" si="50"/>
        <v/>
      </c>
    </row>
    <row r="552" spans="2:9">
      <c r="B552" s="555" t="str">
        <f t="shared" si="45"/>
        <v/>
      </c>
      <c r="C552" s="556" t="str">
        <f t="shared" si="46"/>
        <v/>
      </c>
      <c r="D552" s="557" t="str">
        <f t="shared" si="47"/>
        <v/>
      </c>
      <c r="E552" s="560"/>
      <c r="F552" s="559"/>
      <c r="G552" s="559" t="str">
        <f t="shared" si="48"/>
        <v/>
      </c>
      <c r="H552" s="559" t="str">
        <f t="shared" si="49"/>
        <v/>
      </c>
      <c r="I552" s="559" t="str">
        <f t="shared" si="50"/>
        <v/>
      </c>
    </row>
    <row r="553" spans="2:9">
      <c r="B553" s="555" t="str">
        <f t="shared" si="45"/>
        <v/>
      </c>
      <c r="C553" s="556" t="str">
        <f t="shared" si="46"/>
        <v/>
      </c>
      <c r="D553" s="557" t="str">
        <f t="shared" si="47"/>
        <v/>
      </c>
      <c r="E553" s="560"/>
      <c r="F553" s="559"/>
      <c r="G553" s="559" t="str">
        <f t="shared" si="48"/>
        <v/>
      </c>
      <c r="H553" s="559" t="str">
        <f t="shared" si="49"/>
        <v/>
      </c>
      <c r="I553" s="559" t="str">
        <f t="shared" si="50"/>
        <v/>
      </c>
    </row>
    <row r="554" spans="2:9">
      <c r="B554" s="555" t="str">
        <f t="shared" si="45"/>
        <v/>
      </c>
      <c r="C554" s="556" t="str">
        <f t="shared" si="46"/>
        <v/>
      </c>
      <c r="D554" s="557" t="str">
        <f t="shared" si="47"/>
        <v/>
      </c>
      <c r="E554" s="560"/>
      <c r="F554" s="559"/>
      <c r="G554" s="559" t="str">
        <f t="shared" si="48"/>
        <v/>
      </c>
      <c r="H554" s="559" t="str">
        <f t="shared" si="49"/>
        <v/>
      </c>
      <c r="I554" s="559" t="str">
        <f t="shared" si="50"/>
        <v/>
      </c>
    </row>
    <row r="555" spans="2:9">
      <c r="B555" s="555" t="str">
        <f t="shared" si="45"/>
        <v/>
      </c>
      <c r="C555" s="556" t="str">
        <f t="shared" si="46"/>
        <v/>
      </c>
      <c r="D555" s="557" t="str">
        <f t="shared" si="47"/>
        <v/>
      </c>
      <c r="E555" s="560"/>
      <c r="F555" s="559"/>
      <c r="G555" s="559" t="str">
        <f t="shared" si="48"/>
        <v/>
      </c>
      <c r="H555" s="559" t="str">
        <f t="shared" si="49"/>
        <v/>
      </c>
      <c r="I555" s="559" t="str">
        <f t="shared" si="50"/>
        <v/>
      </c>
    </row>
    <row r="556" spans="2:9">
      <c r="B556" s="555" t="str">
        <f t="shared" si="45"/>
        <v/>
      </c>
      <c r="C556" s="556" t="str">
        <f t="shared" si="46"/>
        <v/>
      </c>
      <c r="D556" s="557" t="str">
        <f t="shared" si="47"/>
        <v/>
      </c>
      <c r="E556" s="560"/>
      <c r="F556" s="559"/>
      <c r="G556" s="559" t="str">
        <f t="shared" si="48"/>
        <v/>
      </c>
      <c r="H556" s="559" t="str">
        <f t="shared" si="49"/>
        <v/>
      </c>
      <c r="I556" s="559" t="str">
        <f t="shared" si="50"/>
        <v/>
      </c>
    </row>
    <row r="557" spans="2:9">
      <c r="B557" s="555" t="str">
        <f t="shared" si="45"/>
        <v/>
      </c>
      <c r="C557" s="556" t="str">
        <f t="shared" si="46"/>
        <v/>
      </c>
      <c r="D557" s="557" t="str">
        <f t="shared" si="47"/>
        <v/>
      </c>
      <c r="E557" s="560"/>
      <c r="F557" s="559"/>
      <c r="G557" s="559" t="str">
        <f t="shared" si="48"/>
        <v/>
      </c>
      <c r="H557" s="559" t="str">
        <f t="shared" si="49"/>
        <v/>
      </c>
      <c r="I557" s="559" t="str">
        <f t="shared" si="50"/>
        <v/>
      </c>
    </row>
    <row r="558" spans="2:9">
      <c r="B558" s="555" t="str">
        <f t="shared" si="45"/>
        <v/>
      </c>
      <c r="C558" s="556" t="str">
        <f t="shared" si="46"/>
        <v/>
      </c>
      <c r="D558" s="557" t="str">
        <f t="shared" si="47"/>
        <v/>
      </c>
      <c r="E558" s="560"/>
      <c r="F558" s="559"/>
      <c r="G558" s="559" t="str">
        <f t="shared" si="48"/>
        <v/>
      </c>
      <c r="H558" s="559" t="str">
        <f t="shared" si="49"/>
        <v/>
      </c>
      <c r="I558" s="559" t="str">
        <f t="shared" si="50"/>
        <v/>
      </c>
    </row>
    <row r="559" spans="2:9">
      <c r="B559" s="555" t="str">
        <f t="shared" si="45"/>
        <v/>
      </c>
      <c r="C559" s="556" t="str">
        <f t="shared" si="46"/>
        <v/>
      </c>
      <c r="D559" s="557" t="str">
        <f t="shared" si="47"/>
        <v/>
      </c>
      <c r="E559" s="560"/>
      <c r="F559" s="559"/>
      <c r="G559" s="559" t="str">
        <f t="shared" si="48"/>
        <v/>
      </c>
      <c r="H559" s="559" t="str">
        <f t="shared" si="49"/>
        <v/>
      </c>
      <c r="I559" s="559" t="str">
        <f t="shared" si="50"/>
        <v/>
      </c>
    </row>
    <row r="560" spans="2:9">
      <c r="B560" s="555" t="str">
        <f t="shared" si="45"/>
        <v/>
      </c>
      <c r="C560" s="556" t="str">
        <f t="shared" si="46"/>
        <v/>
      </c>
      <c r="D560" s="557" t="str">
        <f t="shared" si="47"/>
        <v/>
      </c>
      <c r="E560" s="560"/>
      <c r="F560" s="559"/>
      <c r="G560" s="559" t="str">
        <f t="shared" si="48"/>
        <v/>
      </c>
      <c r="H560" s="559" t="str">
        <f t="shared" si="49"/>
        <v/>
      </c>
      <c r="I560" s="559" t="str">
        <f t="shared" si="50"/>
        <v/>
      </c>
    </row>
    <row r="561" spans="2:9">
      <c r="B561" s="555" t="str">
        <f t="shared" si="45"/>
        <v/>
      </c>
      <c r="C561" s="556" t="str">
        <f t="shared" si="46"/>
        <v/>
      </c>
      <c r="D561" s="557" t="str">
        <f t="shared" si="47"/>
        <v/>
      </c>
      <c r="E561" s="560"/>
      <c r="F561" s="559"/>
      <c r="G561" s="559" t="str">
        <f t="shared" si="48"/>
        <v/>
      </c>
      <c r="H561" s="559" t="str">
        <f t="shared" si="49"/>
        <v/>
      </c>
      <c r="I561" s="559" t="str">
        <f t="shared" si="50"/>
        <v/>
      </c>
    </row>
    <row r="562" spans="2:9">
      <c r="B562" s="555" t="str">
        <f t="shared" si="45"/>
        <v/>
      </c>
      <c r="C562" s="556" t="str">
        <f t="shared" si="46"/>
        <v/>
      </c>
      <c r="D562" s="557" t="str">
        <f t="shared" si="47"/>
        <v/>
      </c>
      <c r="E562" s="560"/>
      <c r="F562" s="559"/>
      <c r="G562" s="559" t="str">
        <f t="shared" si="48"/>
        <v/>
      </c>
      <c r="H562" s="559" t="str">
        <f t="shared" si="49"/>
        <v/>
      </c>
      <c r="I562" s="559" t="str">
        <f t="shared" si="50"/>
        <v/>
      </c>
    </row>
    <row r="563" spans="2:9">
      <c r="B563" s="555" t="str">
        <f t="shared" si="45"/>
        <v/>
      </c>
      <c r="C563" s="556" t="str">
        <f t="shared" si="46"/>
        <v/>
      </c>
      <c r="D563" s="557" t="str">
        <f t="shared" si="47"/>
        <v/>
      </c>
      <c r="E563" s="560"/>
      <c r="F563" s="559"/>
      <c r="G563" s="559" t="str">
        <f t="shared" si="48"/>
        <v/>
      </c>
      <c r="H563" s="559" t="str">
        <f t="shared" si="49"/>
        <v/>
      </c>
      <c r="I563" s="559" t="str">
        <f t="shared" si="50"/>
        <v/>
      </c>
    </row>
    <row r="564" spans="2:9">
      <c r="B564" s="555" t="str">
        <f t="shared" si="45"/>
        <v/>
      </c>
      <c r="C564" s="556" t="str">
        <f t="shared" si="46"/>
        <v/>
      </c>
      <c r="D564" s="557" t="str">
        <f t="shared" si="47"/>
        <v/>
      </c>
      <c r="E564" s="560"/>
      <c r="F564" s="559"/>
      <c r="G564" s="559" t="str">
        <f t="shared" si="48"/>
        <v/>
      </c>
      <c r="H564" s="559" t="str">
        <f t="shared" si="49"/>
        <v/>
      </c>
      <c r="I564" s="559" t="str">
        <f t="shared" si="50"/>
        <v/>
      </c>
    </row>
    <row r="565" spans="2:9">
      <c r="B565" s="555" t="str">
        <f t="shared" si="45"/>
        <v/>
      </c>
      <c r="C565" s="556" t="str">
        <f t="shared" si="46"/>
        <v/>
      </c>
      <c r="D565" s="557" t="str">
        <f t="shared" si="47"/>
        <v/>
      </c>
      <c r="E565" s="560"/>
      <c r="F565" s="559"/>
      <c r="G565" s="559" t="str">
        <f t="shared" si="48"/>
        <v/>
      </c>
      <c r="H565" s="559" t="str">
        <f t="shared" si="49"/>
        <v/>
      </c>
      <c r="I565" s="559" t="str">
        <f t="shared" si="50"/>
        <v/>
      </c>
    </row>
    <row r="566" spans="2:9">
      <c r="B566" s="555" t="str">
        <f t="shared" si="45"/>
        <v/>
      </c>
      <c r="C566" s="556" t="str">
        <f t="shared" si="46"/>
        <v/>
      </c>
      <c r="D566" s="557" t="str">
        <f t="shared" si="47"/>
        <v/>
      </c>
      <c r="E566" s="560"/>
      <c r="F566" s="559"/>
      <c r="G566" s="559" t="str">
        <f t="shared" si="48"/>
        <v/>
      </c>
      <c r="H566" s="559" t="str">
        <f t="shared" si="49"/>
        <v/>
      </c>
      <c r="I566" s="559" t="str">
        <f t="shared" si="50"/>
        <v/>
      </c>
    </row>
    <row r="567" spans="2:9">
      <c r="B567" s="555" t="str">
        <f t="shared" si="45"/>
        <v/>
      </c>
      <c r="C567" s="556" t="str">
        <f t="shared" si="46"/>
        <v/>
      </c>
      <c r="D567" s="557" t="str">
        <f t="shared" si="47"/>
        <v/>
      </c>
      <c r="E567" s="560"/>
      <c r="F567" s="559"/>
      <c r="G567" s="559" t="str">
        <f t="shared" si="48"/>
        <v/>
      </c>
      <c r="H567" s="559" t="str">
        <f t="shared" si="49"/>
        <v/>
      </c>
      <c r="I567" s="559" t="str">
        <f t="shared" si="50"/>
        <v/>
      </c>
    </row>
    <row r="568" spans="2:9">
      <c r="B568" s="555" t="str">
        <f t="shared" si="45"/>
        <v/>
      </c>
      <c r="C568" s="556" t="str">
        <f t="shared" si="46"/>
        <v/>
      </c>
      <c r="D568" s="557" t="str">
        <f t="shared" si="47"/>
        <v/>
      </c>
      <c r="E568" s="560"/>
      <c r="F568" s="559"/>
      <c r="G568" s="559" t="str">
        <f t="shared" si="48"/>
        <v/>
      </c>
      <c r="H568" s="559" t="str">
        <f t="shared" si="49"/>
        <v/>
      </c>
      <c r="I568" s="559" t="str">
        <f t="shared" si="50"/>
        <v/>
      </c>
    </row>
    <row r="569" spans="2:9">
      <c r="B569" s="555" t="str">
        <f t="shared" si="45"/>
        <v/>
      </c>
      <c r="C569" s="556" t="str">
        <f t="shared" si="46"/>
        <v/>
      </c>
      <c r="D569" s="557" t="str">
        <f t="shared" si="47"/>
        <v/>
      </c>
      <c r="E569" s="560"/>
      <c r="F569" s="559"/>
      <c r="G569" s="559" t="str">
        <f t="shared" si="48"/>
        <v/>
      </c>
      <c r="H569" s="559" t="str">
        <f t="shared" si="49"/>
        <v/>
      </c>
      <c r="I569" s="559" t="str">
        <f t="shared" si="50"/>
        <v/>
      </c>
    </row>
    <row r="570" spans="2:9">
      <c r="B570" s="555" t="str">
        <f t="shared" si="45"/>
        <v/>
      </c>
      <c r="C570" s="556" t="str">
        <f t="shared" si="46"/>
        <v/>
      </c>
      <c r="D570" s="557" t="str">
        <f t="shared" si="47"/>
        <v/>
      </c>
      <c r="E570" s="560"/>
      <c r="F570" s="559"/>
      <c r="G570" s="559" t="str">
        <f t="shared" si="48"/>
        <v/>
      </c>
      <c r="H570" s="559" t="str">
        <f t="shared" si="49"/>
        <v/>
      </c>
      <c r="I570" s="559" t="str">
        <f t="shared" si="50"/>
        <v/>
      </c>
    </row>
    <row r="571" spans="2:9">
      <c r="B571" s="555" t="str">
        <f t="shared" si="45"/>
        <v/>
      </c>
      <c r="C571" s="556" t="str">
        <f t="shared" si="46"/>
        <v/>
      </c>
      <c r="D571" s="557" t="str">
        <f t="shared" si="47"/>
        <v/>
      </c>
      <c r="E571" s="560"/>
      <c r="F571" s="559"/>
      <c r="G571" s="559" t="str">
        <f t="shared" si="48"/>
        <v/>
      </c>
      <c r="H571" s="559" t="str">
        <f t="shared" si="49"/>
        <v/>
      </c>
      <c r="I571" s="559" t="str">
        <f t="shared" si="50"/>
        <v/>
      </c>
    </row>
    <row r="572" spans="2:9">
      <c r="B572" s="555" t="str">
        <f t="shared" si="45"/>
        <v/>
      </c>
      <c r="C572" s="556" t="str">
        <f t="shared" si="46"/>
        <v/>
      </c>
      <c r="D572" s="557" t="str">
        <f t="shared" si="47"/>
        <v/>
      </c>
      <c r="E572" s="560"/>
      <c r="F572" s="559"/>
      <c r="G572" s="559" t="str">
        <f t="shared" si="48"/>
        <v/>
      </c>
      <c r="H572" s="559" t="str">
        <f t="shared" si="49"/>
        <v/>
      </c>
      <c r="I572" s="559" t="str">
        <f t="shared" si="50"/>
        <v/>
      </c>
    </row>
    <row r="573" spans="2:9">
      <c r="B573" s="555" t="str">
        <f t="shared" ref="B573:B636" si="51">IF(I572="","",IF(roundOpt,IF(OR(B572&gt;=nper,ROUND(I572,2)&lt;=0),"",B572+1),IF(OR(B572&gt;=nper,I572&lt;=0),"",B572+1)))</f>
        <v/>
      </c>
      <c r="C573" s="556" t="str">
        <f t="shared" ref="C573:C636" si="52">IF(B573="","",IF(OR(periods_per_year=26,periods_per_year=52),IF(periods_per_year=26,IF(B573=1,fpdate,C572+14),IF(periods_per_year=52,IF(B573=1,fpdate,C572+7),"n/a")),IF(periods_per_year=24,DATE(YEAR(fpdate),MONTH(fpdate)+(B573-1)/2+IF(AND(DAY(fpdate)&gt;=15,MOD(B573,2)=0),1,0),IF(MOD(B573,2)=0,IF(DAY(fpdate)&gt;=15,DAY(fpdate)-14,DAY(fpdate)+14),DAY(fpdate))),IF(DAY(DATE(YEAR(fpdate),MONTH(fpdate)+(B573-1)*months_per_period,DAY(fpdate)))&lt;&gt;DAY(fpdate),DATE(YEAR(fpdate),MONTH(fpdate)+(B573-1)*months_per_period+1,0),DATE(YEAR(fpdate),MONTH(fpdate)+(B573-1)*months_per_period,DAY(fpdate))))))</f>
        <v/>
      </c>
      <c r="D573" s="557" t="str">
        <f t="shared" ref="D573:D636" si="53">IF(B573="","",IF(roundOpt,IF(OR(B573=nper,payment&gt;ROUND((1+rate)*I572,2)),ROUND((1+rate)*I572,2),payment),IF(OR(B573=nper,payment&gt;(1+rate)*I572),(1+rate)*I572,payment)))</f>
        <v/>
      </c>
      <c r="E573" s="560"/>
      <c r="F573" s="559"/>
      <c r="G573" s="559" t="str">
        <f t="shared" ref="G573:G636" si="54">IF(B573="","",IF(AND(B573=1,pmtType=1),0,IF(roundOpt,ROUND(rate*I572,2),rate*I572)))</f>
        <v/>
      </c>
      <c r="H573" s="559" t="str">
        <f t="shared" ref="H573:H636" si="55">IF(B573="","",D573-G573+E573)</f>
        <v/>
      </c>
      <c r="I573" s="559" t="str">
        <f t="shared" ref="I573:I636" si="56">IF(B573="","",I572-H573)</f>
        <v/>
      </c>
    </row>
    <row r="574" spans="2:9">
      <c r="B574" s="555" t="str">
        <f t="shared" si="51"/>
        <v/>
      </c>
      <c r="C574" s="556" t="str">
        <f t="shared" si="52"/>
        <v/>
      </c>
      <c r="D574" s="557" t="str">
        <f t="shared" si="53"/>
        <v/>
      </c>
      <c r="E574" s="560"/>
      <c r="F574" s="559"/>
      <c r="G574" s="559" t="str">
        <f t="shared" si="54"/>
        <v/>
      </c>
      <c r="H574" s="559" t="str">
        <f t="shared" si="55"/>
        <v/>
      </c>
      <c r="I574" s="559" t="str">
        <f t="shared" si="56"/>
        <v/>
      </c>
    </row>
    <row r="575" spans="2:9">
      <c r="B575" s="555" t="str">
        <f t="shared" si="51"/>
        <v/>
      </c>
      <c r="C575" s="556" t="str">
        <f t="shared" si="52"/>
        <v/>
      </c>
      <c r="D575" s="557" t="str">
        <f t="shared" si="53"/>
        <v/>
      </c>
      <c r="E575" s="560"/>
      <c r="F575" s="559"/>
      <c r="G575" s="559" t="str">
        <f t="shared" si="54"/>
        <v/>
      </c>
      <c r="H575" s="559" t="str">
        <f t="shared" si="55"/>
        <v/>
      </c>
      <c r="I575" s="559" t="str">
        <f t="shared" si="56"/>
        <v/>
      </c>
    </row>
    <row r="576" spans="2:9">
      <c r="B576" s="555" t="str">
        <f t="shared" si="51"/>
        <v/>
      </c>
      <c r="C576" s="556" t="str">
        <f t="shared" si="52"/>
        <v/>
      </c>
      <c r="D576" s="557" t="str">
        <f t="shared" si="53"/>
        <v/>
      </c>
      <c r="E576" s="560"/>
      <c r="F576" s="559"/>
      <c r="G576" s="559" t="str">
        <f t="shared" si="54"/>
        <v/>
      </c>
      <c r="H576" s="559" t="str">
        <f t="shared" si="55"/>
        <v/>
      </c>
      <c r="I576" s="559" t="str">
        <f t="shared" si="56"/>
        <v/>
      </c>
    </row>
    <row r="577" spans="2:9">
      <c r="B577" s="555" t="str">
        <f t="shared" si="51"/>
        <v/>
      </c>
      <c r="C577" s="556" t="str">
        <f t="shared" si="52"/>
        <v/>
      </c>
      <c r="D577" s="557" t="str">
        <f t="shared" si="53"/>
        <v/>
      </c>
      <c r="E577" s="560"/>
      <c r="F577" s="559"/>
      <c r="G577" s="559" t="str">
        <f t="shared" si="54"/>
        <v/>
      </c>
      <c r="H577" s="559" t="str">
        <f t="shared" si="55"/>
        <v/>
      </c>
      <c r="I577" s="559" t="str">
        <f t="shared" si="56"/>
        <v/>
      </c>
    </row>
    <row r="578" spans="2:9">
      <c r="B578" s="555" t="str">
        <f t="shared" si="51"/>
        <v/>
      </c>
      <c r="C578" s="556" t="str">
        <f t="shared" si="52"/>
        <v/>
      </c>
      <c r="D578" s="557" t="str">
        <f t="shared" si="53"/>
        <v/>
      </c>
      <c r="E578" s="560"/>
      <c r="F578" s="559"/>
      <c r="G578" s="559" t="str">
        <f t="shared" si="54"/>
        <v/>
      </c>
      <c r="H578" s="559" t="str">
        <f t="shared" si="55"/>
        <v/>
      </c>
      <c r="I578" s="559" t="str">
        <f t="shared" si="56"/>
        <v/>
      </c>
    </row>
    <row r="579" spans="2:9">
      <c r="B579" s="555" t="str">
        <f t="shared" si="51"/>
        <v/>
      </c>
      <c r="C579" s="556" t="str">
        <f t="shared" si="52"/>
        <v/>
      </c>
      <c r="D579" s="557" t="str">
        <f t="shared" si="53"/>
        <v/>
      </c>
      <c r="E579" s="560"/>
      <c r="F579" s="559"/>
      <c r="G579" s="559" t="str">
        <f t="shared" si="54"/>
        <v/>
      </c>
      <c r="H579" s="559" t="str">
        <f t="shared" si="55"/>
        <v/>
      </c>
      <c r="I579" s="559" t="str">
        <f t="shared" si="56"/>
        <v/>
      </c>
    </row>
    <row r="580" spans="2:9">
      <c r="B580" s="555" t="str">
        <f t="shared" si="51"/>
        <v/>
      </c>
      <c r="C580" s="556" t="str">
        <f t="shared" si="52"/>
        <v/>
      </c>
      <c r="D580" s="557" t="str">
        <f t="shared" si="53"/>
        <v/>
      </c>
      <c r="E580" s="560"/>
      <c r="F580" s="559"/>
      <c r="G580" s="559" t="str">
        <f t="shared" si="54"/>
        <v/>
      </c>
      <c r="H580" s="559" t="str">
        <f t="shared" si="55"/>
        <v/>
      </c>
      <c r="I580" s="559" t="str">
        <f t="shared" si="56"/>
        <v/>
      </c>
    </row>
    <row r="581" spans="2:9">
      <c r="B581" s="555" t="str">
        <f t="shared" si="51"/>
        <v/>
      </c>
      <c r="C581" s="556" t="str">
        <f t="shared" si="52"/>
        <v/>
      </c>
      <c r="D581" s="557" t="str">
        <f t="shared" si="53"/>
        <v/>
      </c>
      <c r="E581" s="560"/>
      <c r="F581" s="559"/>
      <c r="G581" s="559" t="str">
        <f t="shared" si="54"/>
        <v/>
      </c>
      <c r="H581" s="559" t="str">
        <f t="shared" si="55"/>
        <v/>
      </c>
      <c r="I581" s="559" t="str">
        <f t="shared" si="56"/>
        <v/>
      </c>
    </row>
    <row r="582" spans="2:9">
      <c r="B582" s="555" t="str">
        <f t="shared" si="51"/>
        <v/>
      </c>
      <c r="C582" s="556" t="str">
        <f t="shared" si="52"/>
        <v/>
      </c>
      <c r="D582" s="557" t="str">
        <f t="shared" si="53"/>
        <v/>
      </c>
      <c r="E582" s="560"/>
      <c r="F582" s="559"/>
      <c r="G582" s="559" t="str">
        <f t="shared" si="54"/>
        <v/>
      </c>
      <c r="H582" s="559" t="str">
        <f t="shared" si="55"/>
        <v/>
      </c>
      <c r="I582" s="559" t="str">
        <f t="shared" si="56"/>
        <v/>
      </c>
    </row>
    <row r="583" spans="2:9">
      <c r="B583" s="555" t="str">
        <f t="shared" si="51"/>
        <v/>
      </c>
      <c r="C583" s="556" t="str">
        <f t="shared" si="52"/>
        <v/>
      </c>
      <c r="D583" s="557" t="str">
        <f t="shared" si="53"/>
        <v/>
      </c>
      <c r="E583" s="560"/>
      <c r="F583" s="559"/>
      <c r="G583" s="559" t="str">
        <f t="shared" si="54"/>
        <v/>
      </c>
      <c r="H583" s="559" t="str">
        <f t="shared" si="55"/>
        <v/>
      </c>
      <c r="I583" s="559" t="str">
        <f t="shared" si="56"/>
        <v/>
      </c>
    </row>
    <row r="584" spans="2:9">
      <c r="B584" s="555" t="str">
        <f t="shared" si="51"/>
        <v/>
      </c>
      <c r="C584" s="556" t="str">
        <f t="shared" si="52"/>
        <v/>
      </c>
      <c r="D584" s="557" t="str">
        <f t="shared" si="53"/>
        <v/>
      </c>
      <c r="E584" s="560"/>
      <c r="F584" s="559"/>
      <c r="G584" s="559" t="str">
        <f t="shared" si="54"/>
        <v/>
      </c>
      <c r="H584" s="559" t="str">
        <f t="shared" si="55"/>
        <v/>
      </c>
      <c r="I584" s="559" t="str">
        <f t="shared" si="56"/>
        <v/>
      </c>
    </row>
    <row r="585" spans="2:9">
      <c r="B585" s="555" t="str">
        <f t="shared" si="51"/>
        <v/>
      </c>
      <c r="C585" s="556" t="str">
        <f t="shared" si="52"/>
        <v/>
      </c>
      <c r="D585" s="557" t="str">
        <f t="shared" si="53"/>
        <v/>
      </c>
      <c r="E585" s="560"/>
      <c r="F585" s="559"/>
      <c r="G585" s="559" t="str">
        <f t="shared" si="54"/>
        <v/>
      </c>
      <c r="H585" s="559" t="str">
        <f t="shared" si="55"/>
        <v/>
      </c>
      <c r="I585" s="559" t="str">
        <f t="shared" si="56"/>
        <v/>
      </c>
    </row>
    <row r="586" spans="2:9">
      <c r="B586" s="555" t="str">
        <f t="shared" si="51"/>
        <v/>
      </c>
      <c r="C586" s="556" t="str">
        <f t="shared" si="52"/>
        <v/>
      </c>
      <c r="D586" s="557" t="str">
        <f t="shared" si="53"/>
        <v/>
      </c>
      <c r="E586" s="560"/>
      <c r="F586" s="559"/>
      <c r="G586" s="559" t="str">
        <f t="shared" si="54"/>
        <v/>
      </c>
      <c r="H586" s="559" t="str">
        <f t="shared" si="55"/>
        <v/>
      </c>
      <c r="I586" s="559" t="str">
        <f t="shared" si="56"/>
        <v/>
      </c>
    </row>
    <row r="587" spans="2:9">
      <c r="B587" s="555" t="str">
        <f t="shared" si="51"/>
        <v/>
      </c>
      <c r="C587" s="556" t="str">
        <f t="shared" si="52"/>
        <v/>
      </c>
      <c r="D587" s="557" t="str">
        <f t="shared" si="53"/>
        <v/>
      </c>
      <c r="E587" s="560"/>
      <c r="F587" s="559"/>
      <c r="G587" s="559" t="str">
        <f t="shared" si="54"/>
        <v/>
      </c>
      <c r="H587" s="559" t="str">
        <f t="shared" si="55"/>
        <v/>
      </c>
      <c r="I587" s="559" t="str">
        <f t="shared" si="56"/>
        <v/>
      </c>
    </row>
    <row r="588" spans="2:9">
      <c r="B588" s="555" t="str">
        <f t="shared" si="51"/>
        <v/>
      </c>
      <c r="C588" s="556" t="str">
        <f t="shared" si="52"/>
        <v/>
      </c>
      <c r="D588" s="557" t="str">
        <f t="shared" si="53"/>
        <v/>
      </c>
      <c r="E588" s="560"/>
      <c r="F588" s="559"/>
      <c r="G588" s="559" t="str">
        <f t="shared" si="54"/>
        <v/>
      </c>
      <c r="H588" s="559" t="str">
        <f t="shared" si="55"/>
        <v/>
      </c>
      <c r="I588" s="559" t="str">
        <f t="shared" si="56"/>
        <v/>
      </c>
    </row>
    <row r="589" spans="2:9">
      <c r="B589" s="555" t="str">
        <f t="shared" si="51"/>
        <v/>
      </c>
      <c r="C589" s="556" t="str">
        <f t="shared" si="52"/>
        <v/>
      </c>
      <c r="D589" s="557" t="str">
        <f t="shared" si="53"/>
        <v/>
      </c>
      <c r="E589" s="560"/>
      <c r="F589" s="559"/>
      <c r="G589" s="559" t="str">
        <f t="shared" si="54"/>
        <v/>
      </c>
      <c r="H589" s="559" t="str">
        <f t="shared" si="55"/>
        <v/>
      </c>
      <c r="I589" s="559" t="str">
        <f t="shared" si="56"/>
        <v/>
      </c>
    </row>
    <row r="590" spans="2:9">
      <c r="B590" s="555" t="str">
        <f t="shared" si="51"/>
        <v/>
      </c>
      <c r="C590" s="556" t="str">
        <f t="shared" si="52"/>
        <v/>
      </c>
      <c r="D590" s="557" t="str">
        <f t="shared" si="53"/>
        <v/>
      </c>
      <c r="E590" s="560"/>
      <c r="F590" s="559"/>
      <c r="G590" s="559" t="str">
        <f t="shared" si="54"/>
        <v/>
      </c>
      <c r="H590" s="559" t="str">
        <f t="shared" si="55"/>
        <v/>
      </c>
      <c r="I590" s="559" t="str">
        <f t="shared" si="56"/>
        <v/>
      </c>
    </row>
    <row r="591" spans="2:9">
      <c r="B591" s="555" t="str">
        <f t="shared" si="51"/>
        <v/>
      </c>
      <c r="C591" s="556" t="str">
        <f t="shared" si="52"/>
        <v/>
      </c>
      <c r="D591" s="557" t="str">
        <f t="shared" si="53"/>
        <v/>
      </c>
      <c r="E591" s="560"/>
      <c r="F591" s="559"/>
      <c r="G591" s="559" t="str">
        <f t="shared" si="54"/>
        <v/>
      </c>
      <c r="H591" s="559" t="str">
        <f t="shared" si="55"/>
        <v/>
      </c>
      <c r="I591" s="559" t="str">
        <f t="shared" si="56"/>
        <v/>
      </c>
    </row>
    <row r="592" spans="2:9">
      <c r="B592" s="555" t="str">
        <f t="shared" si="51"/>
        <v/>
      </c>
      <c r="C592" s="556" t="str">
        <f t="shared" si="52"/>
        <v/>
      </c>
      <c r="D592" s="557" t="str">
        <f t="shared" si="53"/>
        <v/>
      </c>
      <c r="E592" s="560"/>
      <c r="F592" s="559"/>
      <c r="G592" s="559" t="str">
        <f t="shared" si="54"/>
        <v/>
      </c>
      <c r="H592" s="559" t="str">
        <f t="shared" si="55"/>
        <v/>
      </c>
      <c r="I592" s="559" t="str">
        <f t="shared" si="56"/>
        <v/>
      </c>
    </row>
    <row r="593" spans="2:9">
      <c r="B593" s="555" t="str">
        <f t="shared" si="51"/>
        <v/>
      </c>
      <c r="C593" s="556" t="str">
        <f t="shared" si="52"/>
        <v/>
      </c>
      <c r="D593" s="557" t="str">
        <f t="shared" si="53"/>
        <v/>
      </c>
      <c r="E593" s="560"/>
      <c r="F593" s="559"/>
      <c r="G593" s="559" t="str">
        <f t="shared" si="54"/>
        <v/>
      </c>
      <c r="H593" s="559" t="str">
        <f t="shared" si="55"/>
        <v/>
      </c>
      <c r="I593" s="559" t="str">
        <f t="shared" si="56"/>
        <v/>
      </c>
    </row>
    <row r="594" spans="2:9">
      <c r="B594" s="555" t="str">
        <f t="shared" si="51"/>
        <v/>
      </c>
      <c r="C594" s="556" t="str">
        <f t="shared" si="52"/>
        <v/>
      </c>
      <c r="D594" s="557" t="str">
        <f t="shared" si="53"/>
        <v/>
      </c>
      <c r="E594" s="560"/>
      <c r="F594" s="559"/>
      <c r="G594" s="559" t="str">
        <f t="shared" si="54"/>
        <v/>
      </c>
      <c r="H594" s="559" t="str">
        <f t="shared" si="55"/>
        <v/>
      </c>
      <c r="I594" s="559" t="str">
        <f t="shared" si="56"/>
        <v/>
      </c>
    </row>
    <row r="595" spans="2:9">
      <c r="B595" s="555" t="str">
        <f t="shared" si="51"/>
        <v/>
      </c>
      <c r="C595" s="556" t="str">
        <f t="shared" si="52"/>
        <v/>
      </c>
      <c r="D595" s="557" t="str">
        <f t="shared" si="53"/>
        <v/>
      </c>
      <c r="E595" s="560"/>
      <c r="F595" s="559"/>
      <c r="G595" s="559" t="str">
        <f t="shared" si="54"/>
        <v/>
      </c>
      <c r="H595" s="559" t="str">
        <f t="shared" si="55"/>
        <v/>
      </c>
      <c r="I595" s="559" t="str">
        <f t="shared" si="56"/>
        <v/>
      </c>
    </row>
    <row r="596" spans="2:9">
      <c r="B596" s="555" t="str">
        <f t="shared" si="51"/>
        <v/>
      </c>
      <c r="C596" s="556" t="str">
        <f t="shared" si="52"/>
        <v/>
      </c>
      <c r="D596" s="557" t="str">
        <f t="shared" si="53"/>
        <v/>
      </c>
      <c r="E596" s="560"/>
      <c r="F596" s="559"/>
      <c r="G596" s="559" t="str">
        <f t="shared" si="54"/>
        <v/>
      </c>
      <c r="H596" s="559" t="str">
        <f t="shared" si="55"/>
        <v/>
      </c>
      <c r="I596" s="559" t="str">
        <f t="shared" si="56"/>
        <v/>
      </c>
    </row>
    <row r="597" spans="2:9">
      <c r="B597" s="555" t="str">
        <f t="shared" si="51"/>
        <v/>
      </c>
      <c r="C597" s="556" t="str">
        <f t="shared" si="52"/>
        <v/>
      </c>
      <c r="D597" s="557" t="str">
        <f t="shared" si="53"/>
        <v/>
      </c>
      <c r="E597" s="560"/>
      <c r="F597" s="559"/>
      <c r="G597" s="559" t="str">
        <f t="shared" si="54"/>
        <v/>
      </c>
      <c r="H597" s="559" t="str">
        <f t="shared" si="55"/>
        <v/>
      </c>
      <c r="I597" s="559" t="str">
        <f t="shared" si="56"/>
        <v/>
      </c>
    </row>
    <row r="598" spans="2:9">
      <c r="B598" s="555" t="str">
        <f t="shared" si="51"/>
        <v/>
      </c>
      <c r="C598" s="556" t="str">
        <f t="shared" si="52"/>
        <v/>
      </c>
      <c r="D598" s="557" t="str">
        <f t="shared" si="53"/>
        <v/>
      </c>
      <c r="E598" s="560"/>
      <c r="F598" s="559"/>
      <c r="G598" s="559" t="str">
        <f t="shared" si="54"/>
        <v/>
      </c>
      <c r="H598" s="559" t="str">
        <f t="shared" si="55"/>
        <v/>
      </c>
      <c r="I598" s="559" t="str">
        <f t="shared" si="56"/>
        <v/>
      </c>
    </row>
    <row r="599" spans="2:9">
      <c r="B599" s="555" t="str">
        <f t="shared" si="51"/>
        <v/>
      </c>
      <c r="C599" s="556" t="str">
        <f t="shared" si="52"/>
        <v/>
      </c>
      <c r="D599" s="557" t="str">
        <f t="shared" si="53"/>
        <v/>
      </c>
      <c r="E599" s="560"/>
      <c r="F599" s="559"/>
      <c r="G599" s="559" t="str">
        <f t="shared" si="54"/>
        <v/>
      </c>
      <c r="H599" s="559" t="str">
        <f t="shared" si="55"/>
        <v/>
      </c>
      <c r="I599" s="559" t="str">
        <f t="shared" si="56"/>
        <v/>
      </c>
    </row>
    <row r="600" spans="2:9">
      <c r="B600" s="555" t="str">
        <f t="shared" si="51"/>
        <v/>
      </c>
      <c r="C600" s="556" t="str">
        <f t="shared" si="52"/>
        <v/>
      </c>
      <c r="D600" s="557" t="str">
        <f t="shared" si="53"/>
        <v/>
      </c>
      <c r="E600" s="560"/>
      <c r="F600" s="559"/>
      <c r="G600" s="559" t="str">
        <f t="shared" si="54"/>
        <v/>
      </c>
      <c r="H600" s="559" t="str">
        <f t="shared" si="55"/>
        <v/>
      </c>
      <c r="I600" s="559" t="str">
        <f t="shared" si="56"/>
        <v/>
      </c>
    </row>
    <row r="601" spans="2:9">
      <c r="B601" s="555" t="str">
        <f t="shared" si="51"/>
        <v/>
      </c>
      <c r="C601" s="556" t="str">
        <f t="shared" si="52"/>
        <v/>
      </c>
      <c r="D601" s="557" t="str">
        <f t="shared" si="53"/>
        <v/>
      </c>
      <c r="E601" s="560"/>
      <c r="F601" s="559"/>
      <c r="G601" s="559" t="str">
        <f t="shared" si="54"/>
        <v/>
      </c>
      <c r="H601" s="559" t="str">
        <f t="shared" si="55"/>
        <v/>
      </c>
      <c r="I601" s="559" t="str">
        <f t="shared" si="56"/>
        <v/>
      </c>
    </row>
    <row r="602" spans="2:9">
      <c r="B602" s="555" t="str">
        <f t="shared" si="51"/>
        <v/>
      </c>
      <c r="C602" s="556" t="str">
        <f t="shared" si="52"/>
        <v/>
      </c>
      <c r="D602" s="557" t="str">
        <f t="shared" si="53"/>
        <v/>
      </c>
      <c r="E602" s="560"/>
      <c r="F602" s="559"/>
      <c r="G602" s="559" t="str">
        <f t="shared" si="54"/>
        <v/>
      </c>
      <c r="H602" s="559" t="str">
        <f t="shared" si="55"/>
        <v/>
      </c>
      <c r="I602" s="559" t="str">
        <f t="shared" si="56"/>
        <v/>
      </c>
    </row>
    <row r="603" spans="2:9">
      <c r="B603" s="555" t="str">
        <f t="shared" si="51"/>
        <v/>
      </c>
      <c r="C603" s="556" t="str">
        <f t="shared" si="52"/>
        <v/>
      </c>
      <c r="D603" s="557" t="str">
        <f t="shared" si="53"/>
        <v/>
      </c>
      <c r="E603" s="560"/>
      <c r="F603" s="559"/>
      <c r="G603" s="559" t="str">
        <f t="shared" si="54"/>
        <v/>
      </c>
      <c r="H603" s="559" t="str">
        <f t="shared" si="55"/>
        <v/>
      </c>
      <c r="I603" s="559" t="str">
        <f t="shared" si="56"/>
        <v/>
      </c>
    </row>
    <row r="604" spans="2:9">
      <c r="B604" s="555" t="str">
        <f t="shared" si="51"/>
        <v/>
      </c>
      <c r="C604" s="556" t="str">
        <f t="shared" si="52"/>
        <v/>
      </c>
      <c r="D604" s="557" t="str">
        <f t="shared" si="53"/>
        <v/>
      </c>
      <c r="E604" s="560"/>
      <c r="F604" s="559"/>
      <c r="G604" s="559" t="str">
        <f t="shared" si="54"/>
        <v/>
      </c>
      <c r="H604" s="559" t="str">
        <f t="shared" si="55"/>
        <v/>
      </c>
      <c r="I604" s="559" t="str">
        <f t="shared" si="56"/>
        <v/>
      </c>
    </row>
    <row r="605" spans="2:9">
      <c r="B605" s="555" t="str">
        <f t="shared" si="51"/>
        <v/>
      </c>
      <c r="C605" s="556" t="str">
        <f t="shared" si="52"/>
        <v/>
      </c>
      <c r="D605" s="557" t="str">
        <f t="shared" si="53"/>
        <v/>
      </c>
      <c r="E605" s="560"/>
      <c r="F605" s="559"/>
      <c r="G605" s="559" t="str">
        <f t="shared" si="54"/>
        <v/>
      </c>
      <c r="H605" s="559" t="str">
        <f t="shared" si="55"/>
        <v/>
      </c>
      <c r="I605" s="559" t="str">
        <f t="shared" si="56"/>
        <v/>
      </c>
    </row>
    <row r="606" spans="2:9">
      <c r="B606" s="555" t="str">
        <f t="shared" si="51"/>
        <v/>
      </c>
      <c r="C606" s="556" t="str">
        <f t="shared" si="52"/>
        <v/>
      </c>
      <c r="D606" s="557" t="str">
        <f t="shared" si="53"/>
        <v/>
      </c>
      <c r="E606" s="560"/>
      <c r="F606" s="559"/>
      <c r="G606" s="559" t="str">
        <f t="shared" si="54"/>
        <v/>
      </c>
      <c r="H606" s="559" t="str">
        <f t="shared" si="55"/>
        <v/>
      </c>
      <c r="I606" s="559" t="str">
        <f t="shared" si="56"/>
        <v/>
      </c>
    </row>
    <row r="607" spans="2:9">
      <c r="B607" s="555" t="str">
        <f t="shared" si="51"/>
        <v/>
      </c>
      <c r="C607" s="556" t="str">
        <f t="shared" si="52"/>
        <v/>
      </c>
      <c r="D607" s="557" t="str">
        <f t="shared" si="53"/>
        <v/>
      </c>
      <c r="E607" s="560"/>
      <c r="F607" s="559"/>
      <c r="G607" s="559" t="str">
        <f t="shared" si="54"/>
        <v/>
      </c>
      <c r="H607" s="559" t="str">
        <f t="shared" si="55"/>
        <v/>
      </c>
      <c r="I607" s="559" t="str">
        <f t="shared" si="56"/>
        <v/>
      </c>
    </row>
    <row r="608" spans="2:9">
      <c r="B608" s="555" t="str">
        <f t="shared" si="51"/>
        <v/>
      </c>
      <c r="C608" s="556" t="str">
        <f t="shared" si="52"/>
        <v/>
      </c>
      <c r="D608" s="557" t="str">
        <f t="shared" si="53"/>
        <v/>
      </c>
      <c r="E608" s="560"/>
      <c r="F608" s="559"/>
      <c r="G608" s="559" t="str">
        <f t="shared" si="54"/>
        <v/>
      </c>
      <c r="H608" s="559" t="str">
        <f t="shared" si="55"/>
        <v/>
      </c>
      <c r="I608" s="559" t="str">
        <f t="shared" si="56"/>
        <v/>
      </c>
    </row>
    <row r="609" spans="2:9">
      <c r="B609" s="555" t="str">
        <f t="shared" si="51"/>
        <v/>
      </c>
      <c r="C609" s="556" t="str">
        <f t="shared" si="52"/>
        <v/>
      </c>
      <c r="D609" s="557" t="str">
        <f t="shared" si="53"/>
        <v/>
      </c>
      <c r="E609" s="560"/>
      <c r="F609" s="559"/>
      <c r="G609" s="559" t="str">
        <f t="shared" si="54"/>
        <v/>
      </c>
      <c r="H609" s="559" t="str">
        <f t="shared" si="55"/>
        <v/>
      </c>
      <c r="I609" s="559" t="str">
        <f t="shared" si="56"/>
        <v/>
      </c>
    </row>
    <row r="610" spans="2:9">
      <c r="B610" s="555" t="str">
        <f t="shared" si="51"/>
        <v/>
      </c>
      <c r="C610" s="556" t="str">
        <f t="shared" si="52"/>
        <v/>
      </c>
      <c r="D610" s="557" t="str">
        <f t="shared" si="53"/>
        <v/>
      </c>
      <c r="E610" s="560"/>
      <c r="F610" s="559"/>
      <c r="G610" s="559" t="str">
        <f t="shared" si="54"/>
        <v/>
      </c>
      <c r="H610" s="559" t="str">
        <f t="shared" si="55"/>
        <v/>
      </c>
      <c r="I610" s="559" t="str">
        <f t="shared" si="56"/>
        <v/>
      </c>
    </row>
    <row r="611" spans="2:9">
      <c r="B611" s="555" t="str">
        <f t="shared" si="51"/>
        <v/>
      </c>
      <c r="C611" s="556" t="str">
        <f t="shared" si="52"/>
        <v/>
      </c>
      <c r="D611" s="557" t="str">
        <f t="shared" si="53"/>
        <v/>
      </c>
      <c r="E611" s="560"/>
      <c r="F611" s="559"/>
      <c r="G611" s="559" t="str">
        <f t="shared" si="54"/>
        <v/>
      </c>
      <c r="H611" s="559" t="str">
        <f t="shared" si="55"/>
        <v/>
      </c>
      <c r="I611" s="559" t="str">
        <f t="shared" si="56"/>
        <v/>
      </c>
    </row>
    <row r="612" spans="2:9">
      <c r="B612" s="555" t="str">
        <f t="shared" si="51"/>
        <v/>
      </c>
      <c r="C612" s="556" t="str">
        <f t="shared" si="52"/>
        <v/>
      </c>
      <c r="D612" s="557" t="str">
        <f t="shared" si="53"/>
        <v/>
      </c>
      <c r="E612" s="560"/>
      <c r="F612" s="559"/>
      <c r="G612" s="559" t="str">
        <f t="shared" si="54"/>
        <v/>
      </c>
      <c r="H612" s="559" t="str">
        <f t="shared" si="55"/>
        <v/>
      </c>
      <c r="I612" s="559" t="str">
        <f t="shared" si="56"/>
        <v/>
      </c>
    </row>
    <row r="613" spans="2:9">
      <c r="B613" s="555" t="str">
        <f t="shared" si="51"/>
        <v/>
      </c>
      <c r="C613" s="556" t="str">
        <f t="shared" si="52"/>
        <v/>
      </c>
      <c r="D613" s="557" t="str">
        <f t="shared" si="53"/>
        <v/>
      </c>
      <c r="E613" s="560"/>
      <c r="F613" s="559"/>
      <c r="G613" s="559" t="str">
        <f t="shared" si="54"/>
        <v/>
      </c>
      <c r="H613" s="559" t="str">
        <f t="shared" si="55"/>
        <v/>
      </c>
      <c r="I613" s="559" t="str">
        <f t="shared" si="56"/>
        <v/>
      </c>
    </row>
    <row r="614" spans="2:9">
      <c r="B614" s="555" t="str">
        <f t="shared" si="51"/>
        <v/>
      </c>
      <c r="C614" s="556" t="str">
        <f t="shared" si="52"/>
        <v/>
      </c>
      <c r="D614" s="557" t="str">
        <f t="shared" si="53"/>
        <v/>
      </c>
      <c r="E614" s="560"/>
      <c r="F614" s="559"/>
      <c r="G614" s="559" t="str">
        <f t="shared" si="54"/>
        <v/>
      </c>
      <c r="H614" s="559" t="str">
        <f t="shared" si="55"/>
        <v/>
      </c>
      <c r="I614" s="559" t="str">
        <f t="shared" si="56"/>
        <v/>
      </c>
    </row>
    <row r="615" spans="2:9">
      <c r="B615" s="555" t="str">
        <f t="shared" si="51"/>
        <v/>
      </c>
      <c r="C615" s="556" t="str">
        <f t="shared" si="52"/>
        <v/>
      </c>
      <c r="D615" s="557" t="str">
        <f t="shared" si="53"/>
        <v/>
      </c>
      <c r="E615" s="560"/>
      <c r="F615" s="559"/>
      <c r="G615" s="559" t="str">
        <f t="shared" si="54"/>
        <v/>
      </c>
      <c r="H615" s="559" t="str">
        <f t="shared" si="55"/>
        <v/>
      </c>
      <c r="I615" s="559" t="str">
        <f t="shared" si="56"/>
        <v/>
      </c>
    </row>
    <row r="616" spans="2:9">
      <c r="B616" s="555" t="str">
        <f t="shared" si="51"/>
        <v/>
      </c>
      <c r="C616" s="556" t="str">
        <f t="shared" si="52"/>
        <v/>
      </c>
      <c r="D616" s="557" t="str">
        <f t="shared" si="53"/>
        <v/>
      </c>
      <c r="E616" s="560"/>
      <c r="F616" s="559"/>
      <c r="G616" s="559" t="str">
        <f t="shared" si="54"/>
        <v/>
      </c>
      <c r="H616" s="559" t="str">
        <f t="shared" si="55"/>
        <v/>
      </c>
      <c r="I616" s="559" t="str">
        <f t="shared" si="56"/>
        <v/>
      </c>
    </row>
    <row r="617" spans="2:9">
      <c r="B617" s="555" t="str">
        <f t="shared" si="51"/>
        <v/>
      </c>
      <c r="C617" s="556" t="str">
        <f t="shared" si="52"/>
        <v/>
      </c>
      <c r="D617" s="557" t="str">
        <f t="shared" si="53"/>
        <v/>
      </c>
      <c r="E617" s="560"/>
      <c r="F617" s="559"/>
      <c r="G617" s="559" t="str">
        <f t="shared" si="54"/>
        <v/>
      </c>
      <c r="H617" s="559" t="str">
        <f t="shared" si="55"/>
        <v/>
      </c>
      <c r="I617" s="559" t="str">
        <f t="shared" si="56"/>
        <v/>
      </c>
    </row>
    <row r="618" spans="2:9">
      <c r="B618" s="555" t="str">
        <f t="shared" si="51"/>
        <v/>
      </c>
      <c r="C618" s="556" t="str">
        <f t="shared" si="52"/>
        <v/>
      </c>
      <c r="D618" s="557" t="str">
        <f t="shared" si="53"/>
        <v/>
      </c>
      <c r="E618" s="560"/>
      <c r="F618" s="559"/>
      <c r="G618" s="559" t="str">
        <f t="shared" si="54"/>
        <v/>
      </c>
      <c r="H618" s="559" t="str">
        <f t="shared" si="55"/>
        <v/>
      </c>
      <c r="I618" s="559" t="str">
        <f t="shared" si="56"/>
        <v/>
      </c>
    </row>
    <row r="619" spans="2:9">
      <c r="B619" s="555" t="str">
        <f t="shared" si="51"/>
        <v/>
      </c>
      <c r="C619" s="556" t="str">
        <f t="shared" si="52"/>
        <v/>
      </c>
      <c r="D619" s="557" t="str">
        <f t="shared" si="53"/>
        <v/>
      </c>
      <c r="E619" s="560"/>
      <c r="F619" s="559"/>
      <c r="G619" s="559" t="str">
        <f t="shared" si="54"/>
        <v/>
      </c>
      <c r="H619" s="559" t="str">
        <f t="shared" si="55"/>
        <v/>
      </c>
      <c r="I619" s="559" t="str">
        <f t="shared" si="56"/>
        <v/>
      </c>
    </row>
    <row r="620" spans="2:9">
      <c r="B620" s="555" t="str">
        <f t="shared" si="51"/>
        <v/>
      </c>
      <c r="C620" s="556" t="str">
        <f t="shared" si="52"/>
        <v/>
      </c>
      <c r="D620" s="557" t="str">
        <f t="shared" si="53"/>
        <v/>
      </c>
      <c r="E620" s="560"/>
      <c r="F620" s="559"/>
      <c r="G620" s="559" t="str">
        <f t="shared" si="54"/>
        <v/>
      </c>
      <c r="H620" s="559" t="str">
        <f t="shared" si="55"/>
        <v/>
      </c>
      <c r="I620" s="559" t="str">
        <f t="shared" si="56"/>
        <v/>
      </c>
    </row>
    <row r="621" spans="2:9">
      <c r="B621" s="555" t="str">
        <f t="shared" si="51"/>
        <v/>
      </c>
      <c r="C621" s="556" t="str">
        <f t="shared" si="52"/>
        <v/>
      </c>
      <c r="D621" s="557" t="str">
        <f t="shared" si="53"/>
        <v/>
      </c>
      <c r="E621" s="560"/>
      <c r="F621" s="559"/>
      <c r="G621" s="559" t="str">
        <f t="shared" si="54"/>
        <v/>
      </c>
      <c r="H621" s="559" t="str">
        <f t="shared" si="55"/>
        <v/>
      </c>
      <c r="I621" s="559" t="str">
        <f t="shared" si="56"/>
        <v/>
      </c>
    </row>
    <row r="622" spans="2:9">
      <c r="B622" s="555" t="str">
        <f t="shared" si="51"/>
        <v/>
      </c>
      <c r="C622" s="556" t="str">
        <f t="shared" si="52"/>
        <v/>
      </c>
      <c r="D622" s="557" t="str">
        <f t="shared" si="53"/>
        <v/>
      </c>
      <c r="E622" s="560"/>
      <c r="F622" s="559"/>
      <c r="G622" s="559" t="str">
        <f t="shared" si="54"/>
        <v/>
      </c>
      <c r="H622" s="559" t="str">
        <f t="shared" si="55"/>
        <v/>
      </c>
      <c r="I622" s="559" t="str">
        <f t="shared" si="56"/>
        <v/>
      </c>
    </row>
    <row r="623" spans="2:9">
      <c r="B623" s="555" t="str">
        <f t="shared" si="51"/>
        <v/>
      </c>
      <c r="C623" s="556" t="str">
        <f t="shared" si="52"/>
        <v/>
      </c>
      <c r="D623" s="557" t="str">
        <f t="shared" si="53"/>
        <v/>
      </c>
      <c r="E623" s="560"/>
      <c r="F623" s="559"/>
      <c r="G623" s="559" t="str">
        <f t="shared" si="54"/>
        <v/>
      </c>
      <c r="H623" s="559" t="str">
        <f t="shared" si="55"/>
        <v/>
      </c>
      <c r="I623" s="559" t="str">
        <f t="shared" si="56"/>
        <v/>
      </c>
    </row>
    <row r="624" spans="2:9">
      <c r="B624" s="555" t="str">
        <f t="shared" si="51"/>
        <v/>
      </c>
      <c r="C624" s="556" t="str">
        <f t="shared" si="52"/>
        <v/>
      </c>
      <c r="D624" s="557" t="str">
        <f t="shared" si="53"/>
        <v/>
      </c>
      <c r="E624" s="560"/>
      <c r="F624" s="559"/>
      <c r="G624" s="559" t="str">
        <f t="shared" si="54"/>
        <v/>
      </c>
      <c r="H624" s="559" t="str">
        <f t="shared" si="55"/>
        <v/>
      </c>
      <c r="I624" s="559" t="str">
        <f t="shared" si="56"/>
        <v/>
      </c>
    </row>
    <row r="625" spans="2:9">
      <c r="B625" s="555" t="str">
        <f t="shared" si="51"/>
        <v/>
      </c>
      <c r="C625" s="556" t="str">
        <f t="shared" si="52"/>
        <v/>
      </c>
      <c r="D625" s="557" t="str">
        <f t="shared" si="53"/>
        <v/>
      </c>
      <c r="E625" s="560"/>
      <c r="F625" s="559"/>
      <c r="G625" s="559" t="str">
        <f t="shared" si="54"/>
        <v/>
      </c>
      <c r="H625" s="559" t="str">
        <f t="shared" si="55"/>
        <v/>
      </c>
      <c r="I625" s="559" t="str">
        <f t="shared" si="56"/>
        <v/>
      </c>
    </row>
    <row r="626" spans="2:9">
      <c r="B626" s="555" t="str">
        <f t="shared" si="51"/>
        <v/>
      </c>
      <c r="C626" s="556" t="str">
        <f t="shared" si="52"/>
        <v/>
      </c>
      <c r="D626" s="557" t="str">
        <f t="shared" si="53"/>
        <v/>
      </c>
      <c r="E626" s="560"/>
      <c r="F626" s="559"/>
      <c r="G626" s="559" t="str">
        <f t="shared" si="54"/>
        <v/>
      </c>
      <c r="H626" s="559" t="str">
        <f t="shared" si="55"/>
        <v/>
      </c>
      <c r="I626" s="559" t="str">
        <f t="shared" si="56"/>
        <v/>
      </c>
    </row>
    <row r="627" spans="2:9">
      <c r="B627" s="555" t="str">
        <f t="shared" si="51"/>
        <v/>
      </c>
      <c r="C627" s="556" t="str">
        <f t="shared" si="52"/>
        <v/>
      </c>
      <c r="D627" s="557" t="str">
        <f t="shared" si="53"/>
        <v/>
      </c>
      <c r="E627" s="560"/>
      <c r="F627" s="559"/>
      <c r="G627" s="559" t="str">
        <f t="shared" si="54"/>
        <v/>
      </c>
      <c r="H627" s="559" t="str">
        <f t="shared" si="55"/>
        <v/>
      </c>
      <c r="I627" s="559" t="str">
        <f t="shared" si="56"/>
        <v/>
      </c>
    </row>
    <row r="628" spans="2:9">
      <c r="B628" s="555" t="str">
        <f t="shared" si="51"/>
        <v/>
      </c>
      <c r="C628" s="556" t="str">
        <f t="shared" si="52"/>
        <v/>
      </c>
      <c r="D628" s="557" t="str">
        <f t="shared" si="53"/>
        <v/>
      </c>
      <c r="E628" s="560"/>
      <c r="F628" s="559"/>
      <c r="G628" s="559" t="str">
        <f t="shared" si="54"/>
        <v/>
      </c>
      <c r="H628" s="559" t="str">
        <f t="shared" si="55"/>
        <v/>
      </c>
      <c r="I628" s="559" t="str">
        <f t="shared" si="56"/>
        <v/>
      </c>
    </row>
    <row r="629" spans="2:9">
      <c r="B629" s="555" t="str">
        <f t="shared" si="51"/>
        <v/>
      </c>
      <c r="C629" s="556" t="str">
        <f t="shared" si="52"/>
        <v/>
      </c>
      <c r="D629" s="557" t="str">
        <f t="shared" si="53"/>
        <v/>
      </c>
      <c r="E629" s="560"/>
      <c r="F629" s="559"/>
      <c r="G629" s="559" t="str">
        <f t="shared" si="54"/>
        <v/>
      </c>
      <c r="H629" s="559" t="str">
        <f t="shared" si="55"/>
        <v/>
      </c>
      <c r="I629" s="559" t="str">
        <f t="shared" si="56"/>
        <v/>
      </c>
    </row>
    <row r="630" spans="2:9">
      <c r="B630" s="555" t="str">
        <f t="shared" si="51"/>
        <v/>
      </c>
      <c r="C630" s="556" t="str">
        <f t="shared" si="52"/>
        <v/>
      </c>
      <c r="D630" s="557" t="str">
        <f t="shared" si="53"/>
        <v/>
      </c>
      <c r="E630" s="560"/>
      <c r="F630" s="559"/>
      <c r="G630" s="559" t="str">
        <f t="shared" si="54"/>
        <v/>
      </c>
      <c r="H630" s="559" t="str">
        <f t="shared" si="55"/>
        <v/>
      </c>
      <c r="I630" s="559" t="str">
        <f t="shared" si="56"/>
        <v/>
      </c>
    </row>
    <row r="631" spans="2:9">
      <c r="B631" s="555" t="str">
        <f t="shared" si="51"/>
        <v/>
      </c>
      <c r="C631" s="556" t="str">
        <f t="shared" si="52"/>
        <v/>
      </c>
      <c r="D631" s="557" t="str">
        <f t="shared" si="53"/>
        <v/>
      </c>
      <c r="E631" s="560"/>
      <c r="F631" s="559"/>
      <c r="G631" s="559" t="str">
        <f t="shared" si="54"/>
        <v/>
      </c>
      <c r="H631" s="559" t="str">
        <f t="shared" si="55"/>
        <v/>
      </c>
      <c r="I631" s="559" t="str">
        <f t="shared" si="56"/>
        <v/>
      </c>
    </row>
    <row r="632" spans="2:9">
      <c r="B632" s="555" t="str">
        <f t="shared" si="51"/>
        <v/>
      </c>
      <c r="C632" s="556" t="str">
        <f t="shared" si="52"/>
        <v/>
      </c>
      <c r="D632" s="557" t="str">
        <f t="shared" si="53"/>
        <v/>
      </c>
      <c r="E632" s="560"/>
      <c r="F632" s="559"/>
      <c r="G632" s="559" t="str">
        <f t="shared" si="54"/>
        <v/>
      </c>
      <c r="H632" s="559" t="str">
        <f t="shared" si="55"/>
        <v/>
      </c>
      <c r="I632" s="559" t="str">
        <f t="shared" si="56"/>
        <v/>
      </c>
    </row>
    <row r="633" spans="2:9">
      <c r="B633" s="555" t="str">
        <f t="shared" si="51"/>
        <v/>
      </c>
      <c r="C633" s="556" t="str">
        <f t="shared" si="52"/>
        <v/>
      </c>
      <c r="D633" s="557" t="str">
        <f t="shared" si="53"/>
        <v/>
      </c>
      <c r="E633" s="560"/>
      <c r="F633" s="559"/>
      <c r="G633" s="559" t="str">
        <f t="shared" si="54"/>
        <v/>
      </c>
      <c r="H633" s="559" t="str">
        <f t="shared" si="55"/>
        <v/>
      </c>
      <c r="I633" s="559" t="str">
        <f t="shared" si="56"/>
        <v/>
      </c>
    </row>
    <row r="634" spans="2:9">
      <c r="B634" s="555" t="str">
        <f t="shared" si="51"/>
        <v/>
      </c>
      <c r="C634" s="556" t="str">
        <f t="shared" si="52"/>
        <v/>
      </c>
      <c r="D634" s="557" t="str">
        <f t="shared" si="53"/>
        <v/>
      </c>
      <c r="E634" s="560"/>
      <c r="F634" s="559"/>
      <c r="G634" s="559" t="str">
        <f t="shared" si="54"/>
        <v/>
      </c>
      <c r="H634" s="559" t="str">
        <f t="shared" si="55"/>
        <v/>
      </c>
      <c r="I634" s="559" t="str">
        <f t="shared" si="56"/>
        <v/>
      </c>
    </row>
    <row r="635" spans="2:9">
      <c r="B635" s="555" t="str">
        <f t="shared" si="51"/>
        <v/>
      </c>
      <c r="C635" s="556" t="str">
        <f t="shared" si="52"/>
        <v/>
      </c>
      <c r="D635" s="557" t="str">
        <f t="shared" si="53"/>
        <v/>
      </c>
      <c r="E635" s="560"/>
      <c r="F635" s="559"/>
      <c r="G635" s="559" t="str">
        <f t="shared" si="54"/>
        <v/>
      </c>
      <c r="H635" s="559" t="str">
        <f t="shared" si="55"/>
        <v/>
      </c>
      <c r="I635" s="559" t="str">
        <f t="shared" si="56"/>
        <v/>
      </c>
    </row>
    <row r="636" spans="2:9">
      <c r="B636" s="555" t="str">
        <f t="shared" si="51"/>
        <v/>
      </c>
      <c r="C636" s="556" t="str">
        <f t="shared" si="52"/>
        <v/>
      </c>
      <c r="D636" s="557" t="str">
        <f t="shared" si="53"/>
        <v/>
      </c>
      <c r="E636" s="560"/>
      <c r="F636" s="559"/>
      <c r="G636" s="559" t="str">
        <f t="shared" si="54"/>
        <v/>
      </c>
      <c r="H636" s="559" t="str">
        <f t="shared" si="55"/>
        <v/>
      </c>
      <c r="I636" s="559" t="str">
        <f t="shared" si="56"/>
        <v/>
      </c>
    </row>
    <row r="637" spans="2:9">
      <c r="B637" s="555" t="str">
        <f t="shared" ref="B637:B700" si="57">IF(I636="","",IF(roundOpt,IF(OR(B636&gt;=nper,ROUND(I636,2)&lt;=0),"",B636+1),IF(OR(B636&gt;=nper,I636&lt;=0),"",B636+1)))</f>
        <v/>
      </c>
      <c r="C637" s="556" t="str">
        <f t="shared" ref="C637:C700" si="58">IF(B637="","",IF(OR(periods_per_year=26,periods_per_year=52),IF(periods_per_year=26,IF(B637=1,fpdate,C636+14),IF(periods_per_year=52,IF(B637=1,fpdate,C636+7),"n/a")),IF(periods_per_year=24,DATE(YEAR(fpdate),MONTH(fpdate)+(B637-1)/2+IF(AND(DAY(fpdate)&gt;=15,MOD(B637,2)=0),1,0),IF(MOD(B637,2)=0,IF(DAY(fpdate)&gt;=15,DAY(fpdate)-14,DAY(fpdate)+14),DAY(fpdate))),IF(DAY(DATE(YEAR(fpdate),MONTH(fpdate)+(B637-1)*months_per_period,DAY(fpdate)))&lt;&gt;DAY(fpdate),DATE(YEAR(fpdate),MONTH(fpdate)+(B637-1)*months_per_period+1,0),DATE(YEAR(fpdate),MONTH(fpdate)+(B637-1)*months_per_period,DAY(fpdate))))))</f>
        <v/>
      </c>
      <c r="D637" s="557" t="str">
        <f t="shared" ref="D637:D700" si="59">IF(B637="","",IF(roundOpt,IF(OR(B637=nper,payment&gt;ROUND((1+rate)*I636,2)),ROUND((1+rate)*I636,2),payment),IF(OR(B637=nper,payment&gt;(1+rate)*I636),(1+rate)*I636,payment)))</f>
        <v/>
      </c>
      <c r="E637" s="560"/>
      <c r="F637" s="559"/>
      <c r="G637" s="559" t="str">
        <f t="shared" ref="G637:G700" si="60">IF(B637="","",IF(AND(B637=1,pmtType=1),0,IF(roundOpt,ROUND(rate*I636,2),rate*I636)))</f>
        <v/>
      </c>
      <c r="H637" s="559" t="str">
        <f t="shared" ref="H637:H700" si="61">IF(B637="","",D637-G637+E637)</f>
        <v/>
      </c>
      <c r="I637" s="559" t="str">
        <f t="shared" ref="I637:I700" si="62">IF(B637="","",I636-H637)</f>
        <v/>
      </c>
    </row>
    <row r="638" spans="2:9">
      <c r="B638" s="555" t="str">
        <f t="shared" si="57"/>
        <v/>
      </c>
      <c r="C638" s="556" t="str">
        <f t="shared" si="58"/>
        <v/>
      </c>
      <c r="D638" s="557" t="str">
        <f t="shared" si="59"/>
        <v/>
      </c>
      <c r="E638" s="560"/>
      <c r="F638" s="559"/>
      <c r="G638" s="559" t="str">
        <f t="shared" si="60"/>
        <v/>
      </c>
      <c r="H638" s="559" t="str">
        <f t="shared" si="61"/>
        <v/>
      </c>
      <c r="I638" s="559" t="str">
        <f t="shared" si="62"/>
        <v/>
      </c>
    </row>
    <row r="639" spans="2:9">
      <c r="B639" s="555" t="str">
        <f t="shared" si="57"/>
        <v/>
      </c>
      <c r="C639" s="556" t="str">
        <f t="shared" si="58"/>
        <v/>
      </c>
      <c r="D639" s="557" t="str">
        <f t="shared" si="59"/>
        <v/>
      </c>
      <c r="E639" s="560"/>
      <c r="F639" s="559"/>
      <c r="G639" s="559" t="str">
        <f t="shared" si="60"/>
        <v/>
      </c>
      <c r="H639" s="559" t="str">
        <f t="shared" si="61"/>
        <v/>
      </c>
      <c r="I639" s="559" t="str">
        <f t="shared" si="62"/>
        <v/>
      </c>
    </row>
    <row r="640" spans="2:9">
      <c r="B640" s="555" t="str">
        <f t="shared" si="57"/>
        <v/>
      </c>
      <c r="C640" s="556" t="str">
        <f t="shared" si="58"/>
        <v/>
      </c>
      <c r="D640" s="557" t="str">
        <f t="shared" si="59"/>
        <v/>
      </c>
      <c r="E640" s="560"/>
      <c r="F640" s="559"/>
      <c r="G640" s="559" t="str">
        <f t="shared" si="60"/>
        <v/>
      </c>
      <c r="H640" s="559" t="str">
        <f t="shared" si="61"/>
        <v/>
      </c>
      <c r="I640" s="559" t="str">
        <f t="shared" si="62"/>
        <v/>
      </c>
    </row>
    <row r="641" spans="2:9">
      <c r="B641" s="555" t="str">
        <f t="shared" si="57"/>
        <v/>
      </c>
      <c r="C641" s="556" t="str">
        <f t="shared" si="58"/>
        <v/>
      </c>
      <c r="D641" s="557" t="str">
        <f t="shared" si="59"/>
        <v/>
      </c>
      <c r="E641" s="560"/>
      <c r="F641" s="559"/>
      <c r="G641" s="559" t="str">
        <f t="shared" si="60"/>
        <v/>
      </c>
      <c r="H641" s="559" t="str">
        <f t="shared" si="61"/>
        <v/>
      </c>
      <c r="I641" s="559" t="str">
        <f t="shared" si="62"/>
        <v/>
      </c>
    </row>
    <row r="642" spans="2:9">
      <c r="B642" s="555" t="str">
        <f t="shared" si="57"/>
        <v/>
      </c>
      <c r="C642" s="556" t="str">
        <f t="shared" si="58"/>
        <v/>
      </c>
      <c r="D642" s="557" t="str">
        <f t="shared" si="59"/>
        <v/>
      </c>
      <c r="E642" s="560"/>
      <c r="F642" s="559"/>
      <c r="G642" s="559" t="str">
        <f t="shared" si="60"/>
        <v/>
      </c>
      <c r="H642" s="559" t="str">
        <f t="shared" si="61"/>
        <v/>
      </c>
      <c r="I642" s="559" t="str">
        <f t="shared" si="62"/>
        <v/>
      </c>
    </row>
    <row r="643" spans="2:9">
      <c r="B643" s="555" t="str">
        <f t="shared" si="57"/>
        <v/>
      </c>
      <c r="C643" s="556" t="str">
        <f t="shared" si="58"/>
        <v/>
      </c>
      <c r="D643" s="557" t="str">
        <f t="shared" si="59"/>
        <v/>
      </c>
      <c r="E643" s="560"/>
      <c r="F643" s="559"/>
      <c r="G643" s="559" t="str">
        <f t="shared" si="60"/>
        <v/>
      </c>
      <c r="H643" s="559" t="str">
        <f t="shared" si="61"/>
        <v/>
      </c>
      <c r="I643" s="559" t="str">
        <f t="shared" si="62"/>
        <v/>
      </c>
    </row>
    <row r="644" spans="2:9">
      <c r="B644" s="555" t="str">
        <f t="shared" si="57"/>
        <v/>
      </c>
      <c r="C644" s="556" t="str">
        <f t="shared" si="58"/>
        <v/>
      </c>
      <c r="D644" s="557" t="str">
        <f t="shared" si="59"/>
        <v/>
      </c>
      <c r="E644" s="560"/>
      <c r="F644" s="559"/>
      <c r="G644" s="559" t="str">
        <f t="shared" si="60"/>
        <v/>
      </c>
      <c r="H644" s="559" t="str">
        <f t="shared" si="61"/>
        <v/>
      </c>
      <c r="I644" s="559" t="str">
        <f t="shared" si="62"/>
        <v/>
      </c>
    </row>
    <row r="645" spans="2:9">
      <c r="B645" s="555" t="str">
        <f t="shared" si="57"/>
        <v/>
      </c>
      <c r="C645" s="556" t="str">
        <f t="shared" si="58"/>
        <v/>
      </c>
      <c r="D645" s="557" t="str">
        <f t="shared" si="59"/>
        <v/>
      </c>
      <c r="E645" s="560"/>
      <c r="F645" s="559"/>
      <c r="G645" s="559" t="str">
        <f t="shared" si="60"/>
        <v/>
      </c>
      <c r="H645" s="559" t="str">
        <f t="shared" si="61"/>
        <v/>
      </c>
      <c r="I645" s="559" t="str">
        <f t="shared" si="62"/>
        <v/>
      </c>
    </row>
    <row r="646" spans="2:9">
      <c r="B646" s="555" t="str">
        <f t="shared" si="57"/>
        <v/>
      </c>
      <c r="C646" s="556" t="str">
        <f t="shared" si="58"/>
        <v/>
      </c>
      <c r="D646" s="557" t="str">
        <f t="shared" si="59"/>
        <v/>
      </c>
      <c r="E646" s="560"/>
      <c r="F646" s="559"/>
      <c r="G646" s="559" t="str">
        <f t="shared" si="60"/>
        <v/>
      </c>
      <c r="H646" s="559" t="str">
        <f t="shared" si="61"/>
        <v/>
      </c>
      <c r="I646" s="559" t="str">
        <f t="shared" si="62"/>
        <v/>
      </c>
    </row>
    <row r="647" spans="2:9">
      <c r="B647" s="555" t="str">
        <f t="shared" si="57"/>
        <v/>
      </c>
      <c r="C647" s="556" t="str">
        <f t="shared" si="58"/>
        <v/>
      </c>
      <c r="D647" s="557" t="str">
        <f t="shared" si="59"/>
        <v/>
      </c>
      <c r="E647" s="560"/>
      <c r="F647" s="559"/>
      <c r="G647" s="559" t="str">
        <f t="shared" si="60"/>
        <v/>
      </c>
      <c r="H647" s="559" t="str">
        <f t="shared" si="61"/>
        <v/>
      </c>
      <c r="I647" s="559" t="str">
        <f t="shared" si="62"/>
        <v/>
      </c>
    </row>
    <row r="648" spans="2:9">
      <c r="B648" s="555" t="str">
        <f t="shared" si="57"/>
        <v/>
      </c>
      <c r="C648" s="556" t="str">
        <f t="shared" si="58"/>
        <v/>
      </c>
      <c r="D648" s="557" t="str">
        <f t="shared" si="59"/>
        <v/>
      </c>
      <c r="E648" s="560"/>
      <c r="F648" s="559"/>
      <c r="G648" s="559" t="str">
        <f t="shared" si="60"/>
        <v/>
      </c>
      <c r="H648" s="559" t="str">
        <f t="shared" si="61"/>
        <v/>
      </c>
      <c r="I648" s="559" t="str">
        <f t="shared" si="62"/>
        <v/>
      </c>
    </row>
    <row r="649" spans="2:9">
      <c r="B649" s="555" t="str">
        <f t="shared" si="57"/>
        <v/>
      </c>
      <c r="C649" s="556" t="str">
        <f t="shared" si="58"/>
        <v/>
      </c>
      <c r="D649" s="557" t="str">
        <f t="shared" si="59"/>
        <v/>
      </c>
      <c r="E649" s="560"/>
      <c r="F649" s="559"/>
      <c r="G649" s="559" t="str">
        <f t="shared" si="60"/>
        <v/>
      </c>
      <c r="H649" s="559" t="str">
        <f t="shared" si="61"/>
        <v/>
      </c>
      <c r="I649" s="559" t="str">
        <f t="shared" si="62"/>
        <v/>
      </c>
    </row>
    <row r="650" spans="2:9">
      <c r="B650" s="555" t="str">
        <f t="shared" si="57"/>
        <v/>
      </c>
      <c r="C650" s="556" t="str">
        <f t="shared" si="58"/>
        <v/>
      </c>
      <c r="D650" s="557" t="str">
        <f t="shared" si="59"/>
        <v/>
      </c>
      <c r="E650" s="560"/>
      <c r="F650" s="559"/>
      <c r="G650" s="559" t="str">
        <f t="shared" si="60"/>
        <v/>
      </c>
      <c r="H650" s="559" t="str">
        <f t="shared" si="61"/>
        <v/>
      </c>
      <c r="I650" s="559" t="str">
        <f t="shared" si="62"/>
        <v/>
      </c>
    </row>
    <row r="651" spans="2:9">
      <c r="B651" s="555" t="str">
        <f t="shared" si="57"/>
        <v/>
      </c>
      <c r="C651" s="556" t="str">
        <f t="shared" si="58"/>
        <v/>
      </c>
      <c r="D651" s="557" t="str">
        <f t="shared" si="59"/>
        <v/>
      </c>
      <c r="E651" s="560"/>
      <c r="F651" s="559"/>
      <c r="G651" s="559" t="str">
        <f t="shared" si="60"/>
        <v/>
      </c>
      <c r="H651" s="559" t="str">
        <f t="shared" si="61"/>
        <v/>
      </c>
      <c r="I651" s="559" t="str">
        <f t="shared" si="62"/>
        <v/>
      </c>
    </row>
    <row r="652" spans="2:9">
      <c r="B652" s="555" t="str">
        <f t="shared" si="57"/>
        <v/>
      </c>
      <c r="C652" s="556" t="str">
        <f t="shared" si="58"/>
        <v/>
      </c>
      <c r="D652" s="557" t="str">
        <f t="shared" si="59"/>
        <v/>
      </c>
      <c r="E652" s="560"/>
      <c r="F652" s="559"/>
      <c r="G652" s="559" t="str">
        <f t="shared" si="60"/>
        <v/>
      </c>
      <c r="H652" s="559" t="str">
        <f t="shared" si="61"/>
        <v/>
      </c>
      <c r="I652" s="559" t="str">
        <f t="shared" si="62"/>
        <v/>
      </c>
    </row>
    <row r="653" spans="2:9">
      <c r="B653" s="555" t="str">
        <f t="shared" si="57"/>
        <v/>
      </c>
      <c r="C653" s="556" t="str">
        <f t="shared" si="58"/>
        <v/>
      </c>
      <c r="D653" s="557" t="str">
        <f t="shared" si="59"/>
        <v/>
      </c>
      <c r="E653" s="560"/>
      <c r="F653" s="559"/>
      <c r="G653" s="559" t="str">
        <f t="shared" si="60"/>
        <v/>
      </c>
      <c r="H653" s="559" t="str">
        <f t="shared" si="61"/>
        <v/>
      </c>
      <c r="I653" s="559" t="str">
        <f t="shared" si="62"/>
        <v/>
      </c>
    </row>
    <row r="654" spans="2:9">
      <c r="B654" s="555" t="str">
        <f t="shared" si="57"/>
        <v/>
      </c>
      <c r="C654" s="556" t="str">
        <f t="shared" si="58"/>
        <v/>
      </c>
      <c r="D654" s="557" t="str">
        <f t="shared" si="59"/>
        <v/>
      </c>
      <c r="E654" s="560"/>
      <c r="F654" s="559"/>
      <c r="G654" s="559" t="str">
        <f t="shared" si="60"/>
        <v/>
      </c>
      <c r="H654" s="559" t="str">
        <f t="shared" si="61"/>
        <v/>
      </c>
      <c r="I654" s="559" t="str">
        <f t="shared" si="62"/>
        <v/>
      </c>
    </row>
    <row r="655" spans="2:9">
      <c r="B655" s="555" t="str">
        <f t="shared" si="57"/>
        <v/>
      </c>
      <c r="C655" s="556" t="str">
        <f t="shared" si="58"/>
        <v/>
      </c>
      <c r="D655" s="557" t="str">
        <f t="shared" si="59"/>
        <v/>
      </c>
      <c r="E655" s="560"/>
      <c r="F655" s="559"/>
      <c r="G655" s="559" t="str">
        <f t="shared" si="60"/>
        <v/>
      </c>
      <c r="H655" s="559" t="str">
        <f t="shared" si="61"/>
        <v/>
      </c>
      <c r="I655" s="559" t="str">
        <f t="shared" si="62"/>
        <v/>
      </c>
    </row>
    <row r="656" spans="2:9">
      <c r="B656" s="555" t="str">
        <f t="shared" si="57"/>
        <v/>
      </c>
      <c r="C656" s="556" t="str">
        <f t="shared" si="58"/>
        <v/>
      </c>
      <c r="D656" s="557" t="str">
        <f t="shared" si="59"/>
        <v/>
      </c>
      <c r="E656" s="560"/>
      <c r="F656" s="559"/>
      <c r="G656" s="559" t="str">
        <f t="shared" si="60"/>
        <v/>
      </c>
      <c r="H656" s="559" t="str">
        <f t="shared" si="61"/>
        <v/>
      </c>
      <c r="I656" s="559" t="str">
        <f t="shared" si="62"/>
        <v/>
      </c>
    </row>
    <row r="657" spans="2:9">
      <c r="B657" s="555" t="str">
        <f t="shared" si="57"/>
        <v/>
      </c>
      <c r="C657" s="556" t="str">
        <f t="shared" si="58"/>
        <v/>
      </c>
      <c r="D657" s="557" t="str">
        <f t="shared" si="59"/>
        <v/>
      </c>
      <c r="E657" s="560"/>
      <c r="F657" s="559"/>
      <c r="G657" s="559" t="str">
        <f t="shared" si="60"/>
        <v/>
      </c>
      <c r="H657" s="559" t="str">
        <f t="shared" si="61"/>
        <v/>
      </c>
      <c r="I657" s="559" t="str">
        <f t="shared" si="62"/>
        <v/>
      </c>
    </row>
    <row r="658" spans="2:9">
      <c r="B658" s="555" t="str">
        <f t="shared" si="57"/>
        <v/>
      </c>
      <c r="C658" s="556" t="str">
        <f t="shared" si="58"/>
        <v/>
      </c>
      <c r="D658" s="557" t="str">
        <f t="shared" si="59"/>
        <v/>
      </c>
      <c r="E658" s="560"/>
      <c r="F658" s="559"/>
      <c r="G658" s="559" t="str">
        <f t="shared" si="60"/>
        <v/>
      </c>
      <c r="H658" s="559" t="str">
        <f t="shared" si="61"/>
        <v/>
      </c>
      <c r="I658" s="559" t="str">
        <f t="shared" si="62"/>
        <v/>
      </c>
    </row>
    <row r="659" spans="2:9">
      <c r="B659" s="555" t="str">
        <f t="shared" si="57"/>
        <v/>
      </c>
      <c r="C659" s="556" t="str">
        <f t="shared" si="58"/>
        <v/>
      </c>
      <c r="D659" s="557" t="str">
        <f t="shared" si="59"/>
        <v/>
      </c>
      <c r="E659" s="560"/>
      <c r="F659" s="559"/>
      <c r="G659" s="559" t="str">
        <f t="shared" si="60"/>
        <v/>
      </c>
      <c r="H659" s="559" t="str">
        <f t="shared" si="61"/>
        <v/>
      </c>
      <c r="I659" s="559" t="str">
        <f t="shared" si="62"/>
        <v/>
      </c>
    </row>
    <row r="660" spans="2:9">
      <c r="B660" s="555" t="str">
        <f t="shared" si="57"/>
        <v/>
      </c>
      <c r="C660" s="556" t="str">
        <f t="shared" si="58"/>
        <v/>
      </c>
      <c r="D660" s="557" t="str">
        <f t="shared" si="59"/>
        <v/>
      </c>
      <c r="E660" s="560"/>
      <c r="F660" s="559"/>
      <c r="G660" s="559" t="str">
        <f t="shared" si="60"/>
        <v/>
      </c>
      <c r="H660" s="559" t="str">
        <f t="shared" si="61"/>
        <v/>
      </c>
      <c r="I660" s="559" t="str">
        <f t="shared" si="62"/>
        <v/>
      </c>
    </row>
    <row r="661" spans="2:9">
      <c r="B661" s="555" t="str">
        <f t="shared" si="57"/>
        <v/>
      </c>
      <c r="C661" s="556" t="str">
        <f t="shared" si="58"/>
        <v/>
      </c>
      <c r="D661" s="557" t="str">
        <f t="shared" si="59"/>
        <v/>
      </c>
      <c r="E661" s="560"/>
      <c r="F661" s="559"/>
      <c r="G661" s="559" t="str">
        <f t="shared" si="60"/>
        <v/>
      </c>
      <c r="H661" s="559" t="str">
        <f t="shared" si="61"/>
        <v/>
      </c>
      <c r="I661" s="559" t="str">
        <f t="shared" si="62"/>
        <v/>
      </c>
    </row>
    <row r="662" spans="2:9">
      <c r="B662" s="555" t="str">
        <f t="shared" si="57"/>
        <v/>
      </c>
      <c r="C662" s="556" t="str">
        <f t="shared" si="58"/>
        <v/>
      </c>
      <c r="D662" s="557" t="str">
        <f t="shared" si="59"/>
        <v/>
      </c>
      <c r="E662" s="560"/>
      <c r="F662" s="559"/>
      <c r="G662" s="559" t="str">
        <f t="shared" si="60"/>
        <v/>
      </c>
      <c r="H662" s="559" t="str">
        <f t="shared" si="61"/>
        <v/>
      </c>
      <c r="I662" s="559" t="str">
        <f t="shared" si="62"/>
        <v/>
      </c>
    </row>
    <row r="663" spans="2:9">
      <c r="B663" s="555" t="str">
        <f t="shared" si="57"/>
        <v/>
      </c>
      <c r="C663" s="556" t="str">
        <f t="shared" si="58"/>
        <v/>
      </c>
      <c r="D663" s="557" t="str">
        <f t="shared" si="59"/>
        <v/>
      </c>
      <c r="E663" s="560"/>
      <c r="F663" s="559"/>
      <c r="G663" s="559" t="str">
        <f t="shared" si="60"/>
        <v/>
      </c>
      <c r="H663" s="559" t="str">
        <f t="shared" si="61"/>
        <v/>
      </c>
      <c r="I663" s="559" t="str">
        <f t="shared" si="62"/>
        <v/>
      </c>
    </row>
    <row r="664" spans="2:9">
      <c r="B664" s="555" t="str">
        <f t="shared" si="57"/>
        <v/>
      </c>
      <c r="C664" s="556" t="str">
        <f t="shared" si="58"/>
        <v/>
      </c>
      <c r="D664" s="557" t="str">
        <f t="shared" si="59"/>
        <v/>
      </c>
      <c r="E664" s="560"/>
      <c r="F664" s="559"/>
      <c r="G664" s="559" t="str">
        <f t="shared" si="60"/>
        <v/>
      </c>
      <c r="H664" s="559" t="str">
        <f t="shared" si="61"/>
        <v/>
      </c>
      <c r="I664" s="559" t="str">
        <f t="shared" si="62"/>
        <v/>
      </c>
    </row>
    <row r="665" spans="2:9">
      <c r="B665" s="555" t="str">
        <f t="shared" si="57"/>
        <v/>
      </c>
      <c r="C665" s="556" t="str">
        <f t="shared" si="58"/>
        <v/>
      </c>
      <c r="D665" s="557" t="str">
        <f t="shared" si="59"/>
        <v/>
      </c>
      <c r="E665" s="560"/>
      <c r="F665" s="559"/>
      <c r="G665" s="559" t="str">
        <f t="shared" si="60"/>
        <v/>
      </c>
      <c r="H665" s="559" t="str">
        <f t="shared" si="61"/>
        <v/>
      </c>
      <c r="I665" s="559" t="str">
        <f t="shared" si="62"/>
        <v/>
      </c>
    </row>
    <row r="666" spans="2:9">
      <c r="B666" s="555" t="str">
        <f t="shared" si="57"/>
        <v/>
      </c>
      <c r="C666" s="556" t="str">
        <f t="shared" si="58"/>
        <v/>
      </c>
      <c r="D666" s="557" t="str">
        <f t="shared" si="59"/>
        <v/>
      </c>
      <c r="E666" s="560"/>
      <c r="F666" s="559"/>
      <c r="G666" s="559" t="str">
        <f t="shared" si="60"/>
        <v/>
      </c>
      <c r="H666" s="559" t="str">
        <f t="shared" si="61"/>
        <v/>
      </c>
      <c r="I666" s="559" t="str">
        <f t="shared" si="62"/>
        <v/>
      </c>
    </row>
    <row r="667" spans="2:9">
      <c r="B667" s="555" t="str">
        <f t="shared" si="57"/>
        <v/>
      </c>
      <c r="C667" s="556" t="str">
        <f t="shared" si="58"/>
        <v/>
      </c>
      <c r="D667" s="557" t="str">
        <f t="shared" si="59"/>
        <v/>
      </c>
      <c r="E667" s="560"/>
      <c r="F667" s="559"/>
      <c r="G667" s="559" t="str">
        <f t="shared" si="60"/>
        <v/>
      </c>
      <c r="H667" s="559" t="str">
        <f t="shared" si="61"/>
        <v/>
      </c>
      <c r="I667" s="559" t="str">
        <f t="shared" si="62"/>
        <v/>
      </c>
    </row>
    <row r="668" spans="2:9">
      <c r="B668" s="555" t="str">
        <f t="shared" si="57"/>
        <v/>
      </c>
      <c r="C668" s="556" t="str">
        <f t="shared" si="58"/>
        <v/>
      </c>
      <c r="D668" s="557" t="str">
        <f t="shared" si="59"/>
        <v/>
      </c>
      <c r="E668" s="560"/>
      <c r="F668" s="559"/>
      <c r="G668" s="559" t="str">
        <f t="shared" si="60"/>
        <v/>
      </c>
      <c r="H668" s="559" t="str">
        <f t="shared" si="61"/>
        <v/>
      </c>
      <c r="I668" s="559" t="str">
        <f t="shared" si="62"/>
        <v/>
      </c>
    </row>
    <row r="669" spans="2:9">
      <c r="B669" s="555" t="str">
        <f t="shared" si="57"/>
        <v/>
      </c>
      <c r="C669" s="556" t="str">
        <f t="shared" si="58"/>
        <v/>
      </c>
      <c r="D669" s="557" t="str">
        <f t="shared" si="59"/>
        <v/>
      </c>
      <c r="E669" s="560"/>
      <c r="F669" s="559"/>
      <c r="G669" s="559" t="str">
        <f t="shared" si="60"/>
        <v/>
      </c>
      <c r="H669" s="559" t="str">
        <f t="shared" si="61"/>
        <v/>
      </c>
      <c r="I669" s="559" t="str">
        <f t="shared" si="62"/>
        <v/>
      </c>
    </row>
    <row r="670" spans="2:9">
      <c r="B670" s="555" t="str">
        <f t="shared" si="57"/>
        <v/>
      </c>
      <c r="C670" s="556" t="str">
        <f t="shared" si="58"/>
        <v/>
      </c>
      <c r="D670" s="557" t="str">
        <f t="shared" si="59"/>
        <v/>
      </c>
      <c r="E670" s="560"/>
      <c r="F670" s="559"/>
      <c r="G670" s="559" t="str">
        <f t="shared" si="60"/>
        <v/>
      </c>
      <c r="H670" s="559" t="str">
        <f t="shared" si="61"/>
        <v/>
      </c>
      <c r="I670" s="559" t="str">
        <f t="shared" si="62"/>
        <v/>
      </c>
    </row>
    <row r="671" spans="2:9">
      <c r="B671" s="555" t="str">
        <f t="shared" si="57"/>
        <v/>
      </c>
      <c r="C671" s="556" t="str">
        <f t="shared" si="58"/>
        <v/>
      </c>
      <c r="D671" s="557" t="str">
        <f t="shared" si="59"/>
        <v/>
      </c>
      <c r="E671" s="560"/>
      <c r="F671" s="559"/>
      <c r="G671" s="559" t="str">
        <f t="shared" si="60"/>
        <v/>
      </c>
      <c r="H671" s="559" t="str">
        <f t="shared" si="61"/>
        <v/>
      </c>
      <c r="I671" s="559" t="str">
        <f t="shared" si="62"/>
        <v/>
      </c>
    </row>
    <row r="672" spans="2:9">
      <c r="B672" s="555" t="str">
        <f t="shared" si="57"/>
        <v/>
      </c>
      <c r="C672" s="556" t="str">
        <f t="shared" si="58"/>
        <v/>
      </c>
      <c r="D672" s="557" t="str">
        <f t="shared" si="59"/>
        <v/>
      </c>
      <c r="E672" s="560"/>
      <c r="F672" s="559"/>
      <c r="G672" s="559" t="str">
        <f t="shared" si="60"/>
        <v/>
      </c>
      <c r="H672" s="559" t="str">
        <f t="shared" si="61"/>
        <v/>
      </c>
      <c r="I672" s="559" t="str">
        <f t="shared" si="62"/>
        <v/>
      </c>
    </row>
    <row r="673" spans="2:9">
      <c r="B673" s="555" t="str">
        <f t="shared" si="57"/>
        <v/>
      </c>
      <c r="C673" s="556" t="str">
        <f t="shared" si="58"/>
        <v/>
      </c>
      <c r="D673" s="557" t="str">
        <f t="shared" si="59"/>
        <v/>
      </c>
      <c r="E673" s="560"/>
      <c r="F673" s="559"/>
      <c r="G673" s="559" t="str">
        <f t="shared" si="60"/>
        <v/>
      </c>
      <c r="H673" s="559" t="str">
        <f t="shared" si="61"/>
        <v/>
      </c>
      <c r="I673" s="559" t="str">
        <f t="shared" si="62"/>
        <v/>
      </c>
    </row>
    <row r="674" spans="2:9">
      <c r="B674" s="555" t="str">
        <f t="shared" si="57"/>
        <v/>
      </c>
      <c r="C674" s="556" t="str">
        <f t="shared" si="58"/>
        <v/>
      </c>
      <c r="D674" s="557" t="str">
        <f t="shared" si="59"/>
        <v/>
      </c>
      <c r="E674" s="560"/>
      <c r="F674" s="559"/>
      <c r="G674" s="559" t="str">
        <f t="shared" si="60"/>
        <v/>
      </c>
      <c r="H674" s="559" t="str">
        <f t="shared" si="61"/>
        <v/>
      </c>
      <c r="I674" s="559" t="str">
        <f t="shared" si="62"/>
        <v/>
      </c>
    </row>
    <row r="675" spans="2:9">
      <c r="B675" s="555" t="str">
        <f t="shared" si="57"/>
        <v/>
      </c>
      <c r="C675" s="556" t="str">
        <f t="shared" si="58"/>
        <v/>
      </c>
      <c r="D675" s="557" t="str">
        <f t="shared" si="59"/>
        <v/>
      </c>
      <c r="E675" s="560"/>
      <c r="F675" s="559"/>
      <c r="G675" s="559" t="str">
        <f t="shared" si="60"/>
        <v/>
      </c>
      <c r="H675" s="559" t="str">
        <f t="shared" si="61"/>
        <v/>
      </c>
      <c r="I675" s="559" t="str">
        <f t="shared" si="62"/>
        <v/>
      </c>
    </row>
    <row r="676" spans="2:9">
      <c r="B676" s="555" t="str">
        <f t="shared" si="57"/>
        <v/>
      </c>
      <c r="C676" s="556" t="str">
        <f t="shared" si="58"/>
        <v/>
      </c>
      <c r="D676" s="557" t="str">
        <f t="shared" si="59"/>
        <v/>
      </c>
      <c r="E676" s="560"/>
      <c r="F676" s="559"/>
      <c r="G676" s="559" t="str">
        <f t="shared" si="60"/>
        <v/>
      </c>
      <c r="H676" s="559" t="str">
        <f t="shared" si="61"/>
        <v/>
      </c>
      <c r="I676" s="559" t="str">
        <f t="shared" si="62"/>
        <v/>
      </c>
    </row>
    <row r="677" spans="2:9">
      <c r="B677" s="555" t="str">
        <f t="shared" si="57"/>
        <v/>
      </c>
      <c r="C677" s="556" t="str">
        <f t="shared" si="58"/>
        <v/>
      </c>
      <c r="D677" s="557" t="str">
        <f t="shared" si="59"/>
        <v/>
      </c>
      <c r="E677" s="560"/>
      <c r="F677" s="559"/>
      <c r="G677" s="559" t="str">
        <f t="shared" si="60"/>
        <v/>
      </c>
      <c r="H677" s="559" t="str">
        <f t="shared" si="61"/>
        <v/>
      </c>
      <c r="I677" s="559" t="str">
        <f t="shared" si="62"/>
        <v/>
      </c>
    </row>
    <row r="678" spans="2:9">
      <c r="B678" s="555" t="str">
        <f t="shared" si="57"/>
        <v/>
      </c>
      <c r="C678" s="556" t="str">
        <f t="shared" si="58"/>
        <v/>
      </c>
      <c r="D678" s="557" t="str">
        <f t="shared" si="59"/>
        <v/>
      </c>
      <c r="E678" s="560"/>
      <c r="F678" s="559"/>
      <c r="G678" s="559" t="str">
        <f t="shared" si="60"/>
        <v/>
      </c>
      <c r="H678" s="559" t="str">
        <f t="shared" si="61"/>
        <v/>
      </c>
      <c r="I678" s="559" t="str">
        <f t="shared" si="62"/>
        <v/>
      </c>
    </row>
    <row r="679" spans="2:9">
      <c r="B679" s="555" t="str">
        <f t="shared" si="57"/>
        <v/>
      </c>
      <c r="C679" s="556" t="str">
        <f t="shared" si="58"/>
        <v/>
      </c>
      <c r="D679" s="557" t="str">
        <f t="shared" si="59"/>
        <v/>
      </c>
      <c r="E679" s="560"/>
      <c r="F679" s="559"/>
      <c r="G679" s="559" t="str">
        <f t="shared" si="60"/>
        <v/>
      </c>
      <c r="H679" s="559" t="str">
        <f t="shared" si="61"/>
        <v/>
      </c>
      <c r="I679" s="559" t="str">
        <f t="shared" si="62"/>
        <v/>
      </c>
    </row>
    <row r="680" spans="2:9">
      <c r="B680" s="555" t="str">
        <f t="shared" si="57"/>
        <v/>
      </c>
      <c r="C680" s="556" t="str">
        <f t="shared" si="58"/>
        <v/>
      </c>
      <c r="D680" s="557" t="str">
        <f t="shared" si="59"/>
        <v/>
      </c>
      <c r="E680" s="560"/>
      <c r="F680" s="559"/>
      <c r="G680" s="559" t="str">
        <f t="shared" si="60"/>
        <v/>
      </c>
      <c r="H680" s="559" t="str">
        <f t="shared" si="61"/>
        <v/>
      </c>
      <c r="I680" s="559" t="str">
        <f t="shared" si="62"/>
        <v/>
      </c>
    </row>
    <row r="681" spans="2:9">
      <c r="B681" s="555" t="str">
        <f t="shared" si="57"/>
        <v/>
      </c>
      <c r="C681" s="556" t="str">
        <f t="shared" si="58"/>
        <v/>
      </c>
      <c r="D681" s="557" t="str">
        <f t="shared" si="59"/>
        <v/>
      </c>
      <c r="E681" s="560"/>
      <c r="F681" s="559"/>
      <c r="G681" s="559" t="str">
        <f t="shared" si="60"/>
        <v/>
      </c>
      <c r="H681" s="559" t="str">
        <f t="shared" si="61"/>
        <v/>
      </c>
      <c r="I681" s="559" t="str">
        <f t="shared" si="62"/>
        <v/>
      </c>
    </row>
    <row r="682" spans="2:9">
      <c r="B682" s="555" t="str">
        <f t="shared" si="57"/>
        <v/>
      </c>
      <c r="C682" s="556" t="str">
        <f t="shared" si="58"/>
        <v/>
      </c>
      <c r="D682" s="557" t="str">
        <f t="shared" si="59"/>
        <v/>
      </c>
      <c r="E682" s="560"/>
      <c r="F682" s="559"/>
      <c r="G682" s="559" t="str">
        <f t="shared" si="60"/>
        <v/>
      </c>
      <c r="H682" s="559" t="str">
        <f t="shared" si="61"/>
        <v/>
      </c>
      <c r="I682" s="559" t="str">
        <f t="shared" si="62"/>
        <v/>
      </c>
    </row>
    <row r="683" spans="2:9">
      <c r="B683" s="555" t="str">
        <f t="shared" si="57"/>
        <v/>
      </c>
      <c r="C683" s="556" t="str">
        <f t="shared" si="58"/>
        <v/>
      </c>
      <c r="D683" s="557" t="str">
        <f t="shared" si="59"/>
        <v/>
      </c>
      <c r="E683" s="560"/>
      <c r="F683" s="559"/>
      <c r="G683" s="559" t="str">
        <f t="shared" si="60"/>
        <v/>
      </c>
      <c r="H683" s="559" t="str">
        <f t="shared" si="61"/>
        <v/>
      </c>
      <c r="I683" s="559" t="str">
        <f t="shared" si="62"/>
        <v/>
      </c>
    </row>
    <row r="684" spans="2:9">
      <c r="B684" s="555" t="str">
        <f t="shared" si="57"/>
        <v/>
      </c>
      <c r="C684" s="556" t="str">
        <f t="shared" si="58"/>
        <v/>
      </c>
      <c r="D684" s="557" t="str">
        <f t="shared" si="59"/>
        <v/>
      </c>
      <c r="E684" s="560"/>
      <c r="F684" s="559"/>
      <c r="G684" s="559" t="str">
        <f t="shared" si="60"/>
        <v/>
      </c>
      <c r="H684" s="559" t="str">
        <f t="shared" si="61"/>
        <v/>
      </c>
      <c r="I684" s="559" t="str">
        <f t="shared" si="62"/>
        <v/>
      </c>
    </row>
    <row r="685" spans="2:9">
      <c r="B685" s="555" t="str">
        <f t="shared" si="57"/>
        <v/>
      </c>
      <c r="C685" s="556" t="str">
        <f t="shared" si="58"/>
        <v/>
      </c>
      <c r="D685" s="557" t="str">
        <f t="shared" si="59"/>
        <v/>
      </c>
      <c r="E685" s="560"/>
      <c r="F685" s="559"/>
      <c r="G685" s="559" t="str">
        <f t="shared" si="60"/>
        <v/>
      </c>
      <c r="H685" s="559" t="str">
        <f t="shared" si="61"/>
        <v/>
      </c>
      <c r="I685" s="559" t="str">
        <f t="shared" si="62"/>
        <v/>
      </c>
    </row>
    <row r="686" spans="2:9">
      <c r="B686" s="555" t="str">
        <f t="shared" si="57"/>
        <v/>
      </c>
      <c r="C686" s="556" t="str">
        <f t="shared" si="58"/>
        <v/>
      </c>
      <c r="D686" s="557" t="str">
        <f t="shared" si="59"/>
        <v/>
      </c>
      <c r="E686" s="560"/>
      <c r="F686" s="559"/>
      <c r="G686" s="559" t="str">
        <f t="shared" si="60"/>
        <v/>
      </c>
      <c r="H686" s="559" t="str">
        <f t="shared" si="61"/>
        <v/>
      </c>
      <c r="I686" s="559" t="str">
        <f t="shared" si="62"/>
        <v/>
      </c>
    </row>
    <row r="687" spans="2:9">
      <c r="B687" s="555" t="str">
        <f t="shared" si="57"/>
        <v/>
      </c>
      <c r="C687" s="556" t="str">
        <f t="shared" si="58"/>
        <v/>
      </c>
      <c r="D687" s="557" t="str">
        <f t="shared" si="59"/>
        <v/>
      </c>
      <c r="E687" s="560"/>
      <c r="F687" s="559"/>
      <c r="G687" s="559" t="str">
        <f t="shared" si="60"/>
        <v/>
      </c>
      <c r="H687" s="559" t="str">
        <f t="shared" si="61"/>
        <v/>
      </c>
      <c r="I687" s="559" t="str">
        <f t="shared" si="62"/>
        <v/>
      </c>
    </row>
    <row r="688" spans="2:9">
      <c r="B688" s="555" t="str">
        <f t="shared" si="57"/>
        <v/>
      </c>
      <c r="C688" s="556" t="str">
        <f t="shared" si="58"/>
        <v/>
      </c>
      <c r="D688" s="557" t="str">
        <f t="shared" si="59"/>
        <v/>
      </c>
      <c r="E688" s="560"/>
      <c r="F688" s="559"/>
      <c r="G688" s="559" t="str">
        <f t="shared" si="60"/>
        <v/>
      </c>
      <c r="H688" s="559" t="str">
        <f t="shared" si="61"/>
        <v/>
      </c>
      <c r="I688" s="559" t="str">
        <f t="shared" si="62"/>
        <v/>
      </c>
    </row>
    <row r="689" spans="2:9">
      <c r="B689" s="555" t="str">
        <f t="shared" si="57"/>
        <v/>
      </c>
      <c r="C689" s="556" t="str">
        <f t="shared" si="58"/>
        <v/>
      </c>
      <c r="D689" s="557" t="str">
        <f t="shared" si="59"/>
        <v/>
      </c>
      <c r="E689" s="560"/>
      <c r="F689" s="559"/>
      <c r="G689" s="559" t="str">
        <f t="shared" si="60"/>
        <v/>
      </c>
      <c r="H689" s="559" t="str">
        <f t="shared" si="61"/>
        <v/>
      </c>
      <c r="I689" s="559" t="str">
        <f t="shared" si="62"/>
        <v/>
      </c>
    </row>
    <row r="690" spans="2:9">
      <c r="B690" s="555" t="str">
        <f t="shared" si="57"/>
        <v/>
      </c>
      <c r="C690" s="556" t="str">
        <f t="shared" si="58"/>
        <v/>
      </c>
      <c r="D690" s="557" t="str">
        <f t="shared" si="59"/>
        <v/>
      </c>
      <c r="E690" s="560"/>
      <c r="F690" s="559"/>
      <c r="G690" s="559" t="str">
        <f t="shared" si="60"/>
        <v/>
      </c>
      <c r="H690" s="559" t="str">
        <f t="shared" si="61"/>
        <v/>
      </c>
      <c r="I690" s="559" t="str">
        <f t="shared" si="62"/>
        <v/>
      </c>
    </row>
    <row r="691" spans="2:9">
      <c r="B691" s="555" t="str">
        <f t="shared" si="57"/>
        <v/>
      </c>
      <c r="C691" s="556" t="str">
        <f t="shared" si="58"/>
        <v/>
      </c>
      <c r="D691" s="557" t="str">
        <f t="shared" si="59"/>
        <v/>
      </c>
      <c r="E691" s="560"/>
      <c r="F691" s="559"/>
      <c r="G691" s="559" t="str">
        <f t="shared" si="60"/>
        <v/>
      </c>
      <c r="H691" s="559" t="str">
        <f t="shared" si="61"/>
        <v/>
      </c>
      <c r="I691" s="559" t="str">
        <f t="shared" si="62"/>
        <v/>
      </c>
    </row>
    <row r="692" spans="2:9">
      <c r="B692" s="555" t="str">
        <f t="shared" si="57"/>
        <v/>
      </c>
      <c r="C692" s="556" t="str">
        <f t="shared" si="58"/>
        <v/>
      </c>
      <c r="D692" s="557" t="str">
        <f t="shared" si="59"/>
        <v/>
      </c>
      <c r="E692" s="560"/>
      <c r="F692" s="559"/>
      <c r="G692" s="559" t="str">
        <f t="shared" si="60"/>
        <v/>
      </c>
      <c r="H692" s="559" t="str">
        <f t="shared" si="61"/>
        <v/>
      </c>
      <c r="I692" s="559" t="str">
        <f t="shared" si="62"/>
        <v/>
      </c>
    </row>
    <row r="693" spans="2:9">
      <c r="B693" s="555" t="str">
        <f t="shared" si="57"/>
        <v/>
      </c>
      <c r="C693" s="556" t="str">
        <f t="shared" si="58"/>
        <v/>
      </c>
      <c r="D693" s="557" t="str">
        <f t="shared" si="59"/>
        <v/>
      </c>
      <c r="E693" s="560"/>
      <c r="F693" s="559"/>
      <c r="G693" s="559" t="str">
        <f t="shared" si="60"/>
        <v/>
      </c>
      <c r="H693" s="559" t="str">
        <f t="shared" si="61"/>
        <v/>
      </c>
      <c r="I693" s="559" t="str">
        <f t="shared" si="62"/>
        <v/>
      </c>
    </row>
    <row r="694" spans="2:9">
      <c r="B694" s="555" t="str">
        <f t="shared" si="57"/>
        <v/>
      </c>
      <c r="C694" s="556" t="str">
        <f t="shared" si="58"/>
        <v/>
      </c>
      <c r="D694" s="557" t="str">
        <f t="shared" si="59"/>
        <v/>
      </c>
      <c r="E694" s="560"/>
      <c r="F694" s="559"/>
      <c r="G694" s="559" t="str">
        <f t="shared" si="60"/>
        <v/>
      </c>
      <c r="H694" s="559" t="str">
        <f t="shared" si="61"/>
        <v/>
      </c>
      <c r="I694" s="559" t="str">
        <f t="shared" si="62"/>
        <v/>
      </c>
    </row>
    <row r="695" spans="2:9">
      <c r="B695" s="555" t="str">
        <f t="shared" si="57"/>
        <v/>
      </c>
      <c r="C695" s="556" t="str">
        <f t="shared" si="58"/>
        <v/>
      </c>
      <c r="D695" s="557" t="str">
        <f t="shared" si="59"/>
        <v/>
      </c>
      <c r="E695" s="560"/>
      <c r="F695" s="559"/>
      <c r="G695" s="559" t="str">
        <f t="shared" si="60"/>
        <v/>
      </c>
      <c r="H695" s="559" t="str">
        <f t="shared" si="61"/>
        <v/>
      </c>
      <c r="I695" s="559" t="str">
        <f t="shared" si="62"/>
        <v/>
      </c>
    </row>
    <row r="696" spans="2:9">
      <c r="B696" s="555" t="str">
        <f t="shared" si="57"/>
        <v/>
      </c>
      <c r="C696" s="556" t="str">
        <f t="shared" si="58"/>
        <v/>
      </c>
      <c r="D696" s="557" t="str">
        <f t="shared" si="59"/>
        <v/>
      </c>
      <c r="E696" s="560"/>
      <c r="F696" s="559"/>
      <c r="G696" s="559" t="str">
        <f t="shared" si="60"/>
        <v/>
      </c>
      <c r="H696" s="559" t="str">
        <f t="shared" si="61"/>
        <v/>
      </c>
      <c r="I696" s="559" t="str">
        <f t="shared" si="62"/>
        <v/>
      </c>
    </row>
    <row r="697" spans="2:9">
      <c r="B697" s="555" t="str">
        <f t="shared" si="57"/>
        <v/>
      </c>
      <c r="C697" s="556" t="str">
        <f t="shared" si="58"/>
        <v/>
      </c>
      <c r="D697" s="557" t="str">
        <f t="shared" si="59"/>
        <v/>
      </c>
      <c r="E697" s="560"/>
      <c r="F697" s="559"/>
      <c r="G697" s="559" t="str">
        <f t="shared" si="60"/>
        <v/>
      </c>
      <c r="H697" s="559" t="str">
        <f t="shared" si="61"/>
        <v/>
      </c>
      <c r="I697" s="559" t="str">
        <f t="shared" si="62"/>
        <v/>
      </c>
    </row>
    <row r="698" spans="2:9">
      <c r="B698" s="555" t="str">
        <f t="shared" si="57"/>
        <v/>
      </c>
      <c r="C698" s="556" t="str">
        <f t="shared" si="58"/>
        <v/>
      </c>
      <c r="D698" s="557" t="str">
        <f t="shared" si="59"/>
        <v/>
      </c>
      <c r="E698" s="560"/>
      <c r="F698" s="559"/>
      <c r="G698" s="559" t="str">
        <f t="shared" si="60"/>
        <v/>
      </c>
      <c r="H698" s="559" t="str">
        <f t="shared" si="61"/>
        <v/>
      </c>
      <c r="I698" s="559" t="str">
        <f t="shared" si="62"/>
        <v/>
      </c>
    </row>
    <row r="699" spans="2:9">
      <c r="B699" s="555" t="str">
        <f t="shared" si="57"/>
        <v/>
      </c>
      <c r="C699" s="556" t="str">
        <f t="shared" si="58"/>
        <v/>
      </c>
      <c r="D699" s="557" t="str">
        <f t="shared" si="59"/>
        <v/>
      </c>
      <c r="E699" s="560"/>
      <c r="F699" s="559"/>
      <c r="G699" s="559" t="str">
        <f t="shared" si="60"/>
        <v/>
      </c>
      <c r="H699" s="559" t="str">
        <f t="shared" si="61"/>
        <v/>
      </c>
      <c r="I699" s="559" t="str">
        <f t="shared" si="62"/>
        <v/>
      </c>
    </row>
    <row r="700" spans="2:9">
      <c r="B700" s="555" t="str">
        <f t="shared" si="57"/>
        <v/>
      </c>
      <c r="C700" s="556" t="str">
        <f t="shared" si="58"/>
        <v/>
      </c>
      <c r="D700" s="557" t="str">
        <f t="shared" si="59"/>
        <v/>
      </c>
      <c r="E700" s="560"/>
      <c r="F700" s="559"/>
      <c r="G700" s="559" t="str">
        <f t="shared" si="60"/>
        <v/>
      </c>
      <c r="H700" s="559" t="str">
        <f t="shared" si="61"/>
        <v/>
      </c>
      <c r="I700" s="559" t="str">
        <f t="shared" si="62"/>
        <v/>
      </c>
    </row>
    <row r="701" spans="2:9">
      <c r="B701" s="555" t="str">
        <f t="shared" ref="B701:B764" si="63">IF(I700="","",IF(roundOpt,IF(OR(B700&gt;=nper,ROUND(I700,2)&lt;=0),"",B700+1),IF(OR(B700&gt;=nper,I700&lt;=0),"",B700+1)))</f>
        <v/>
      </c>
      <c r="C701" s="556" t="str">
        <f t="shared" ref="C701:C764" si="64">IF(B701="","",IF(OR(periods_per_year=26,periods_per_year=52),IF(periods_per_year=26,IF(B701=1,fpdate,C700+14),IF(periods_per_year=52,IF(B701=1,fpdate,C700+7),"n/a")),IF(periods_per_year=24,DATE(YEAR(fpdate),MONTH(fpdate)+(B701-1)/2+IF(AND(DAY(fpdate)&gt;=15,MOD(B701,2)=0),1,0),IF(MOD(B701,2)=0,IF(DAY(fpdate)&gt;=15,DAY(fpdate)-14,DAY(fpdate)+14),DAY(fpdate))),IF(DAY(DATE(YEAR(fpdate),MONTH(fpdate)+(B701-1)*months_per_period,DAY(fpdate)))&lt;&gt;DAY(fpdate),DATE(YEAR(fpdate),MONTH(fpdate)+(B701-1)*months_per_period+1,0),DATE(YEAR(fpdate),MONTH(fpdate)+(B701-1)*months_per_period,DAY(fpdate))))))</f>
        <v/>
      </c>
      <c r="D701" s="557" t="str">
        <f t="shared" ref="D701:D764" si="65">IF(B701="","",IF(roundOpt,IF(OR(B701=nper,payment&gt;ROUND((1+rate)*I700,2)),ROUND((1+rate)*I700,2),payment),IF(OR(B701=nper,payment&gt;(1+rate)*I700),(1+rate)*I700,payment)))</f>
        <v/>
      </c>
      <c r="E701" s="560"/>
      <c r="F701" s="559"/>
      <c r="G701" s="559" t="str">
        <f t="shared" ref="G701:G764" si="66">IF(B701="","",IF(AND(B701=1,pmtType=1),0,IF(roundOpt,ROUND(rate*I700,2),rate*I700)))</f>
        <v/>
      </c>
      <c r="H701" s="559" t="str">
        <f t="shared" ref="H701:H764" si="67">IF(B701="","",D701-G701+E701)</f>
        <v/>
      </c>
      <c r="I701" s="559" t="str">
        <f t="shared" ref="I701:I764" si="68">IF(B701="","",I700-H701)</f>
        <v/>
      </c>
    </row>
    <row r="702" spans="2:9">
      <c r="B702" s="555" t="str">
        <f t="shared" si="63"/>
        <v/>
      </c>
      <c r="C702" s="556" t="str">
        <f t="shared" si="64"/>
        <v/>
      </c>
      <c r="D702" s="557" t="str">
        <f t="shared" si="65"/>
        <v/>
      </c>
      <c r="E702" s="560"/>
      <c r="F702" s="559"/>
      <c r="G702" s="559" t="str">
        <f t="shared" si="66"/>
        <v/>
      </c>
      <c r="H702" s="559" t="str">
        <f t="shared" si="67"/>
        <v/>
      </c>
      <c r="I702" s="559" t="str">
        <f t="shared" si="68"/>
        <v/>
      </c>
    </row>
    <row r="703" spans="2:9">
      <c r="B703" s="555" t="str">
        <f t="shared" si="63"/>
        <v/>
      </c>
      <c r="C703" s="556" t="str">
        <f t="shared" si="64"/>
        <v/>
      </c>
      <c r="D703" s="557" t="str">
        <f t="shared" si="65"/>
        <v/>
      </c>
      <c r="E703" s="560"/>
      <c r="F703" s="559"/>
      <c r="G703" s="559" t="str">
        <f t="shared" si="66"/>
        <v/>
      </c>
      <c r="H703" s="559" t="str">
        <f t="shared" si="67"/>
        <v/>
      </c>
      <c r="I703" s="559" t="str">
        <f t="shared" si="68"/>
        <v/>
      </c>
    </row>
    <row r="704" spans="2:9">
      <c r="B704" s="555" t="str">
        <f t="shared" si="63"/>
        <v/>
      </c>
      <c r="C704" s="556" t="str">
        <f t="shared" si="64"/>
        <v/>
      </c>
      <c r="D704" s="557" t="str">
        <f t="shared" si="65"/>
        <v/>
      </c>
      <c r="E704" s="560"/>
      <c r="F704" s="559"/>
      <c r="G704" s="559" t="str">
        <f t="shared" si="66"/>
        <v/>
      </c>
      <c r="H704" s="559" t="str">
        <f t="shared" si="67"/>
        <v/>
      </c>
      <c r="I704" s="559" t="str">
        <f t="shared" si="68"/>
        <v/>
      </c>
    </row>
    <row r="705" spans="2:9">
      <c r="B705" s="555" t="str">
        <f t="shared" si="63"/>
        <v/>
      </c>
      <c r="C705" s="556" t="str">
        <f t="shared" si="64"/>
        <v/>
      </c>
      <c r="D705" s="557" t="str">
        <f t="shared" si="65"/>
        <v/>
      </c>
      <c r="E705" s="560"/>
      <c r="F705" s="559"/>
      <c r="G705" s="559" t="str">
        <f t="shared" si="66"/>
        <v/>
      </c>
      <c r="H705" s="559" t="str">
        <f t="shared" si="67"/>
        <v/>
      </c>
      <c r="I705" s="559" t="str">
        <f t="shared" si="68"/>
        <v/>
      </c>
    </row>
    <row r="706" spans="2:9">
      <c r="B706" s="555" t="str">
        <f t="shared" si="63"/>
        <v/>
      </c>
      <c r="C706" s="556" t="str">
        <f t="shared" si="64"/>
        <v/>
      </c>
      <c r="D706" s="557" t="str">
        <f t="shared" si="65"/>
        <v/>
      </c>
      <c r="E706" s="560"/>
      <c r="F706" s="559"/>
      <c r="G706" s="559" t="str">
        <f t="shared" si="66"/>
        <v/>
      </c>
      <c r="H706" s="559" t="str">
        <f t="shared" si="67"/>
        <v/>
      </c>
      <c r="I706" s="559" t="str">
        <f t="shared" si="68"/>
        <v/>
      </c>
    </row>
    <row r="707" spans="2:9">
      <c r="B707" s="555" t="str">
        <f t="shared" si="63"/>
        <v/>
      </c>
      <c r="C707" s="556" t="str">
        <f t="shared" si="64"/>
        <v/>
      </c>
      <c r="D707" s="557" t="str">
        <f t="shared" si="65"/>
        <v/>
      </c>
      <c r="E707" s="560"/>
      <c r="F707" s="559"/>
      <c r="G707" s="559" t="str">
        <f t="shared" si="66"/>
        <v/>
      </c>
      <c r="H707" s="559" t="str">
        <f t="shared" si="67"/>
        <v/>
      </c>
      <c r="I707" s="559" t="str">
        <f t="shared" si="68"/>
        <v/>
      </c>
    </row>
    <row r="708" spans="2:9">
      <c r="B708" s="555" t="str">
        <f t="shared" si="63"/>
        <v/>
      </c>
      <c r="C708" s="556" t="str">
        <f t="shared" si="64"/>
        <v/>
      </c>
      <c r="D708" s="557" t="str">
        <f t="shared" si="65"/>
        <v/>
      </c>
      <c r="E708" s="560"/>
      <c r="F708" s="559"/>
      <c r="G708" s="559" t="str">
        <f t="shared" si="66"/>
        <v/>
      </c>
      <c r="H708" s="559" t="str">
        <f t="shared" si="67"/>
        <v/>
      </c>
      <c r="I708" s="559" t="str">
        <f t="shared" si="68"/>
        <v/>
      </c>
    </row>
    <row r="709" spans="2:9">
      <c r="B709" s="555" t="str">
        <f t="shared" si="63"/>
        <v/>
      </c>
      <c r="C709" s="556" t="str">
        <f t="shared" si="64"/>
        <v/>
      </c>
      <c r="D709" s="557" t="str">
        <f t="shared" si="65"/>
        <v/>
      </c>
      <c r="E709" s="560"/>
      <c r="F709" s="559"/>
      <c r="G709" s="559" t="str">
        <f t="shared" si="66"/>
        <v/>
      </c>
      <c r="H709" s="559" t="str">
        <f t="shared" si="67"/>
        <v/>
      </c>
      <c r="I709" s="559" t="str">
        <f t="shared" si="68"/>
        <v/>
      </c>
    </row>
    <row r="710" spans="2:9">
      <c r="B710" s="555" t="str">
        <f t="shared" si="63"/>
        <v/>
      </c>
      <c r="C710" s="556" t="str">
        <f t="shared" si="64"/>
        <v/>
      </c>
      <c r="D710" s="557" t="str">
        <f t="shared" si="65"/>
        <v/>
      </c>
      <c r="E710" s="560"/>
      <c r="F710" s="559"/>
      <c r="G710" s="559" t="str">
        <f t="shared" si="66"/>
        <v/>
      </c>
      <c r="H710" s="559" t="str">
        <f t="shared" si="67"/>
        <v/>
      </c>
      <c r="I710" s="559" t="str">
        <f t="shared" si="68"/>
        <v/>
      </c>
    </row>
    <row r="711" spans="2:9">
      <c r="B711" s="555" t="str">
        <f t="shared" si="63"/>
        <v/>
      </c>
      <c r="C711" s="556" t="str">
        <f t="shared" si="64"/>
        <v/>
      </c>
      <c r="D711" s="557" t="str">
        <f t="shared" si="65"/>
        <v/>
      </c>
      <c r="E711" s="560"/>
      <c r="F711" s="559"/>
      <c r="G711" s="559" t="str">
        <f t="shared" si="66"/>
        <v/>
      </c>
      <c r="H711" s="559" t="str">
        <f t="shared" si="67"/>
        <v/>
      </c>
      <c r="I711" s="559" t="str">
        <f t="shared" si="68"/>
        <v/>
      </c>
    </row>
    <row r="712" spans="2:9">
      <c r="B712" s="555" t="str">
        <f t="shared" si="63"/>
        <v/>
      </c>
      <c r="C712" s="556" t="str">
        <f t="shared" si="64"/>
        <v/>
      </c>
      <c r="D712" s="557" t="str">
        <f t="shared" si="65"/>
        <v/>
      </c>
      <c r="E712" s="560"/>
      <c r="F712" s="559"/>
      <c r="G712" s="559" t="str">
        <f t="shared" si="66"/>
        <v/>
      </c>
      <c r="H712" s="559" t="str">
        <f t="shared" si="67"/>
        <v/>
      </c>
      <c r="I712" s="559" t="str">
        <f t="shared" si="68"/>
        <v/>
      </c>
    </row>
    <row r="713" spans="2:9">
      <c r="B713" s="555" t="str">
        <f t="shared" si="63"/>
        <v/>
      </c>
      <c r="C713" s="556" t="str">
        <f t="shared" si="64"/>
        <v/>
      </c>
      <c r="D713" s="557" t="str">
        <f t="shared" si="65"/>
        <v/>
      </c>
      <c r="E713" s="560"/>
      <c r="F713" s="559"/>
      <c r="G713" s="559" t="str">
        <f t="shared" si="66"/>
        <v/>
      </c>
      <c r="H713" s="559" t="str">
        <f t="shared" si="67"/>
        <v/>
      </c>
      <c r="I713" s="559" t="str">
        <f t="shared" si="68"/>
        <v/>
      </c>
    </row>
    <row r="714" spans="2:9">
      <c r="B714" s="555" t="str">
        <f t="shared" si="63"/>
        <v/>
      </c>
      <c r="C714" s="556" t="str">
        <f t="shared" si="64"/>
        <v/>
      </c>
      <c r="D714" s="557" t="str">
        <f t="shared" si="65"/>
        <v/>
      </c>
      <c r="E714" s="560"/>
      <c r="F714" s="559"/>
      <c r="G714" s="559" t="str">
        <f t="shared" si="66"/>
        <v/>
      </c>
      <c r="H714" s="559" t="str">
        <f t="shared" si="67"/>
        <v/>
      </c>
      <c r="I714" s="559" t="str">
        <f t="shared" si="68"/>
        <v/>
      </c>
    </row>
    <row r="715" spans="2:9">
      <c r="B715" s="555" t="str">
        <f t="shared" si="63"/>
        <v/>
      </c>
      <c r="C715" s="556" t="str">
        <f t="shared" si="64"/>
        <v/>
      </c>
      <c r="D715" s="557" t="str">
        <f t="shared" si="65"/>
        <v/>
      </c>
      <c r="E715" s="560"/>
      <c r="F715" s="559"/>
      <c r="G715" s="559" t="str">
        <f t="shared" si="66"/>
        <v/>
      </c>
      <c r="H715" s="559" t="str">
        <f t="shared" si="67"/>
        <v/>
      </c>
      <c r="I715" s="559" t="str">
        <f t="shared" si="68"/>
        <v/>
      </c>
    </row>
    <row r="716" spans="2:9">
      <c r="B716" s="555" t="str">
        <f t="shared" si="63"/>
        <v/>
      </c>
      <c r="C716" s="556" t="str">
        <f t="shared" si="64"/>
        <v/>
      </c>
      <c r="D716" s="557" t="str">
        <f t="shared" si="65"/>
        <v/>
      </c>
      <c r="E716" s="560"/>
      <c r="F716" s="559"/>
      <c r="G716" s="559" t="str">
        <f t="shared" si="66"/>
        <v/>
      </c>
      <c r="H716" s="559" t="str">
        <f t="shared" si="67"/>
        <v/>
      </c>
      <c r="I716" s="559" t="str">
        <f t="shared" si="68"/>
        <v/>
      </c>
    </row>
    <row r="717" spans="2:9">
      <c r="B717" s="555" t="str">
        <f t="shared" si="63"/>
        <v/>
      </c>
      <c r="C717" s="556" t="str">
        <f t="shared" si="64"/>
        <v/>
      </c>
      <c r="D717" s="557" t="str">
        <f t="shared" si="65"/>
        <v/>
      </c>
      <c r="E717" s="560"/>
      <c r="F717" s="559"/>
      <c r="G717" s="559" t="str">
        <f t="shared" si="66"/>
        <v/>
      </c>
      <c r="H717" s="559" t="str">
        <f t="shared" si="67"/>
        <v/>
      </c>
      <c r="I717" s="559" t="str">
        <f t="shared" si="68"/>
        <v/>
      </c>
    </row>
    <row r="718" spans="2:9">
      <c r="B718" s="555" t="str">
        <f t="shared" si="63"/>
        <v/>
      </c>
      <c r="C718" s="556" t="str">
        <f t="shared" si="64"/>
        <v/>
      </c>
      <c r="D718" s="557" t="str">
        <f t="shared" si="65"/>
        <v/>
      </c>
      <c r="E718" s="560"/>
      <c r="F718" s="559"/>
      <c r="G718" s="559" t="str">
        <f t="shared" si="66"/>
        <v/>
      </c>
      <c r="H718" s="559" t="str">
        <f t="shared" si="67"/>
        <v/>
      </c>
      <c r="I718" s="559" t="str">
        <f t="shared" si="68"/>
        <v/>
      </c>
    </row>
    <row r="719" spans="2:9">
      <c r="B719" s="555" t="str">
        <f t="shared" si="63"/>
        <v/>
      </c>
      <c r="C719" s="556" t="str">
        <f t="shared" si="64"/>
        <v/>
      </c>
      <c r="D719" s="557" t="str">
        <f t="shared" si="65"/>
        <v/>
      </c>
      <c r="E719" s="560"/>
      <c r="F719" s="559"/>
      <c r="G719" s="559" t="str">
        <f t="shared" si="66"/>
        <v/>
      </c>
      <c r="H719" s="559" t="str">
        <f t="shared" si="67"/>
        <v/>
      </c>
      <c r="I719" s="559" t="str">
        <f t="shared" si="68"/>
        <v/>
      </c>
    </row>
    <row r="720" spans="2:9">
      <c r="B720" s="555" t="str">
        <f t="shared" si="63"/>
        <v/>
      </c>
      <c r="C720" s="556" t="str">
        <f t="shared" si="64"/>
        <v/>
      </c>
      <c r="D720" s="557" t="str">
        <f t="shared" si="65"/>
        <v/>
      </c>
      <c r="E720" s="560"/>
      <c r="F720" s="559"/>
      <c r="G720" s="559" t="str">
        <f t="shared" si="66"/>
        <v/>
      </c>
      <c r="H720" s="559" t="str">
        <f t="shared" si="67"/>
        <v/>
      </c>
      <c r="I720" s="559" t="str">
        <f t="shared" si="68"/>
        <v/>
      </c>
    </row>
    <row r="721" spans="2:9">
      <c r="B721" s="555" t="str">
        <f t="shared" si="63"/>
        <v/>
      </c>
      <c r="C721" s="556" t="str">
        <f t="shared" si="64"/>
        <v/>
      </c>
      <c r="D721" s="557" t="str">
        <f t="shared" si="65"/>
        <v/>
      </c>
      <c r="E721" s="560"/>
      <c r="F721" s="559"/>
      <c r="G721" s="559" t="str">
        <f t="shared" si="66"/>
        <v/>
      </c>
      <c r="H721" s="559" t="str">
        <f t="shared" si="67"/>
        <v/>
      </c>
      <c r="I721" s="559" t="str">
        <f t="shared" si="68"/>
        <v/>
      </c>
    </row>
    <row r="722" spans="2:9">
      <c r="B722" s="555" t="str">
        <f t="shared" si="63"/>
        <v/>
      </c>
      <c r="C722" s="556" t="str">
        <f t="shared" si="64"/>
        <v/>
      </c>
      <c r="D722" s="557" t="str">
        <f t="shared" si="65"/>
        <v/>
      </c>
      <c r="E722" s="560"/>
      <c r="F722" s="559"/>
      <c r="G722" s="559" t="str">
        <f t="shared" si="66"/>
        <v/>
      </c>
      <c r="H722" s="559" t="str">
        <f t="shared" si="67"/>
        <v/>
      </c>
      <c r="I722" s="559" t="str">
        <f t="shared" si="68"/>
        <v/>
      </c>
    </row>
    <row r="723" spans="2:9">
      <c r="B723" s="555" t="str">
        <f t="shared" si="63"/>
        <v/>
      </c>
      <c r="C723" s="556" t="str">
        <f t="shared" si="64"/>
        <v/>
      </c>
      <c r="D723" s="557" t="str">
        <f t="shared" si="65"/>
        <v/>
      </c>
      <c r="E723" s="560"/>
      <c r="F723" s="559"/>
      <c r="G723" s="559" t="str">
        <f t="shared" si="66"/>
        <v/>
      </c>
      <c r="H723" s="559" t="str">
        <f t="shared" si="67"/>
        <v/>
      </c>
      <c r="I723" s="559" t="str">
        <f t="shared" si="68"/>
        <v/>
      </c>
    </row>
    <row r="724" spans="2:9">
      <c r="B724" s="555" t="str">
        <f t="shared" si="63"/>
        <v/>
      </c>
      <c r="C724" s="556" t="str">
        <f t="shared" si="64"/>
        <v/>
      </c>
      <c r="D724" s="557" t="str">
        <f t="shared" si="65"/>
        <v/>
      </c>
      <c r="E724" s="560"/>
      <c r="F724" s="559"/>
      <c r="G724" s="559" t="str">
        <f t="shared" si="66"/>
        <v/>
      </c>
      <c r="H724" s="559" t="str">
        <f t="shared" si="67"/>
        <v/>
      </c>
      <c r="I724" s="559" t="str">
        <f t="shared" si="68"/>
        <v/>
      </c>
    </row>
    <row r="725" spans="2:9">
      <c r="B725" s="555" t="str">
        <f t="shared" si="63"/>
        <v/>
      </c>
      <c r="C725" s="556" t="str">
        <f t="shared" si="64"/>
        <v/>
      </c>
      <c r="D725" s="557" t="str">
        <f t="shared" si="65"/>
        <v/>
      </c>
      <c r="E725" s="560"/>
      <c r="F725" s="559"/>
      <c r="G725" s="559" t="str">
        <f t="shared" si="66"/>
        <v/>
      </c>
      <c r="H725" s="559" t="str">
        <f t="shared" si="67"/>
        <v/>
      </c>
      <c r="I725" s="559" t="str">
        <f t="shared" si="68"/>
        <v/>
      </c>
    </row>
    <row r="726" spans="2:9">
      <c r="B726" s="555" t="str">
        <f t="shared" si="63"/>
        <v/>
      </c>
      <c r="C726" s="556" t="str">
        <f t="shared" si="64"/>
        <v/>
      </c>
      <c r="D726" s="557" t="str">
        <f t="shared" si="65"/>
        <v/>
      </c>
      <c r="E726" s="560"/>
      <c r="F726" s="559"/>
      <c r="G726" s="559" t="str">
        <f t="shared" si="66"/>
        <v/>
      </c>
      <c r="H726" s="559" t="str">
        <f t="shared" si="67"/>
        <v/>
      </c>
      <c r="I726" s="559" t="str">
        <f t="shared" si="68"/>
        <v/>
      </c>
    </row>
    <row r="727" spans="2:9">
      <c r="B727" s="555" t="str">
        <f t="shared" si="63"/>
        <v/>
      </c>
      <c r="C727" s="556" t="str">
        <f t="shared" si="64"/>
        <v/>
      </c>
      <c r="D727" s="557" t="str">
        <f t="shared" si="65"/>
        <v/>
      </c>
      <c r="E727" s="560"/>
      <c r="F727" s="559"/>
      <c r="G727" s="559" t="str">
        <f t="shared" si="66"/>
        <v/>
      </c>
      <c r="H727" s="559" t="str">
        <f t="shared" si="67"/>
        <v/>
      </c>
      <c r="I727" s="559" t="str">
        <f t="shared" si="68"/>
        <v/>
      </c>
    </row>
    <row r="728" spans="2:9">
      <c r="B728" s="555" t="str">
        <f t="shared" si="63"/>
        <v/>
      </c>
      <c r="C728" s="556" t="str">
        <f t="shared" si="64"/>
        <v/>
      </c>
      <c r="D728" s="557" t="str">
        <f t="shared" si="65"/>
        <v/>
      </c>
      <c r="E728" s="560"/>
      <c r="F728" s="559"/>
      <c r="G728" s="559" t="str">
        <f t="shared" si="66"/>
        <v/>
      </c>
      <c r="H728" s="559" t="str">
        <f t="shared" si="67"/>
        <v/>
      </c>
      <c r="I728" s="559" t="str">
        <f t="shared" si="68"/>
        <v/>
      </c>
    </row>
    <row r="729" spans="2:9">
      <c r="B729" s="555" t="str">
        <f t="shared" si="63"/>
        <v/>
      </c>
      <c r="C729" s="556" t="str">
        <f t="shared" si="64"/>
        <v/>
      </c>
      <c r="D729" s="557" t="str">
        <f t="shared" si="65"/>
        <v/>
      </c>
      <c r="E729" s="560"/>
      <c r="F729" s="559"/>
      <c r="G729" s="559" t="str">
        <f t="shared" si="66"/>
        <v/>
      </c>
      <c r="H729" s="559" t="str">
        <f t="shared" si="67"/>
        <v/>
      </c>
      <c r="I729" s="559" t="str">
        <f t="shared" si="68"/>
        <v/>
      </c>
    </row>
    <row r="730" spans="2:9">
      <c r="B730" s="555" t="str">
        <f t="shared" si="63"/>
        <v/>
      </c>
      <c r="C730" s="556" t="str">
        <f t="shared" si="64"/>
        <v/>
      </c>
      <c r="D730" s="557" t="str">
        <f t="shared" si="65"/>
        <v/>
      </c>
      <c r="E730" s="560"/>
      <c r="F730" s="559"/>
      <c r="G730" s="559" t="str">
        <f t="shared" si="66"/>
        <v/>
      </c>
      <c r="H730" s="559" t="str">
        <f t="shared" si="67"/>
        <v/>
      </c>
      <c r="I730" s="559" t="str">
        <f t="shared" si="68"/>
        <v/>
      </c>
    </row>
    <row r="731" spans="2:9">
      <c r="B731" s="555" t="str">
        <f t="shared" si="63"/>
        <v/>
      </c>
      <c r="C731" s="556" t="str">
        <f t="shared" si="64"/>
        <v/>
      </c>
      <c r="D731" s="557" t="str">
        <f t="shared" si="65"/>
        <v/>
      </c>
      <c r="E731" s="560"/>
      <c r="F731" s="559"/>
      <c r="G731" s="559" t="str">
        <f t="shared" si="66"/>
        <v/>
      </c>
      <c r="H731" s="559" t="str">
        <f t="shared" si="67"/>
        <v/>
      </c>
      <c r="I731" s="559" t="str">
        <f t="shared" si="68"/>
        <v/>
      </c>
    </row>
    <row r="732" spans="2:9">
      <c r="B732" s="555" t="str">
        <f t="shared" si="63"/>
        <v/>
      </c>
      <c r="C732" s="556" t="str">
        <f t="shared" si="64"/>
        <v/>
      </c>
      <c r="D732" s="557" t="str">
        <f t="shared" si="65"/>
        <v/>
      </c>
      <c r="E732" s="560"/>
      <c r="F732" s="559"/>
      <c r="G732" s="559" t="str">
        <f t="shared" si="66"/>
        <v/>
      </c>
      <c r="H732" s="559" t="str">
        <f t="shared" si="67"/>
        <v/>
      </c>
      <c r="I732" s="559" t="str">
        <f t="shared" si="68"/>
        <v/>
      </c>
    </row>
    <row r="733" spans="2:9">
      <c r="B733" s="555" t="str">
        <f t="shared" si="63"/>
        <v/>
      </c>
      <c r="C733" s="556" t="str">
        <f t="shared" si="64"/>
        <v/>
      </c>
      <c r="D733" s="557" t="str">
        <f t="shared" si="65"/>
        <v/>
      </c>
      <c r="E733" s="560"/>
      <c r="F733" s="559"/>
      <c r="G733" s="559" t="str">
        <f t="shared" si="66"/>
        <v/>
      </c>
      <c r="H733" s="559" t="str">
        <f t="shared" si="67"/>
        <v/>
      </c>
      <c r="I733" s="559" t="str">
        <f t="shared" si="68"/>
        <v/>
      </c>
    </row>
    <row r="734" spans="2:9">
      <c r="B734" s="555" t="str">
        <f t="shared" si="63"/>
        <v/>
      </c>
      <c r="C734" s="556" t="str">
        <f t="shared" si="64"/>
        <v/>
      </c>
      <c r="D734" s="557" t="str">
        <f t="shared" si="65"/>
        <v/>
      </c>
      <c r="E734" s="560"/>
      <c r="F734" s="559"/>
      <c r="G734" s="559" t="str">
        <f t="shared" si="66"/>
        <v/>
      </c>
      <c r="H734" s="559" t="str">
        <f t="shared" si="67"/>
        <v/>
      </c>
      <c r="I734" s="559" t="str">
        <f t="shared" si="68"/>
        <v/>
      </c>
    </row>
    <row r="735" spans="2:9">
      <c r="B735" s="555" t="str">
        <f t="shared" si="63"/>
        <v/>
      </c>
      <c r="C735" s="556" t="str">
        <f t="shared" si="64"/>
        <v/>
      </c>
      <c r="D735" s="557" t="str">
        <f t="shared" si="65"/>
        <v/>
      </c>
      <c r="E735" s="560"/>
      <c r="F735" s="559"/>
      <c r="G735" s="559" t="str">
        <f t="shared" si="66"/>
        <v/>
      </c>
      <c r="H735" s="559" t="str">
        <f t="shared" si="67"/>
        <v/>
      </c>
      <c r="I735" s="559" t="str">
        <f t="shared" si="68"/>
        <v/>
      </c>
    </row>
    <row r="736" spans="2:9">
      <c r="B736" s="555" t="str">
        <f t="shared" si="63"/>
        <v/>
      </c>
      <c r="C736" s="556" t="str">
        <f t="shared" si="64"/>
        <v/>
      </c>
      <c r="D736" s="557" t="str">
        <f t="shared" si="65"/>
        <v/>
      </c>
      <c r="E736" s="560"/>
      <c r="F736" s="559"/>
      <c r="G736" s="559" t="str">
        <f t="shared" si="66"/>
        <v/>
      </c>
      <c r="H736" s="559" t="str">
        <f t="shared" si="67"/>
        <v/>
      </c>
      <c r="I736" s="559" t="str">
        <f t="shared" si="68"/>
        <v/>
      </c>
    </row>
    <row r="737" spans="2:9">
      <c r="B737" s="555" t="str">
        <f t="shared" si="63"/>
        <v/>
      </c>
      <c r="C737" s="556" t="str">
        <f t="shared" si="64"/>
        <v/>
      </c>
      <c r="D737" s="557" t="str">
        <f t="shared" si="65"/>
        <v/>
      </c>
      <c r="E737" s="560"/>
      <c r="F737" s="559"/>
      <c r="G737" s="559" t="str">
        <f t="shared" si="66"/>
        <v/>
      </c>
      <c r="H737" s="559" t="str">
        <f t="shared" si="67"/>
        <v/>
      </c>
      <c r="I737" s="559" t="str">
        <f t="shared" si="68"/>
        <v/>
      </c>
    </row>
    <row r="738" spans="2:9">
      <c r="B738" s="555" t="str">
        <f t="shared" si="63"/>
        <v/>
      </c>
      <c r="C738" s="556" t="str">
        <f t="shared" si="64"/>
        <v/>
      </c>
      <c r="D738" s="557" t="str">
        <f t="shared" si="65"/>
        <v/>
      </c>
      <c r="E738" s="560"/>
      <c r="F738" s="559"/>
      <c r="G738" s="559" t="str">
        <f t="shared" si="66"/>
        <v/>
      </c>
      <c r="H738" s="559" t="str">
        <f t="shared" si="67"/>
        <v/>
      </c>
      <c r="I738" s="559" t="str">
        <f t="shared" si="68"/>
        <v/>
      </c>
    </row>
    <row r="739" spans="2:9">
      <c r="B739" s="555" t="str">
        <f t="shared" si="63"/>
        <v/>
      </c>
      <c r="C739" s="556" t="str">
        <f t="shared" si="64"/>
        <v/>
      </c>
      <c r="D739" s="557" t="str">
        <f t="shared" si="65"/>
        <v/>
      </c>
      <c r="E739" s="560"/>
      <c r="F739" s="559"/>
      <c r="G739" s="559" t="str">
        <f t="shared" si="66"/>
        <v/>
      </c>
      <c r="H739" s="559" t="str">
        <f t="shared" si="67"/>
        <v/>
      </c>
      <c r="I739" s="559" t="str">
        <f t="shared" si="68"/>
        <v/>
      </c>
    </row>
    <row r="740" spans="2:9">
      <c r="B740" s="555" t="str">
        <f t="shared" si="63"/>
        <v/>
      </c>
      <c r="C740" s="556" t="str">
        <f t="shared" si="64"/>
        <v/>
      </c>
      <c r="D740" s="557" t="str">
        <f t="shared" si="65"/>
        <v/>
      </c>
      <c r="E740" s="560"/>
      <c r="F740" s="559"/>
      <c r="G740" s="559" t="str">
        <f t="shared" si="66"/>
        <v/>
      </c>
      <c r="H740" s="559" t="str">
        <f t="shared" si="67"/>
        <v/>
      </c>
      <c r="I740" s="559" t="str">
        <f t="shared" si="68"/>
        <v/>
      </c>
    </row>
    <row r="741" spans="2:9">
      <c r="B741" s="555" t="str">
        <f t="shared" si="63"/>
        <v/>
      </c>
      <c r="C741" s="556" t="str">
        <f t="shared" si="64"/>
        <v/>
      </c>
      <c r="D741" s="557" t="str">
        <f t="shared" si="65"/>
        <v/>
      </c>
      <c r="E741" s="560"/>
      <c r="F741" s="559"/>
      <c r="G741" s="559" t="str">
        <f t="shared" si="66"/>
        <v/>
      </c>
      <c r="H741" s="559" t="str">
        <f t="shared" si="67"/>
        <v/>
      </c>
      <c r="I741" s="559" t="str">
        <f t="shared" si="68"/>
        <v/>
      </c>
    </row>
    <row r="742" spans="2:9">
      <c r="B742" s="555" t="str">
        <f t="shared" si="63"/>
        <v/>
      </c>
      <c r="C742" s="556" t="str">
        <f t="shared" si="64"/>
        <v/>
      </c>
      <c r="D742" s="557" t="str">
        <f t="shared" si="65"/>
        <v/>
      </c>
      <c r="E742" s="560"/>
      <c r="F742" s="559"/>
      <c r="G742" s="559" t="str">
        <f t="shared" si="66"/>
        <v/>
      </c>
      <c r="H742" s="559" t="str">
        <f t="shared" si="67"/>
        <v/>
      </c>
      <c r="I742" s="559" t="str">
        <f t="shared" si="68"/>
        <v/>
      </c>
    </row>
    <row r="743" spans="2:9">
      <c r="B743" s="555" t="str">
        <f t="shared" si="63"/>
        <v/>
      </c>
      <c r="C743" s="556" t="str">
        <f t="shared" si="64"/>
        <v/>
      </c>
      <c r="D743" s="557" t="str">
        <f t="shared" si="65"/>
        <v/>
      </c>
      <c r="E743" s="560"/>
      <c r="F743" s="559"/>
      <c r="G743" s="559" t="str">
        <f t="shared" si="66"/>
        <v/>
      </c>
      <c r="H743" s="559" t="str">
        <f t="shared" si="67"/>
        <v/>
      </c>
      <c r="I743" s="559" t="str">
        <f t="shared" si="68"/>
        <v/>
      </c>
    </row>
    <row r="744" spans="2:9">
      <c r="B744" s="555" t="str">
        <f t="shared" si="63"/>
        <v/>
      </c>
      <c r="C744" s="556" t="str">
        <f t="shared" si="64"/>
        <v/>
      </c>
      <c r="D744" s="557" t="str">
        <f t="shared" si="65"/>
        <v/>
      </c>
      <c r="E744" s="560"/>
      <c r="F744" s="559"/>
      <c r="G744" s="559" t="str">
        <f t="shared" si="66"/>
        <v/>
      </c>
      <c r="H744" s="559" t="str">
        <f t="shared" si="67"/>
        <v/>
      </c>
      <c r="I744" s="559" t="str">
        <f t="shared" si="68"/>
        <v/>
      </c>
    </row>
    <row r="745" spans="2:9">
      <c r="B745" s="555" t="str">
        <f t="shared" si="63"/>
        <v/>
      </c>
      <c r="C745" s="556" t="str">
        <f t="shared" si="64"/>
        <v/>
      </c>
      <c r="D745" s="557" t="str">
        <f t="shared" si="65"/>
        <v/>
      </c>
      <c r="E745" s="560"/>
      <c r="F745" s="559"/>
      <c r="G745" s="559" t="str">
        <f t="shared" si="66"/>
        <v/>
      </c>
      <c r="H745" s="559" t="str">
        <f t="shared" si="67"/>
        <v/>
      </c>
      <c r="I745" s="559" t="str">
        <f t="shared" si="68"/>
        <v/>
      </c>
    </row>
    <row r="746" spans="2:9">
      <c r="B746" s="555" t="str">
        <f t="shared" si="63"/>
        <v/>
      </c>
      <c r="C746" s="556" t="str">
        <f t="shared" si="64"/>
        <v/>
      </c>
      <c r="D746" s="557" t="str">
        <f t="shared" si="65"/>
        <v/>
      </c>
      <c r="E746" s="560"/>
      <c r="F746" s="559"/>
      <c r="G746" s="559" t="str">
        <f t="shared" si="66"/>
        <v/>
      </c>
      <c r="H746" s="559" t="str">
        <f t="shared" si="67"/>
        <v/>
      </c>
      <c r="I746" s="559" t="str">
        <f t="shared" si="68"/>
        <v/>
      </c>
    </row>
    <row r="747" spans="2:9">
      <c r="B747" s="555" t="str">
        <f t="shared" si="63"/>
        <v/>
      </c>
      <c r="C747" s="556" t="str">
        <f t="shared" si="64"/>
        <v/>
      </c>
      <c r="D747" s="557" t="str">
        <f t="shared" si="65"/>
        <v/>
      </c>
      <c r="E747" s="560"/>
      <c r="F747" s="559"/>
      <c r="G747" s="559" t="str">
        <f t="shared" si="66"/>
        <v/>
      </c>
      <c r="H747" s="559" t="str">
        <f t="shared" si="67"/>
        <v/>
      </c>
      <c r="I747" s="559" t="str">
        <f t="shared" si="68"/>
        <v/>
      </c>
    </row>
    <row r="748" spans="2:9">
      <c r="B748" s="555" t="str">
        <f t="shared" si="63"/>
        <v/>
      </c>
      <c r="C748" s="556" t="str">
        <f t="shared" si="64"/>
        <v/>
      </c>
      <c r="D748" s="557" t="str">
        <f t="shared" si="65"/>
        <v/>
      </c>
      <c r="E748" s="560"/>
      <c r="F748" s="559"/>
      <c r="G748" s="559" t="str">
        <f t="shared" si="66"/>
        <v/>
      </c>
      <c r="H748" s="559" t="str">
        <f t="shared" si="67"/>
        <v/>
      </c>
      <c r="I748" s="559" t="str">
        <f t="shared" si="68"/>
        <v/>
      </c>
    </row>
    <row r="749" spans="2:9">
      <c r="B749" s="555" t="str">
        <f t="shared" si="63"/>
        <v/>
      </c>
      <c r="C749" s="556" t="str">
        <f t="shared" si="64"/>
        <v/>
      </c>
      <c r="D749" s="557" t="str">
        <f t="shared" si="65"/>
        <v/>
      </c>
      <c r="E749" s="560"/>
      <c r="F749" s="559"/>
      <c r="G749" s="559" t="str">
        <f t="shared" si="66"/>
        <v/>
      </c>
      <c r="H749" s="559" t="str">
        <f t="shared" si="67"/>
        <v/>
      </c>
      <c r="I749" s="559" t="str">
        <f t="shared" si="68"/>
        <v/>
      </c>
    </row>
    <row r="750" spans="2:9">
      <c r="B750" s="555" t="str">
        <f t="shared" si="63"/>
        <v/>
      </c>
      <c r="C750" s="556" t="str">
        <f t="shared" si="64"/>
        <v/>
      </c>
      <c r="D750" s="557" t="str">
        <f t="shared" si="65"/>
        <v/>
      </c>
      <c r="E750" s="560"/>
      <c r="F750" s="559"/>
      <c r="G750" s="559" t="str">
        <f t="shared" si="66"/>
        <v/>
      </c>
      <c r="H750" s="559" t="str">
        <f t="shared" si="67"/>
        <v/>
      </c>
      <c r="I750" s="559" t="str">
        <f t="shared" si="68"/>
        <v/>
      </c>
    </row>
    <row r="751" spans="2:9">
      <c r="B751" s="555" t="str">
        <f t="shared" si="63"/>
        <v/>
      </c>
      <c r="C751" s="556" t="str">
        <f t="shared" si="64"/>
        <v/>
      </c>
      <c r="D751" s="557" t="str">
        <f t="shared" si="65"/>
        <v/>
      </c>
      <c r="E751" s="560"/>
      <c r="F751" s="559"/>
      <c r="G751" s="559" t="str">
        <f t="shared" si="66"/>
        <v/>
      </c>
      <c r="H751" s="559" t="str">
        <f t="shared" si="67"/>
        <v/>
      </c>
      <c r="I751" s="559" t="str">
        <f t="shared" si="68"/>
        <v/>
      </c>
    </row>
    <row r="752" spans="2:9">
      <c r="B752" s="555" t="str">
        <f t="shared" si="63"/>
        <v/>
      </c>
      <c r="C752" s="556" t="str">
        <f t="shared" si="64"/>
        <v/>
      </c>
      <c r="D752" s="557" t="str">
        <f t="shared" si="65"/>
        <v/>
      </c>
      <c r="E752" s="560"/>
      <c r="F752" s="559"/>
      <c r="G752" s="559" t="str">
        <f t="shared" si="66"/>
        <v/>
      </c>
      <c r="H752" s="559" t="str">
        <f t="shared" si="67"/>
        <v/>
      </c>
      <c r="I752" s="559" t="str">
        <f t="shared" si="68"/>
        <v/>
      </c>
    </row>
    <row r="753" spans="2:9">
      <c r="B753" s="555" t="str">
        <f t="shared" si="63"/>
        <v/>
      </c>
      <c r="C753" s="556" t="str">
        <f t="shared" si="64"/>
        <v/>
      </c>
      <c r="D753" s="557" t="str">
        <f t="shared" si="65"/>
        <v/>
      </c>
      <c r="E753" s="560"/>
      <c r="F753" s="559"/>
      <c r="G753" s="559" t="str">
        <f t="shared" si="66"/>
        <v/>
      </c>
      <c r="H753" s="559" t="str">
        <f t="shared" si="67"/>
        <v/>
      </c>
      <c r="I753" s="559" t="str">
        <f t="shared" si="68"/>
        <v/>
      </c>
    </row>
    <row r="754" spans="2:9">
      <c r="B754" s="555" t="str">
        <f t="shared" si="63"/>
        <v/>
      </c>
      <c r="C754" s="556" t="str">
        <f t="shared" si="64"/>
        <v/>
      </c>
      <c r="D754" s="557" t="str">
        <f t="shared" si="65"/>
        <v/>
      </c>
      <c r="E754" s="560"/>
      <c r="F754" s="559"/>
      <c r="G754" s="559" t="str">
        <f t="shared" si="66"/>
        <v/>
      </c>
      <c r="H754" s="559" t="str">
        <f t="shared" si="67"/>
        <v/>
      </c>
      <c r="I754" s="559" t="str">
        <f t="shared" si="68"/>
        <v/>
      </c>
    </row>
    <row r="755" spans="2:9">
      <c r="B755" s="555" t="str">
        <f t="shared" si="63"/>
        <v/>
      </c>
      <c r="C755" s="556" t="str">
        <f t="shared" si="64"/>
        <v/>
      </c>
      <c r="D755" s="557" t="str">
        <f t="shared" si="65"/>
        <v/>
      </c>
      <c r="E755" s="560"/>
      <c r="F755" s="559"/>
      <c r="G755" s="559" t="str">
        <f t="shared" si="66"/>
        <v/>
      </c>
      <c r="H755" s="559" t="str">
        <f t="shared" si="67"/>
        <v/>
      </c>
      <c r="I755" s="559" t="str">
        <f t="shared" si="68"/>
        <v/>
      </c>
    </row>
    <row r="756" spans="2:9">
      <c r="B756" s="555" t="str">
        <f t="shared" si="63"/>
        <v/>
      </c>
      <c r="C756" s="556" t="str">
        <f t="shared" si="64"/>
        <v/>
      </c>
      <c r="D756" s="557" t="str">
        <f t="shared" si="65"/>
        <v/>
      </c>
      <c r="E756" s="560"/>
      <c r="F756" s="559"/>
      <c r="G756" s="559" t="str">
        <f t="shared" si="66"/>
        <v/>
      </c>
      <c r="H756" s="559" t="str">
        <f t="shared" si="67"/>
        <v/>
      </c>
      <c r="I756" s="559" t="str">
        <f t="shared" si="68"/>
        <v/>
      </c>
    </row>
    <row r="757" spans="2:9">
      <c r="B757" s="555" t="str">
        <f t="shared" si="63"/>
        <v/>
      </c>
      <c r="C757" s="556" t="str">
        <f t="shared" si="64"/>
        <v/>
      </c>
      <c r="D757" s="557" t="str">
        <f t="shared" si="65"/>
        <v/>
      </c>
      <c r="E757" s="560"/>
      <c r="F757" s="559"/>
      <c r="G757" s="559" t="str">
        <f t="shared" si="66"/>
        <v/>
      </c>
      <c r="H757" s="559" t="str">
        <f t="shared" si="67"/>
        <v/>
      </c>
      <c r="I757" s="559" t="str">
        <f t="shared" si="68"/>
        <v/>
      </c>
    </row>
    <row r="758" spans="2:9">
      <c r="B758" s="555" t="str">
        <f t="shared" si="63"/>
        <v/>
      </c>
      <c r="C758" s="556" t="str">
        <f t="shared" si="64"/>
        <v/>
      </c>
      <c r="D758" s="557" t="str">
        <f t="shared" si="65"/>
        <v/>
      </c>
      <c r="E758" s="560"/>
      <c r="F758" s="559"/>
      <c r="G758" s="559" t="str">
        <f t="shared" si="66"/>
        <v/>
      </c>
      <c r="H758" s="559" t="str">
        <f t="shared" si="67"/>
        <v/>
      </c>
      <c r="I758" s="559" t="str">
        <f t="shared" si="68"/>
        <v/>
      </c>
    </row>
    <row r="759" spans="2:9">
      <c r="B759" s="555" t="str">
        <f t="shared" si="63"/>
        <v/>
      </c>
      <c r="C759" s="556" t="str">
        <f t="shared" si="64"/>
        <v/>
      </c>
      <c r="D759" s="557" t="str">
        <f t="shared" si="65"/>
        <v/>
      </c>
      <c r="E759" s="560"/>
      <c r="F759" s="559"/>
      <c r="G759" s="559" t="str">
        <f t="shared" si="66"/>
        <v/>
      </c>
      <c r="H759" s="559" t="str">
        <f t="shared" si="67"/>
        <v/>
      </c>
      <c r="I759" s="559" t="str">
        <f t="shared" si="68"/>
        <v/>
      </c>
    </row>
    <row r="760" spans="2:9">
      <c r="B760" s="555" t="str">
        <f t="shared" si="63"/>
        <v/>
      </c>
      <c r="C760" s="556" t="str">
        <f t="shared" si="64"/>
        <v/>
      </c>
      <c r="D760" s="557" t="str">
        <f t="shared" si="65"/>
        <v/>
      </c>
      <c r="E760" s="560"/>
      <c r="F760" s="559"/>
      <c r="G760" s="559" t="str">
        <f t="shared" si="66"/>
        <v/>
      </c>
      <c r="H760" s="559" t="str">
        <f t="shared" si="67"/>
        <v/>
      </c>
      <c r="I760" s="559" t="str">
        <f t="shared" si="68"/>
        <v/>
      </c>
    </row>
    <row r="761" spans="2:9">
      <c r="B761" s="555" t="str">
        <f t="shared" si="63"/>
        <v/>
      </c>
      <c r="C761" s="556" t="str">
        <f t="shared" si="64"/>
        <v/>
      </c>
      <c r="D761" s="557" t="str">
        <f t="shared" si="65"/>
        <v/>
      </c>
      <c r="E761" s="560"/>
      <c r="F761" s="559"/>
      <c r="G761" s="559" t="str">
        <f t="shared" si="66"/>
        <v/>
      </c>
      <c r="H761" s="559" t="str">
        <f t="shared" si="67"/>
        <v/>
      </c>
      <c r="I761" s="559" t="str">
        <f t="shared" si="68"/>
        <v/>
      </c>
    </row>
    <row r="762" spans="2:9">
      <c r="B762" s="555" t="str">
        <f t="shared" si="63"/>
        <v/>
      </c>
      <c r="C762" s="556" t="str">
        <f t="shared" si="64"/>
        <v/>
      </c>
      <c r="D762" s="557" t="str">
        <f t="shared" si="65"/>
        <v/>
      </c>
      <c r="E762" s="560"/>
      <c r="F762" s="559"/>
      <c r="G762" s="559" t="str">
        <f t="shared" si="66"/>
        <v/>
      </c>
      <c r="H762" s="559" t="str">
        <f t="shared" si="67"/>
        <v/>
      </c>
      <c r="I762" s="559" t="str">
        <f t="shared" si="68"/>
        <v/>
      </c>
    </row>
    <row r="763" spans="2:9">
      <c r="B763" s="555" t="str">
        <f t="shared" si="63"/>
        <v/>
      </c>
      <c r="C763" s="556" t="str">
        <f t="shared" si="64"/>
        <v/>
      </c>
      <c r="D763" s="557" t="str">
        <f t="shared" si="65"/>
        <v/>
      </c>
      <c r="E763" s="560"/>
      <c r="F763" s="559"/>
      <c r="G763" s="559" t="str">
        <f t="shared" si="66"/>
        <v/>
      </c>
      <c r="H763" s="559" t="str">
        <f t="shared" si="67"/>
        <v/>
      </c>
      <c r="I763" s="559" t="str">
        <f t="shared" si="68"/>
        <v/>
      </c>
    </row>
    <row r="764" spans="2:9">
      <c r="B764" s="555" t="str">
        <f t="shared" si="63"/>
        <v/>
      </c>
      <c r="C764" s="556" t="str">
        <f t="shared" si="64"/>
        <v/>
      </c>
      <c r="D764" s="557" t="str">
        <f t="shared" si="65"/>
        <v/>
      </c>
      <c r="E764" s="560"/>
      <c r="F764" s="559"/>
      <c r="G764" s="559" t="str">
        <f t="shared" si="66"/>
        <v/>
      </c>
      <c r="H764" s="559" t="str">
        <f t="shared" si="67"/>
        <v/>
      </c>
      <c r="I764" s="559" t="str">
        <f t="shared" si="68"/>
        <v/>
      </c>
    </row>
    <row r="765" spans="2:9">
      <c r="B765" s="555" t="str">
        <f t="shared" ref="B765:B828" si="69">IF(I764="","",IF(roundOpt,IF(OR(B764&gt;=nper,ROUND(I764,2)&lt;=0),"",B764+1),IF(OR(B764&gt;=nper,I764&lt;=0),"",B764+1)))</f>
        <v/>
      </c>
      <c r="C765" s="556" t="str">
        <f t="shared" ref="C765:C828" si="70">IF(B765="","",IF(OR(periods_per_year=26,periods_per_year=52),IF(periods_per_year=26,IF(B765=1,fpdate,C764+14),IF(periods_per_year=52,IF(B765=1,fpdate,C764+7),"n/a")),IF(periods_per_year=24,DATE(YEAR(fpdate),MONTH(fpdate)+(B765-1)/2+IF(AND(DAY(fpdate)&gt;=15,MOD(B765,2)=0),1,0),IF(MOD(B765,2)=0,IF(DAY(fpdate)&gt;=15,DAY(fpdate)-14,DAY(fpdate)+14),DAY(fpdate))),IF(DAY(DATE(YEAR(fpdate),MONTH(fpdate)+(B765-1)*months_per_period,DAY(fpdate)))&lt;&gt;DAY(fpdate),DATE(YEAR(fpdate),MONTH(fpdate)+(B765-1)*months_per_period+1,0),DATE(YEAR(fpdate),MONTH(fpdate)+(B765-1)*months_per_period,DAY(fpdate))))))</f>
        <v/>
      </c>
      <c r="D765" s="557" t="str">
        <f t="shared" ref="D765:D828" si="71">IF(B765="","",IF(roundOpt,IF(OR(B765=nper,payment&gt;ROUND((1+rate)*I764,2)),ROUND((1+rate)*I764,2),payment),IF(OR(B765=nper,payment&gt;(1+rate)*I764),(1+rate)*I764,payment)))</f>
        <v/>
      </c>
      <c r="E765" s="560"/>
      <c r="F765" s="559"/>
      <c r="G765" s="559" t="str">
        <f t="shared" ref="G765:G828" si="72">IF(B765="","",IF(AND(B765=1,pmtType=1),0,IF(roundOpt,ROUND(rate*I764,2),rate*I764)))</f>
        <v/>
      </c>
      <c r="H765" s="559" t="str">
        <f t="shared" ref="H765:H828" si="73">IF(B765="","",D765-G765+E765)</f>
        <v/>
      </c>
      <c r="I765" s="559" t="str">
        <f t="shared" ref="I765:I828" si="74">IF(B765="","",I764-H765)</f>
        <v/>
      </c>
    </row>
    <row r="766" spans="2:9">
      <c r="B766" s="555" t="str">
        <f t="shared" si="69"/>
        <v/>
      </c>
      <c r="C766" s="556" t="str">
        <f t="shared" si="70"/>
        <v/>
      </c>
      <c r="D766" s="557" t="str">
        <f t="shared" si="71"/>
        <v/>
      </c>
      <c r="E766" s="560"/>
      <c r="F766" s="559"/>
      <c r="G766" s="559" t="str">
        <f t="shared" si="72"/>
        <v/>
      </c>
      <c r="H766" s="559" t="str">
        <f t="shared" si="73"/>
        <v/>
      </c>
      <c r="I766" s="559" t="str">
        <f t="shared" si="74"/>
        <v/>
      </c>
    </row>
    <row r="767" spans="2:9">
      <c r="B767" s="555" t="str">
        <f t="shared" si="69"/>
        <v/>
      </c>
      <c r="C767" s="556" t="str">
        <f t="shared" si="70"/>
        <v/>
      </c>
      <c r="D767" s="557" t="str">
        <f t="shared" si="71"/>
        <v/>
      </c>
      <c r="E767" s="560"/>
      <c r="F767" s="559"/>
      <c r="G767" s="559" t="str">
        <f t="shared" si="72"/>
        <v/>
      </c>
      <c r="H767" s="559" t="str">
        <f t="shared" si="73"/>
        <v/>
      </c>
      <c r="I767" s="559" t="str">
        <f t="shared" si="74"/>
        <v/>
      </c>
    </row>
    <row r="768" spans="2:9">
      <c r="B768" s="555" t="str">
        <f t="shared" si="69"/>
        <v/>
      </c>
      <c r="C768" s="556" t="str">
        <f t="shared" si="70"/>
        <v/>
      </c>
      <c r="D768" s="557" t="str">
        <f t="shared" si="71"/>
        <v/>
      </c>
      <c r="E768" s="560"/>
      <c r="F768" s="559"/>
      <c r="G768" s="559" t="str">
        <f t="shared" si="72"/>
        <v/>
      </c>
      <c r="H768" s="559" t="str">
        <f t="shared" si="73"/>
        <v/>
      </c>
      <c r="I768" s="559" t="str">
        <f t="shared" si="74"/>
        <v/>
      </c>
    </row>
    <row r="769" spans="2:9">
      <c r="B769" s="555" t="str">
        <f t="shared" si="69"/>
        <v/>
      </c>
      <c r="C769" s="556" t="str">
        <f t="shared" si="70"/>
        <v/>
      </c>
      <c r="D769" s="557" t="str">
        <f t="shared" si="71"/>
        <v/>
      </c>
      <c r="E769" s="560"/>
      <c r="F769" s="559"/>
      <c r="G769" s="559" t="str">
        <f t="shared" si="72"/>
        <v/>
      </c>
      <c r="H769" s="559" t="str">
        <f t="shared" si="73"/>
        <v/>
      </c>
      <c r="I769" s="559" t="str">
        <f t="shared" si="74"/>
        <v/>
      </c>
    </row>
    <row r="770" spans="2:9">
      <c r="B770" s="555" t="str">
        <f t="shared" si="69"/>
        <v/>
      </c>
      <c r="C770" s="556" t="str">
        <f t="shared" si="70"/>
        <v/>
      </c>
      <c r="D770" s="557" t="str">
        <f t="shared" si="71"/>
        <v/>
      </c>
      <c r="E770" s="560"/>
      <c r="F770" s="559"/>
      <c r="G770" s="559" t="str">
        <f t="shared" si="72"/>
        <v/>
      </c>
      <c r="H770" s="559" t="str">
        <f t="shared" si="73"/>
        <v/>
      </c>
      <c r="I770" s="559" t="str">
        <f t="shared" si="74"/>
        <v/>
      </c>
    </row>
    <row r="771" spans="2:9">
      <c r="B771" s="555" t="str">
        <f t="shared" si="69"/>
        <v/>
      </c>
      <c r="C771" s="556" t="str">
        <f t="shared" si="70"/>
        <v/>
      </c>
      <c r="D771" s="557" t="str">
        <f t="shared" si="71"/>
        <v/>
      </c>
      <c r="E771" s="560"/>
      <c r="F771" s="559"/>
      <c r="G771" s="559" t="str">
        <f t="shared" si="72"/>
        <v/>
      </c>
      <c r="H771" s="559" t="str">
        <f t="shared" si="73"/>
        <v/>
      </c>
      <c r="I771" s="559" t="str">
        <f t="shared" si="74"/>
        <v/>
      </c>
    </row>
    <row r="772" spans="2:9">
      <c r="B772" s="555" t="str">
        <f t="shared" si="69"/>
        <v/>
      </c>
      <c r="C772" s="556" t="str">
        <f t="shared" si="70"/>
        <v/>
      </c>
      <c r="D772" s="557" t="str">
        <f t="shared" si="71"/>
        <v/>
      </c>
      <c r="E772" s="560"/>
      <c r="F772" s="559"/>
      <c r="G772" s="559" t="str">
        <f t="shared" si="72"/>
        <v/>
      </c>
      <c r="H772" s="559" t="str">
        <f t="shared" si="73"/>
        <v/>
      </c>
      <c r="I772" s="559" t="str">
        <f t="shared" si="74"/>
        <v/>
      </c>
    </row>
    <row r="773" spans="2:9">
      <c r="B773" s="555" t="str">
        <f t="shared" si="69"/>
        <v/>
      </c>
      <c r="C773" s="556" t="str">
        <f t="shared" si="70"/>
        <v/>
      </c>
      <c r="D773" s="557" t="str">
        <f t="shared" si="71"/>
        <v/>
      </c>
      <c r="E773" s="560"/>
      <c r="F773" s="559"/>
      <c r="G773" s="559" t="str">
        <f t="shared" si="72"/>
        <v/>
      </c>
      <c r="H773" s="559" t="str">
        <f t="shared" si="73"/>
        <v/>
      </c>
      <c r="I773" s="559" t="str">
        <f t="shared" si="74"/>
        <v/>
      </c>
    </row>
    <row r="774" spans="2:9">
      <c r="B774" s="555" t="str">
        <f t="shared" si="69"/>
        <v/>
      </c>
      <c r="C774" s="556" t="str">
        <f t="shared" si="70"/>
        <v/>
      </c>
      <c r="D774" s="557" t="str">
        <f t="shared" si="71"/>
        <v/>
      </c>
      <c r="E774" s="560"/>
      <c r="F774" s="559"/>
      <c r="G774" s="559" t="str">
        <f t="shared" si="72"/>
        <v/>
      </c>
      <c r="H774" s="559" t="str">
        <f t="shared" si="73"/>
        <v/>
      </c>
      <c r="I774" s="559" t="str">
        <f t="shared" si="74"/>
        <v/>
      </c>
    </row>
    <row r="775" spans="2:9">
      <c r="B775" s="555" t="str">
        <f t="shared" si="69"/>
        <v/>
      </c>
      <c r="C775" s="556" t="str">
        <f t="shared" si="70"/>
        <v/>
      </c>
      <c r="D775" s="557" t="str">
        <f t="shared" si="71"/>
        <v/>
      </c>
      <c r="E775" s="560"/>
      <c r="F775" s="559"/>
      <c r="G775" s="559" t="str">
        <f t="shared" si="72"/>
        <v/>
      </c>
      <c r="H775" s="559" t="str">
        <f t="shared" si="73"/>
        <v/>
      </c>
      <c r="I775" s="559" t="str">
        <f t="shared" si="74"/>
        <v/>
      </c>
    </row>
    <row r="776" spans="2:9">
      <c r="B776" s="555" t="str">
        <f t="shared" si="69"/>
        <v/>
      </c>
      <c r="C776" s="556" t="str">
        <f t="shared" si="70"/>
        <v/>
      </c>
      <c r="D776" s="557" t="str">
        <f t="shared" si="71"/>
        <v/>
      </c>
      <c r="E776" s="560"/>
      <c r="F776" s="559"/>
      <c r="G776" s="559" t="str">
        <f t="shared" si="72"/>
        <v/>
      </c>
      <c r="H776" s="559" t="str">
        <f t="shared" si="73"/>
        <v/>
      </c>
      <c r="I776" s="559" t="str">
        <f t="shared" si="74"/>
        <v/>
      </c>
    </row>
    <row r="777" spans="2:9">
      <c r="B777" s="555" t="str">
        <f t="shared" si="69"/>
        <v/>
      </c>
      <c r="C777" s="556" t="str">
        <f t="shared" si="70"/>
        <v/>
      </c>
      <c r="D777" s="557" t="str">
        <f t="shared" si="71"/>
        <v/>
      </c>
      <c r="E777" s="560"/>
      <c r="F777" s="559"/>
      <c r="G777" s="559" t="str">
        <f t="shared" si="72"/>
        <v/>
      </c>
      <c r="H777" s="559" t="str">
        <f t="shared" si="73"/>
        <v/>
      </c>
      <c r="I777" s="559" t="str">
        <f t="shared" si="74"/>
        <v/>
      </c>
    </row>
    <row r="778" spans="2:9">
      <c r="B778" s="555" t="str">
        <f t="shared" si="69"/>
        <v/>
      </c>
      <c r="C778" s="556" t="str">
        <f t="shared" si="70"/>
        <v/>
      </c>
      <c r="D778" s="557" t="str">
        <f t="shared" si="71"/>
        <v/>
      </c>
      <c r="E778" s="560"/>
      <c r="F778" s="559"/>
      <c r="G778" s="559" t="str">
        <f t="shared" si="72"/>
        <v/>
      </c>
      <c r="H778" s="559" t="str">
        <f t="shared" si="73"/>
        <v/>
      </c>
      <c r="I778" s="559" t="str">
        <f t="shared" si="74"/>
        <v/>
      </c>
    </row>
    <row r="779" spans="2:9">
      <c r="B779" s="555" t="str">
        <f t="shared" si="69"/>
        <v/>
      </c>
      <c r="C779" s="556" t="str">
        <f t="shared" si="70"/>
        <v/>
      </c>
      <c r="D779" s="557" t="str">
        <f t="shared" si="71"/>
        <v/>
      </c>
      <c r="E779" s="560"/>
      <c r="F779" s="559"/>
      <c r="G779" s="559" t="str">
        <f t="shared" si="72"/>
        <v/>
      </c>
      <c r="H779" s="559" t="str">
        <f t="shared" si="73"/>
        <v/>
      </c>
      <c r="I779" s="559" t="str">
        <f t="shared" si="74"/>
        <v/>
      </c>
    </row>
    <row r="780" spans="2:9">
      <c r="B780" s="555" t="str">
        <f t="shared" si="69"/>
        <v/>
      </c>
      <c r="C780" s="556" t="str">
        <f t="shared" si="70"/>
        <v/>
      </c>
      <c r="D780" s="557" t="str">
        <f t="shared" si="71"/>
        <v/>
      </c>
      <c r="E780" s="560"/>
      <c r="F780" s="559"/>
      <c r="G780" s="559" t="str">
        <f t="shared" si="72"/>
        <v/>
      </c>
      <c r="H780" s="559" t="str">
        <f t="shared" si="73"/>
        <v/>
      </c>
      <c r="I780" s="559" t="str">
        <f t="shared" si="74"/>
        <v/>
      </c>
    </row>
    <row r="781" spans="2:9">
      <c r="B781" s="555" t="str">
        <f t="shared" si="69"/>
        <v/>
      </c>
      <c r="C781" s="556" t="str">
        <f t="shared" si="70"/>
        <v/>
      </c>
      <c r="D781" s="557" t="str">
        <f t="shared" si="71"/>
        <v/>
      </c>
      <c r="E781" s="560"/>
      <c r="F781" s="559"/>
      <c r="G781" s="559" t="str">
        <f t="shared" si="72"/>
        <v/>
      </c>
      <c r="H781" s="559" t="str">
        <f t="shared" si="73"/>
        <v/>
      </c>
      <c r="I781" s="559" t="str">
        <f t="shared" si="74"/>
        <v/>
      </c>
    </row>
    <row r="782" spans="2:9">
      <c r="B782" s="555" t="str">
        <f t="shared" si="69"/>
        <v/>
      </c>
      <c r="C782" s="556" t="str">
        <f t="shared" si="70"/>
        <v/>
      </c>
      <c r="D782" s="557" t="str">
        <f t="shared" si="71"/>
        <v/>
      </c>
      <c r="E782" s="560"/>
      <c r="F782" s="559"/>
      <c r="G782" s="559" t="str">
        <f t="shared" si="72"/>
        <v/>
      </c>
      <c r="H782" s="559" t="str">
        <f t="shared" si="73"/>
        <v/>
      </c>
      <c r="I782" s="559" t="str">
        <f t="shared" si="74"/>
        <v/>
      </c>
    </row>
    <row r="783" spans="2:9">
      <c r="B783" s="555" t="str">
        <f t="shared" si="69"/>
        <v/>
      </c>
      <c r="C783" s="556" t="str">
        <f t="shared" si="70"/>
        <v/>
      </c>
      <c r="D783" s="557" t="str">
        <f t="shared" si="71"/>
        <v/>
      </c>
      <c r="E783" s="560"/>
      <c r="F783" s="559"/>
      <c r="G783" s="559" t="str">
        <f t="shared" si="72"/>
        <v/>
      </c>
      <c r="H783" s="559" t="str">
        <f t="shared" si="73"/>
        <v/>
      </c>
      <c r="I783" s="559" t="str">
        <f t="shared" si="74"/>
        <v/>
      </c>
    </row>
    <row r="784" spans="2:9">
      <c r="B784" s="555" t="str">
        <f t="shared" si="69"/>
        <v/>
      </c>
      <c r="C784" s="556" t="str">
        <f t="shared" si="70"/>
        <v/>
      </c>
      <c r="D784" s="557" t="str">
        <f t="shared" si="71"/>
        <v/>
      </c>
      <c r="E784" s="560"/>
      <c r="F784" s="559"/>
      <c r="G784" s="559" t="str">
        <f t="shared" si="72"/>
        <v/>
      </c>
      <c r="H784" s="559" t="str">
        <f t="shared" si="73"/>
        <v/>
      </c>
      <c r="I784" s="559" t="str">
        <f t="shared" si="74"/>
        <v/>
      </c>
    </row>
    <row r="785" spans="2:9">
      <c r="B785" s="555" t="str">
        <f t="shared" si="69"/>
        <v/>
      </c>
      <c r="C785" s="556" t="str">
        <f t="shared" si="70"/>
        <v/>
      </c>
      <c r="D785" s="557" t="str">
        <f t="shared" si="71"/>
        <v/>
      </c>
      <c r="E785" s="560"/>
      <c r="F785" s="559"/>
      <c r="G785" s="559" t="str">
        <f t="shared" si="72"/>
        <v/>
      </c>
      <c r="H785" s="559" t="str">
        <f t="shared" si="73"/>
        <v/>
      </c>
      <c r="I785" s="559" t="str">
        <f t="shared" si="74"/>
        <v/>
      </c>
    </row>
    <row r="786" spans="2:9">
      <c r="B786" s="555" t="str">
        <f t="shared" si="69"/>
        <v/>
      </c>
      <c r="C786" s="556" t="str">
        <f t="shared" si="70"/>
        <v/>
      </c>
      <c r="D786" s="557" t="str">
        <f t="shared" si="71"/>
        <v/>
      </c>
      <c r="E786" s="560"/>
      <c r="F786" s="559"/>
      <c r="G786" s="559" t="str">
        <f t="shared" si="72"/>
        <v/>
      </c>
      <c r="H786" s="559" t="str">
        <f t="shared" si="73"/>
        <v/>
      </c>
      <c r="I786" s="559" t="str">
        <f t="shared" si="74"/>
        <v/>
      </c>
    </row>
    <row r="787" spans="2:9">
      <c r="B787" s="555" t="str">
        <f t="shared" si="69"/>
        <v/>
      </c>
      <c r="C787" s="556" t="str">
        <f t="shared" si="70"/>
        <v/>
      </c>
      <c r="D787" s="557" t="str">
        <f t="shared" si="71"/>
        <v/>
      </c>
      <c r="E787" s="560"/>
      <c r="F787" s="559"/>
      <c r="G787" s="559" t="str">
        <f t="shared" si="72"/>
        <v/>
      </c>
      <c r="H787" s="559" t="str">
        <f t="shared" si="73"/>
        <v/>
      </c>
      <c r="I787" s="559" t="str">
        <f t="shared" si="74"/>
        <v/>
      </c>
    </row>
    <row r="788" spans="2:9">
      <c r="B788" s="555" t="str">
        <f t="shared" si="69"/>
        <v/>
      </c>
      <c r="C788" s="556" t="str">
        <f t="shared" si="70"/>
        <v/>
      </c>
      <c r="D788" s="557" t="str">
        <f t="shared" si="71"/>
        <v/>
      </c>
      <c r="E788" s="560"/>
      <c r="F788" s="559"/>
      <c r="G788" s="559" t="str">
        <f t="shared" si="72"/>
        <v/>
      </c>
      <c r="H788" s="559" t="str">
        <f t="shared" si="73"/>
        <v/>
      </c>
      <c r="I788" s="559" t="str">
        <f t="shared" si="74"/>
        <v/>
      </c>
    </row>
    <row r="789" spans="2:9">
      <c r="B789" s="555" t="str">
        <f t="shared" si="69"/>
        <v/>
      </c>
      <c r="C789" s="556" t="str">
        <f t="shared" si="70"/>
        <v/>
      </c>
      <c r="D789" s="557" t="str">
        <f t="shared" si="71"/>
        <v/>
      </c>
      <c r="E789" s="560"/>
      <c r="F789" s="559"/>
      <c r="G789" s="559" t="str">
        <f t="shared" si="72"/>
        <v/>
      </c>
      <c r="H789" s="559" t="str">
        <f t="shared" si="73"/>
        <v/>
      </c>
      <c r="I789" s="559" t="str">
        <f t="shared" si="74"/>
        <v/>
      </c>
    </row>
    <row r="790" spans="2:9">
      <c r="B790" s="555" t="str">
        <f t="shared" si="69"/>
        <v/>
      </c>
      <c r="C790" s="556" t="str">
        <f t="shared" si="70"/>
        <v/>
      </c>
      <c r="D790" s="557" t="str">
        <f t="shared" si="71"/>
        <v/>
      </c>
      <c r="E790" s="560"/>
      <c r="F790" s="559"/>
      <c r="G790" s="559" t="str">
        <f t="shared" si="72"/>
        <v/>
      </c>
      <c r="H790" s="559" t="str">
        <f t="shared" si="73"/>
        <v/>
      </c>
      <c r="I790" s="559" t="str">
        <f t="shared" si="74"/>
        <v/>
      </c>
    </row>
    <row r="791" spans="2:9">
      <c r="B791" s="555" t="str">
        <f t="shared" si="69"/>
        <v/>
      </c>
      <c r="C791" s="556" t="str">
        <f t="shared" si="70"/>
        <v/>
      </c>
      <c r="D791" s="557" t="str">
        <f t="shared" si="71"/>
        <v/>
      </c>
      <c r="E791" s="560"/>
      <c r="F791" s="559"/>
      <c r="G791" s="559" t="str">
        <f t="shared" si="72"/>
        <v/>
      </c>
      <c r="H791" s="559" t="str">
        <f t="shared" si="73"/>
        <v/>
      </c>
      <c r="I791" s="559" t="str">
        <f t="shared" si="74"/>
        <v/>
      </c>
    </row>
    <row r="792" spans="2:9">
      <c r="B792" s="555" t="str">
        <f t="shared" si="69"/>
        <v/>
      </c>
      <c r="C792" s="556" t="str">
        <f t="shared" si="70"/>
        <v/>
      </c>
      <c r="D792" s="557" t="str">
        <f t="shared" si="71"/>
        <v/>
      </c>
      <c r="E792" s="560"/>
      <c r="F792" s="559"/>
      <c r="G792" s="559" t="str">
        <f t="shared" si="72"/>
        <v/>
      </c>
      <c r="H792" s="559" t="str">
        <f t="shared" si="73"/>
        <v/>
      </c>
      <c r="I792" s="559" t="str">
        <f t="shared" si="74"/>
        <v/>
      </c>
    </row>
    <row r="793" spans="2:9">
      <c r="B793" s="555" t="str">
        <f t="shared" si="69"/>
        <v/>
      </c>
      <c r="C793" s="556" t="str">
        <f t="shared" si="70"/>
        <v/>
      </c>
      <c r="D793" s="557" t="str">
        <f t="shared" si="71"/>
        <v/>
      </c>
      <c r="E793" s="560"/>
      <c r="F793" s="559"/>
      <c r="G793" s="559" t="str">
        <f t="shared" si="72"/>
        <v/>
      </c>
      <c r="H793" s="559" t="str">
        <f t="shared" si="73"/>
        <v/>
      </c>
      <c r="I793" s="559" t="str">
        <f t="shared" si="74"/>
        <v/>
      </c>
    </row>
    <row r="794" spans="2:9">
      <c r="B794" s="555" t="str">
        <f t="shared" si="69"/>
        <v/>
      </c>
      <c r="C794" s="556" t="str">
        <f t="shared" si="70"/>
        <v/>
      </c>
      <c r="D794" s="557" t="str">
        <f t="shared" si="71"/>
        <v/>
      </c>
      <c r="E794" s="560"/>
      <c r="F794" s="559"/>
      <c r="G794" s="559" t="str">
        <f t="shared" si="72"/>
        <v/>
      </c>
      <c r="H794" s="559" t="str">
        <f t="shared" si="73"/>
        <v/>
      </c>
      <c r="I794" s="559" t="str">
        <f t="shared" si="74"/>
        <v/>
      </c>
    </row>
    <row r="795" spans="2:9">
      <c r="B795" s="555" t="str">
        <f t="shared" si="69"/>
        <v/>
      </c>
      <c r="C795" s="556" t="str">
        <f t="shared" si="70"/>
        <v/>
      </c>
      <c r="D795" s="557" t="str">
        <f t="shared" si="71"/>
        <v/>
      </c>
      <c r="E795" s="560"/>
      <c r="F795" s="559"/>
      <c r="G795" s="559" t="str">
        <f t="shared" si="72"/>
        <v/>
      </c>
      <c r="H795" s="559" t="str">
        <f t="shared" si="73"/>
        <v/>
      </c>
      <c r="I795" s="559" t="str">
        <f t="shared" si="74"/>
        <v/>
      </c>
    </row>
    <row r="796" spans="2:9">
      <c r="B796" s="555" t="str">
        <f t="shared" si="69"/>
        <v/>
      </c>
      <c r="C796" s="556" t="str">
        <f t="shared" si="70"/>
        <v/>
      </c>
      <c r="D796" s="557" t="str">
        <f t="shared" si="71"/>
        <v/>
      </c>
      <c r="E796" s="560"/>
      <c r="F796" s="559"/>
      <c r="G796" s="559" t="str">
        <f t="shared" si="72"/>
        <v/>
      </c>
      <c r="H796" s="559" t="str">
        <f t="shared" si="73"/>
        <v/>
      </c>
      <c r="I796" s="559" t="str">
        <f t="shared" si="74"/>
        <v/>
      </c>
    </row>
    <row r="797" spans="2:9">
      <c r="B797" s="555" t="str">
        <f t="shared" si="69"/>
        <v/>
      </c>
      <c r="C797" s="556" t="str">
        <f t="shared" si="70"/>
        <v/>
      </c>
      <c r="D797" s="557" t="str">
        <f t="shared" si="71"/>
        <v/>
      </c>
      <c r="E797" s="560"/>
      <c r="F797" s="559"/>
      <c r="G797" s="559" t="str">
        <f t="shared" si="72"/>
        <v/>
      </c>
      <c r="H797" s="559" t="str">
        <f t="shared" si="73"/>
        <v/>
      </c>
      <c r="I797" s="559" t="str">
        <f t="shared" si="74"/>
        <v/>
      </c>
    </row>
    <row r="798" spans="2:9">
      <c r="B798" s="555" t="str">
        <f t="shared" si="69"/>
        <v/>
      </c>
      <c r="C798" s="556" t="str">
        <f t="shared" si="70"/>
        <v/>
      </c>
      <c r="D798" s="557" t="str">
        <f t="shared" si="71"/>
        <v/>
      </c>
      <c r="E798" s="560"/>
      <c r="F798" s="559"/>
      <c r="G798" s="559" t="str">
        <f t="shared" si="72"/>
        <v/>
      </c>
      <c r="H798" s="559" t="str">
        <f t="shared" si="73"/>
        <v/>
      </c>
      <c r="I798" s="559" t="str">
        <f t="shared" si="74"/>
        <v/>
      </c>
    </row>
    <row r="799" spans="2:9">
      <c r="B799" s="555" t="str">
        <f t="shared" si="69"/>
        <v/>
      </c>
      <c r="C799" s="556" t="str">
        <f t="shared" si="70"/>
        <v/>
      </c>
      <c r="D799" s="557" t="str">
        <f t="shared" si="71"/>
        <v/>
      </c>
      <c r="E799" s="560"/>
      <c r="F799" s="559"/>
      <c r="G799" s="559" t="str">
        <f t="shared" si="72"/>
        <v/>
      </c>
      <c r="H799" s="559" t="str">
        <f t="shared" si="73"/>
        <v/>
      </c>
      <c r="I799" s="559" t="str">
        <f t="shared" si="74"/>
        <v/>
      </c>
    </row>
    <row r="800" spans="2:9">
      <c r="B800" s="555" t="str">
        <f t="shared" si="69"/>
        <v/>
      </c>
      <c r="C800" s="556" t="str">
        <f t="shared" si="70"/>
        <v/>
      </c>
      <c r="D800" s="557" t="str">
        <f t="shared" si="71"/>
        <v/>
      </c>
      <c r="E800" s="560"/>
      <c r="F800" s="559"/>
      <c r="G800" s="559" t="str">
        <f t="shared" si="72"/>
        <v/>
      </c>
      <c r="H800" s="559" t="str">
        <f t="shared" si="73"/>
        <v/>
      </c>
      <c r="I800" s="559" t="str">
        <f t="shared" si="74"/>
        <v/>
      </c>
    </row>
    <row r="801" spans="2:9">
      <c r="B801" s="555" t="str">
        <f t="shared" si="69"/>
        <v/>
      </c>
      <c r="C801" s="556" t="str">
        <f t="shared" si="70"/>
        <v/>
      </c>
      <c r="D801" s="557" t="str">
        <f t="shared" si="71"/>
        <v/>
      </c>
      <c r="E801" s="560"/>
      <c r="F801" s="559"/>
      <c r="G801" s="559" t="str">
        <f t="shared" si="72"/>
        <v/>
      </c>
      <c r="H801" s="559" t="str">
        <f t="shared" si="73"/>
        <v/>
      </c>
      <c r="I801" s="559" t="str">
        <f t="shared" si="74"/>
        <v/>
      </c>
    </row>
    <row r="802" spans="2:9">
      <c r="B802" s="555" t="str">
        <f t="shared" si="69"/>
        <v/>
      </c>
      <c r="C802" s="556" t="str">
        <f t="shared" si="70"/>
        <v/>
      </c>
      <c r="D802" s="557" t="str">
        <f t="shared" si="71"/>
        <v/>
      </c>
      <c r="E802" s="560"/>
      <c r="F802" s="559"/>
      <c r="G802" s="559" t="str">
        <f t="shared" si="72"/>
        <v/>
      </c>
      <c r="H802" s="559" t="str">
        <f t="shared" si="73"/>
        <v/>
      </c>
      <c r="I802" s="559" t="str">
        <f t="shared" si="74"/>
        <v/>
      </c>
    </row>
    <row r="803" spans="2:9">
      <c r="B803" s="555" t="str">
        <f t="shared" si="69"/>
        <v/>
      </c>
      <c r="C803" s="556" t="str">
        <f t="shared" si="70"/>
        <v/>
      </c>
      <c r="D803" s="557" t="str">
        <f t="shared" si="71"/>
        <v/>
      </c>
      <c r="E803" s="560"/>
      <c r="F803" s="559"/>
      <c r="G803" s="559" t="str">
        <f t="shared" si="72"/>
        <v/>
      </c>
      <c r="H803" s="559" t="str">
        <f t="shared" si="73"/>
        <v/>
      </c>
      <c r="I803" s="559" t="str">
        <f t="shared" si="74"/>
        <v/>
      </c>
    </row>
    <row r="804" spans="2:9">
      <c r="B804" s="555" t="str">
        <f t="shared" si="69"/>
        <v/>
      </c>
      <c r="C804" s="556" t="str">
        <f t="shared" si="70"/>
        <v/>
      </c>
      <c r="D804" s="557" t="str">
        <f t="shared" si="71"/>
        <v/>
      </c>
      <c r="E804" s="560"/>
      <c r="F804" s="559"/>
      <c r="G804" s="559" t="str">
        <f t="shared" si="72"/>
        <v/>
      </c>
      <c r="H804" s="559" t="str">
        <f t="shared" si="73"/>
        <v/>
      </c>
      <c r="I804" s="559" t="str">
        <f t="shared" si="74"/>
        <v/>
      </c>
    </row>
    <row r="805" spans="2:9">
      <c r="B805" s="555" t="str">
        <f t="shared" si="69"/>
        <v/>
      </c>
      <c r="C805" s="556" t="str">
        <f t="shared" si="70"/>
        <v/>
      </c>
      <c r="D805" s="557" t="str">
        <f t="shared" si="71"/>
        <v/>
      </c>
      <c r="E805" s="560"/>
      <c r="F805" s="559"/>
      <c r="G805" s="559" t="str">
        <f t="shared" si="72"/>
        <v/>
      </c>
      <c r="H805" s="559" t="str">
        <f t="shared" si="73"/>
        <v/>
      </c>
      <c r="I805" s="559" t="str">
        <f t="shared" si="74"/>
        <v/>
      </c>
    </row>
    <row r="806" spans="2:9">
      <c r="B806" s="555" t="str">
        <f t="shared" si="69"/>
        <v/>
      </c>
      <c r="C806" s="556" t="str">
        <f t="shared" si="70"/>
        <v/>
      </c>
      <c r="D806" s="557" t="str">
        <f t="shared" si="71"/>
        <v/>
      </c>
      <c r="E806" s="560"/>
      <c r="F806" s="559"/>
      <c r="G806" s="559" t="str">
        <f t="shared" si="72"/>
        <v/>
      </c>
      <c r="H806" s="559" t="str">
        <f t="shared" si="73"/>
        <v/>
      </c>
      <c r="I806" s="559" t="str">
        <f t="shared" si="74"/>
        <v/>
      </c>
    </row>
    <row r="807" spans="2:9">
      <c r="B807" s="555" t="str">
        <f t="shared" si="69"/>
        <v/>
      </c>
      <c r="C807" s="556" t="str">
        <f t="shared" si="70"/>
        <v/>
      </c>
      <c r="D807" s="557" t="str">
        <f t="shared" si="71"/>
        <v/>
      </c>
      <c r="E807" s="560"/>
      <c r="F807" s="559"/>
      <c r="G807" s="559" t="str">
        <f t="shared" si="72"/>
        <v/>
      </c>
      <c r="H807" s="559" t="str">
        <f t="shared" si="73"/>
        <v/>
      </c>
      <c r="I807" s="559" t="str">
        <f t="shared" si="74"/>
        <v/>
      </c>
    </row>
    <row r="808" spans="2:9">
      <c r="B808" s="555" t="str">
        <f t="shared" si="69"/>
        <v/>
      </c>
      <c r="C808" s="556" t="str">
        <f t="shared" si="70"/>
        <v/>
      </c>
      <c r="D808" s="557" t="str">
        <f t="shared" si="71"/>
        <v/>
      </c>
      <c r="E808" s="560"/>
      <c r="F808" s="559"/>
      <c r="G808" s="559" t="str">
        <f t="shared" si="72"/>
        <v/>
      </c>
      <c r="H808" s="559" t="str">
        <f t="shared" si="73"/>
        <v/>
      </c>
      <c r="I808" s="559" t="str">
        <f t="shared" si="74"/>
        <v/>
      </c>
    </row>
    <row r="809" spans="2:9">
      <c r="B809" s="555" t="str">
        <f t="shared" si="69"/>
        <v/>
      </c>
      <c r="C809" s="556" t="str">
        <f t="shared" si="70"/>
        <v/>
      </c>
      <c r="D809" s="557" t="str">
        <f t="shared" si="71"/>
        <v/>
      </c>
      <c r="E809" s="560"/>
      <c r="F809" s="559"/>
      <c r="G809" s="559" t="str">
        <f t="shared" si="72"/>
        <v/>
      </c>
      <c r="H809" s="559" t="str">
        <f t="shared" si="73"/>
        <v/>
      </c>
      <c r="I809" s="559" t="str">
        <f t="shared" si="74"/>
        <v/>
      </c>
    </row>
    <row r="810" spans="2:9">
      <c r="B810" s="555" t="str">
        <f t="shared" si="69"/>
        <v/>
      </c>
      <c r="C810" s="556" t="str">
        <f t="shared" si="70"/>
        <v/>
      </c>
      <c r="D810" s="557" t="str">
        <f t="shared" si="71"/>
        <v/>
      </c>
      <c r="E810" s="560"/>
      <c r="F810" s="559"/>
      <c r="G810" s="559" t="str">
        <f t="shared" si="72"/>
        <v/>
      </c>
      <c r="H810" s="559" t="str">
        <f t="shared" si="73"/>
        <v/>
      </c>
      <c r="I810" s="559" t="str">
        <f t="shared" si="74"/>
        <v/>
      </c>
    </row>
    <row r="811" spans="2:9">
      <c r="B811" s="555" t="str">
        <f t="shared" si="69"/>
        <v/>
      </c>
      <c r="C811" s="556" t="str">
        <f t="shared" si="70"/>
        <v/>
      </c>
      <c r="D811" s="557" t="str">
        <f t="shared" si="71"/>
        <v/>
      </c>
      <c r="E811" s="560"/>
      <c r="F811" s="559"/>
      <c r="G811" s="559" t="str">
        <f t="shared" si="72"/>
        <v/>
      </c>
      <c r="H811" s="559" t="str">
        <f t="shared" si="73"/>
        <v/>
      </c>
      <c r="I811" s="559" t="str">
        <f t="shared" si="74"/>
        <v/>
      </c>
    </row>
    <row r="812" spans="2:9">
      <c r="B812" s="555" t="str">
        <f t="shared" si="69"/>
        <v/>
      </c>
      <c r="C812" s="556" t="str">
        <f t="shared" si="70"/>
        <v/>
      </c>
      <c r="D812" s="557" t="str">
        <f t="shared" si="71"/>
        <v/>
      </c>
      <c r="E812" s="560"/>
      <c r="F812" s="559"/>
      <c r="G812" s="559" t="str">
        <f t="shared" si="72"/>
        <v/>
      </c>
      <c r="H812" s="559" t="str">
        <f t="shared" si="73"/>
        <v/>
      </c>
      <c r="I812" s="559" t="str">
        <f t="shared" si="74"/>
        <v/>
      </c>
    </row>
    <row r="813" spans="2:9">
      <c r="B813" s="555" t="str">
        <f t="shared" si="69"/>
        <v/>
      </c>
      <c r="C813" s="556" t="str">
        <f t="shared" si="70"/>
        <v/>
      </c>
      <c r="D813" s="557" t="str">
        <f t="shared" si="71"/>
        <v/>
      </c>
      <c r="E813" s="560"/>
      <c r="F813" s="559"/>
      <c r="G813" s="559" t="str">
        <f t="shared" si="72"/>
        <v/>
      </c>
      <c r="H813" s="559" t="str">
        <f t="shared" si="73"/>
        <v/>
      </c>
      <c r="I813" s="559" t="str">
        <f t="shared" si="74"/>
        <v/>
      </c>
    </row>
    <row r="814" spans="2:9">
      <c r="B814" s="555" t="str">
        <f t="shared" si="69"/>
        <v/>
      </c>
      <c r="C814" s="556" t="str">
        <f t="shared" si="70"/>
        <v/>
      </c>
      <c r="D814" s="557" t="str">
        <f t="shared" si="71"/>
        <v/>
      </c>
      <c r="E814" s="560"/>
      <c r="F814" s="559"/>
      <c r="G814" s="559" t="str">
        <f t="shared" si="72"/>
        <v/>
      </c>
      <c r="H814" s="559" t="str">
        <f t="shared" si="73"/>
        <v/>
      </c>
      <c r="I814" s="559" t="str">
        <f t="shared" si="74"/>
        <v/>
      </c>
    </row>
    <row r="815" spans="2:9">
      <c r="B815" s="555" t="str">
        <f t="shared" si="69"/>
        <v/>
      </c>
      <c r="C815" s="556" t="str">
        <f t="shared" si="70"/>
        <v/>
      </c>
      <c r="D815" s="557" t="str">
        <f t="shared" si="71"/>
        <v/>
      </c>
      <c r="E815" s="560"/>
      <c r="F815" s="559"/>
      <c r="G815" s="559" t="str">
        <f t="shared" si="72"/>
        <v/>
      </c>
      <c r="H815" s="559" t="str">
        <f t="shared" si="73"/>
        <v/>
      </c>
      <c r="I815" s="559" t="str">
        <f t="shared" si="74"/>
        <v/>
      </c>
    </row>
    <row r="816" spans="2:9">
      <c r="B816" s="555" t="str">
        <f t="shared" si="69"/>
        <v/>
      </c>
      <c r="C816" s="556" t="str">
        <f t="shared" si="70"/>
        <v/>
      </c>
      <c r="D816" s="557" t="str">
        <f t="shared" si="71"/>
        <v/>
      </c>
      <c r="E816" s="560"/>
      <c r="F816" s="559"/>
      <c r="G816" s="559" t="str">
        <f t="shared" si="72"/>
        <v/>
      </c>
      <c r="H816" s="559" t="str">
        <f t="shared" si="73"/>
        <v/>
      </c>
      <c r="I816" s="559" t="str">
        <f t="shared" si="74"/>
        <v/>
      </c>
    </row>
    <row r="817" spans="2:9">
      <c r="B817" s="555" t="str">
        <f t="shared" si="69"/>
        <v/>
      </c>
      <c r="C817" s="556" t="str">
        <f t="shared" si="70"/>
        <v/>
      </c>
      <c r="D817" s="557" t="str">
        <f t="shared" si="71"/>
        <v/>
      </c>
      <c r="E817" s="560"/>
      <c r="F817" s="559"/>
      <c r="G817" s="559" t="str">
        <f t="shared" si="72"/>
        <v/>
      </c>
      <c r="H817" s="559" t="str">
        <f t="shared" si="73"/>
        <v/>
      </c>
      <c r="I817" s="559" t="str">
        <f t="shared" si="74"/>
        <v/>
      </c>
    </row>
    <row r="818" spans="2:9">
      <c r="B818" s="555" t="str">
        <f t="shared" si="69"/>
        <v/>
      </c>
      <c r="C818" s="556" t="str">
        <f t="shared" si="70"/>
        <v/>
      </c>
      <c r="D818" s="557" t="str">
        <f t="shared" si="71"/>
        <v/>
      </c>
      <c r="E818" s="560"/>
      <c r="F818" s="559"/>
      <c r="G818" s="559" t="str">
        <f t="shared" si="72"/>
        <v/>
      </c>
      <c r="H818" s="559" t="str">
        <f t="shared" si="73"/>
        <v/>
      </c>
      <c r="I818" s="559" t="str">
        <f t="shared" si="74"/>
        <v/>
      </c>
    </row>
    <row r="819" spans="2:9">
      <c r="B819" s="555" t="str">
        <f t="shared" si="69"/>
        <v/>
      </c>
      <c r="C819" s="556" t="str">
        <f t="shared" si="70"/>
        <v/>
      </c>
      <c r="D819" s="557" t="str">
        <f t="shared" si="71"/>
        <v/>
      </c>
      <c r="E819" s="560"/>
      <c r="F819" s="559"/>
      <c r="G819" s="559" t="str">
        <f t="shared" si="72"/>
        <v/>
      </c>
      <c r="H819" s="559" t="str">
        <f t="shared" si="73"/>
        <v/>
      </c>
      <c r="I819" s="559" t="str">
        <f t="shared" si="74"/>
        <v/>
      </c>
    </row>
    <row r="820" spans="2:9">
      <c r="B820" s="555" t="str">
        <f t="shared" si="69"/>
        <v/>
      </c>
      <c r="C820" s="556" t="str">
        <f t="shared" si="70"/>
        <v/>
      </c>
      <c r="D820" s="557" t="str">
        <f t="shared" si="71"/>
        <v/>
      </c>
      <c r="E820" s="560"/>
      <c r="F820" s="559"/>
      <c r="G820" s="559" t="str">
        <f t="shared" si="72"/>
        <v/>
      </c>
      <c r="H820" s="559" t="str">
        <f t="shared" si="73"/>
        <v/>
      </c>
      <c r="I820" s="559" t="str">
        <f t="shared" si="74"/>
        <v/>
      </c>
    </row>
    <row r="821" spans="2:9">
      <c r="B821" s="555" t="str">
        <f t="shared" si="69"/>
        <v/>
      </c>
      <c r="C821" s="556" t="str">
        <f t="shared" si="70"/>
        <v/>
      </c>
      <c r="D821" s="557" t="str">
        <f t="shared" si="71"/>
        <v/>
      </c>
      <c r="E821" s="560"/>
      <c r="F821" s="559"/>
      <c r="G821" s="559" t="str">
        <f t="shared" si="72"/>
        <v/>
      </c>
      <c r="H821" s="559" t="str">
        <f t="shared" si="73"/>
        <v/>
      </c>
      <c r="I821" s="559" t="str">
        <f t="shared" si="74"/>
        <v/>
      </c>
    </row>
    <row r="822" spans="2:9">
      <c r="B822" s="555" t="str">
        <f t="shared" si="69"/>
        <v/>
      </c>
      <c r="C822" s="556" t="str">
        <f t="shared" si="70"/>
        <v/>
      </c>
      <c r="D822" s="557" t="str">
        <f t="shared" si="71"/>
        <v/>
      </c>
      <c r="E822" s="560"/>
      <c r="F822" s="559"/>
      <c r="G822" s="559" t="str">
        <f t="shared" si="72"/>
        <v/>
      </c>
      <c r="H822" s="559" t="str">
        <f t="shared" si="73"/>
        <v/>
      </c>
      <c r="I822" s="559" t="str">
        <f t="shared" si="74"/>
        <v/>
      </c>
    </row>
    <row r="823" spans="2:9">
      <c r="B823" s="555" t="str">
        <f t="shared" si="69"/>
        <v/>
      </c>
      <c r="C823" s="556" t="str">
        <f t="shared" si="70"/>
        <v/>
      </c>
      <c r="D823" s="557" t="str">
        <f t="shared" si="71"/>
        <v/>
      </c>
      <c r="E823" s="560"/>
      <c r="F823" s="559"/>
      <c r="G823" s="559" t="str">
        <f t="shared" si="72"/>
        <v/>
      </c>
      <c r="H823" s="559" t="str">
        <f t="shared" si="73"/>
        <v/>
      </c>
      <c r="I823" s="559" t="str">
        <f t="shared" si="74"/>
        <v/>
      </c>
    </row>
    <row r="824" spans="2:9">
      <c r="B824" s="555" t="str">
        <f t="shared" si="69"/>
        <v/>
      </c>
      <c r="C824" s="556" t="str">
        <f t="shared" si="70"/>
        <v/>
      </c>
      <c r="D824" s="557" t="str">
        <f t="shared" si="71"/>
        <v/>
      </c>
      <c r="E824" s="560"/>
      <c r="F824" s="559"/>
      <c r="G824" s="559" t="str">
        <f t="shared" si="72"/>
        <v/>
      </c>
      <c r="H824" s="559" t="str">
        <f t="shared" si="73"/>
        <v/>
      </c>
      <c r="I824" s="559" t="str">
        <f t="shared" si="74"/>
        <v/>
      </c>
    </row>
    <row r="825" spans="2:9">
      <c r="B825" s="555" t="str">
        <f t="shared" si="69"/>
        <v/>
      </c>
      <c r="C825" s="556" t="str">
        <f t="shared" si="70"/>
        <v/>
      </c>
      <c r="D825" s="557" t="str">
        <f t="shared" si="71"/>
        <v/>
      </c>
      <c r="E825" s="560"/>
      <c r="F825" s="559"/>
      <c r="G825" s="559" t="str">
        <f t="shared" si="72"/>
        <v/>
      </c>
      <c r="H825" s="559" t="str">
        <f t="shared" si="73"/>
        <v/>
      </c>
      <c r="I825" s="559" t="str">
        <f t="shared" si="74"/>
        <v/>
      </c>
    </row>
    <row r="826" spans="2:9">
      <c r="B826" s="555" t="str">
        <f t="shared" si="69"/>
        <v/>
      </c>
      <c r="C826" s="556" t="str">
        <f t="shared" si="70"/>
        <v/>
      </c>
      <c r="D826" s="557" t="str">
        <f t="shared" si="71"/>
        <v/>
      </c>
      <c r="E826" s="560"/>
      <c r="F826" s="559"/>
      <c r="G826" s="559" t="str">
        <f t="shared" si="72"/>
        <v/>
      </c>
      <c r="H826" s="559" t="str">
        <f t="shared" si="73"/>
        <v/>
      </c>
      <c r="I826" s="559" t="str">
        <f t="shared" si="74"/>
        <v/>
      </c>
    </row>
    <row r="827" spans="2:9">
      <c r="B827" s="555" t="str">
        <f t="shared" si="69"/>
        <v/>
      </c>
      <c r="C827" s="556" t="str">
        <f t="shared" si="70"/>
        <v/>
      </c>
      <c r="D827" s="557" t="str">
        <f t="shared" si="71"/>
        <v/>
      </c>
      <c r="E827" s="560"/>
      <c r="F827" s="559"/>
      <c r="G827" s="559" t="str">
        <f t="shared" si="72"/>
        <v/>
      </c>
      <c r="H827" s="559" t="str">
        <f t="shared" si="73"/>
        <v/>
      </c>
      <c r="I827" s="559" t="str">
        <f t="shared" si="74"/>
        <v/>
      </c>
    </row>
    <row r="828" spans="2:9">
      <c r="B828" s="555" t="str">
        <f t="shared" si="69"/>
        <v/>
      </c>
      <c r="C828" s="556" t="str">
        <f t="shared" si="70"/>
        <v/>
      </c>
      <c r="D828" s="557" t="str">
        <f t="shared" si="71"/>
        <v/>
      </c>
      <c r="E828" s="560"/>
      <c r="F828" s="559"/>
      <c r="G828" s="559" t="str">
        <f t="shared" si="72"/>
        <v/>
      </c>
      <c r="H828" s="559" t="str">
        <f t="shared" si="73"/>
        <v/>
      </c>
      <c r="I828" s="559" t="str">
        <f t="shared" si="74"/>
        <v/>
      </c>
    </row>
    <row r="829" spans="2:9">
      <c r="B829" s="555" t="str">
        <f t="shared" ref="B829:B840" si="75">IF(I828="","",IF(roundOpt,IF(OR(B828&gt;=nper,ROUND(I828,2)&lt;=0),"",B828+1),IF(OR(B828&gt;=nper,I828&lt;=0),"",B828+1)))</f>
        <v/>
      </c>
      <c r="C829" s="556" t="str">
        <f t="shared" ref="C829:C840" si="76">IF(B829="","",IF(OR(periods_per_year=26,periods_per_year=52),IF(periods_per_year=26,IF(B829=1,fpdate,C828+14),IF(periods_per_year=52,IF(B829=1,fpdate,C828+7),"n/a")),IF(periods_per_year=24,DATE(YEAR(fpdate),MONTH(fpdate)+(B829-1)/2+IF(AND(DAY(fpdate)&gt;=15,MOD(B829,2)=0),1,0),IF(MOD(B829,2)=0,IF(DAY(fpdate)&gt;=15,DAY(fpdate)-14,DAY(fpdate)+14),DAY(fpdate))),IF(DAY(DATE(YEAR(fpdate),MONTH(fpdate)+(B829-1)*months_per_period,DAY(fpdate)))&lt;&gt;DAY(fpdate),DATE(YEAR(fpdate),MONTH(fpdate)+(B829-1)*months_per_period+1,0),DATE(YEAR(fpdate),MONTH(fpdate)+(B829-1)*months_per_period,DAY(fpdate))))))</f>
        <v/>
      </c>
      <c r="D829" s="557" t="str">
        <f t="shared" ref="D829:D840" si="77">IF(B829="","",IF(roundOpt,IF(OR(B829=nper,payment&gt;ROUND((1+rate)*I828,2)),ROUND((1+rate)*I828,2),payment),IF(OR(B829=nper,payment&gt;(1+rate)*I828),(1+rate)*I828,payment)))</f>
        <v/>
      </c>
      <c r="E829" s="560"/>
      <c r="F829" s="559"/>
      <c r="G829" s="559" t="str">
        <f t="shared" ref="G829:G840" si="78">IF(B829="","",IF(AND(B829=1,pmtType=1),0,IF(roundOpt,ROUND(rate*I828,2),rate*I828)))</f>
        <v/>
      </c>
      <c r="H829" s="559" t="str">
        <f t="shared" ref="H829:H840" si="79">IF(B829="","",D829-G829+E829)</f>
        <v/>
      </c>
      <c r="I829" s="559" t="str">
        <f t="shared" ref="I829:I840" si="80">IF(B829="","",I828-H829)</f>
        <v/>
      </c>
    </row>
    <row r="830" spans="2:9">
      <c r="B830" s="555" t="str">
        <f t="shared" si="75"/>
        <v/>
      </c>
      <c r="C830" s="556" t="str">
        <f t="shared" si="76"/>
        <v/>
      </c>
      <c r="D830" s="557" t="str">
        <f t="shared" si="77"/>
        <v/>
      </c>
      <c r="E830" s="560"/>
      <c r="F830" s="559"/>
      <c r="G830" s="559" t="str">
        <f t="shared" si="78"/>
        <v/>
      </c>
      <c r="H830" s="559" t="str">
        <f t="shared" si="79"/>
        <v/>
      </c>
      <c r="I830" s="559" t="str">
        <f t="shared" si="80"/>
        <v/>
      </c>
    </row>
    <row r="831" spans="2:9">
      <c r="B831" s="555" t="str">
        <f t="shared" si="75"/>
        <v/>
      </c>
      <c r="C831" s="556" t="str">
        <f t="shared" si="76"/>
        <v/>
      </c>
      <c r="D831" s="557" t="str">
        <f t="shared" si="77"/>
        <v/>
      </c>
      <c r="E831" s="560"/>
      <c r="F831" s="559"/>
      <c r="G831" s="559" t="str">
        <f t="shared" si="78"/>
        <v/>
      </c>
      <c r="H831" s="559" t="str">
        <f t="shared" si="79"/>
        <v/>
      </c>
      <c r="I831" s="559" t="str">
        <f t="shared" si="80"/>
        <v/>
      </c>
    </row>
    <row r="832" spans="2:9">
      <c r="B832" s="555" t="str">
        <f t="shared" si="75"/>
        <v/>
      </c>
      <c r="C832" s="556" t="str">
        <f t="shared" si="76"/>
        <v/>
      </c>
      <c r="D832" s="557" t="str">
        <f t="shared" si="77"/>
        <v/>
      </c>
      <c r="E832" s="560"/>
      <c r="F832" s="559"/>
      <c r="G832" s="559" t="str">
        <f t="shared" si="78"/>
        <v/>
      </c>
      <c r="H832" s="559" t="str">
        <f t="shared" si="79"/>
        <v/>
      </c>
      <c r="I832" s="559" t="str">
        <f t="shared" si="80"/>
        <v/>
      </c>
    </row>
    <row r="833" spans="2:9">
      <c r="B833" s="555" t="str">
        <f t="shared" si="75"/>
        <v/>
      </c>
      <c r="C833" s="556" t="str">
        <f t="shared" si="76"/>
        <v/>
      </c>
      <c r="D833" s="557" t="str">
        <f t="shared" si="77"/>
        <v/>
      </c>
      <c r="E833" s="560"/>
      <c r="F833" s="559"/>
      <c r="G833" s="559" t="str">
        <f t="shared" si="78"/>
        <v/>
      </c>
      <c r="H833" s="559" t="str">
        <f t="shared" si="79"/>
        <v/>
      </c>
      <c r="I833" s="559" t="str">
        <f t="shared" si="80"/>
        <v/>
      </c>
    </row>
    <row r="834" spans="2:9">
      <c r="B834" s="555" t="str">
        <f t="shared" si="75"/>
        <v/>
      </c>
      <c r="C834" s="556" t="str">
        <f t="shared" si="76"/>
        <v/>
      </c>
      <c r="D834" s="557" t="str">
        <f t="shared" si="77"/>
        <v/>
      </c>
      <c r="E834" s="560"/>
      <c r="F834" s="559"/>
      <c r="G834" s="559" t="str">
        <f t="shared" si="78"/>
        <v/>
      </c>
      <c r="H834" s="559" t="str">
        <f t="shared" si="79"/>
        <v/>
      </c>
      <c r="I834" s="559" t="str">
        <f t="shared" si="80"/>
        <v/>
      </c>
    </row>
    <row r="835" spans="2:9">
      <c r="B835" s="555" t="str">
        <f t="shared" si="75"/>
        <v/>
      </c>
      <c r="C835" s="556" t="str">
        <f t="shared" si="76"/>
        <v/>
      </c>
      <c r="D835" s="557" t="str">
        <f t="shared" si="77"/>
        <v/>
      </c>
      <c r="E835" s="560"/>
      <c r="F835" s="559"/>
      <c r="G835" s="559" t="str">
        <f t="shared" si="78"/>
        <v/>
      </c>
      <c r="H835" s="559" t="str">
        <f t="shared" si="79"/>
        <v/>
      </c>
      <c r="I835" s="559" t="str">
        <f t="shared" si="80"/>
        <v/>
      </c>
    </row>
    <row r="836" spans="2:9">
      <c r="B836" s="555" t="str">
        <f t="shared" si="75"/>
        <v/>
      </c>
      <c r="C836" s="556" t="str">
        <f t="shared" si="76"/>
        <v/>
      </c>
      <c r="D836" s="557" t="str">
        <f t="shared" si="77"/>
        <v/>
      </c>
      <c r="E836" s="560"/>
      <c r="F836" s="559"/>
      <c r="G836" s="559" t="str">
        <f t="shared" si="78"/>
        <v/>
      </c>
      <c r="H836" s="559" t="str">
        <f t="shared" si="79"/>
        <v/>
      </c>
      <c r="I836" s="559" t="str">
        <f t="shared" si="80"/>
        <v/>
      </c>
    </row>
    <row r="837" spans="2:9">
      <c r="B837" s="555" t="str">
        <f t="shared" si="75"/>
        <v/>
      </c>
      <c r="C837" s="556" t="str">
        <f t="shared" si="76"/>
        <v/>
      </c>
      <c r="D837" s="557" t="str">
        <f t="shared" si="77"/>
        <v/>
      </c>
      <c r="E837" s="560"/>
      <c r="F837" s="559"/>
      <c r="G837" s="559" t="str">
        <f t="shared" si="78"/>
        <v/>
      </c>
      <c r="H837" s="559" t="str">
        <f t="shared" si="79"/>
        <v/>
      </c>
      <c r="I837" s="559" t="str">
        <f t="shared" si="80"/>
        <v/>
      </c>
    </row>
    <row r="838" spans="2:9">
      <c r="B838" s="555" t="str">
        <f t="shared" si="75"/>
        <v/>
      </c>
      <c r="C838" s="556" t="str">
        <f t="shared" si="76"/>
        <v/>
      </c>
      <c r="D838" s="557" t="str">
        <f t="shared" si="77"/>
        <v/>
      </c>
      <c r="E838" s="560"/>
      <c r="F838" s="559"/>
      <c r="G838" s="559" t="str">
        <f t="shared" si="78"/>
        <v/>
      </c>
      <c r="H838" s="559" t="str">
        <f t="shared" si="79"/>
        <v/>
      </c>
      <c r="I838" s="559" t="str">
        <f t="shared" si="80"/>
        <v/>
      </c>
    </row>
    <row r="839" spans="2:9">
      <c r="B839" s="555" t="str">
        <f t="shared" si="75"/>
        <v/>
      </c>
      <c r="C839" s="556" t="str">
        <f t="shared" si="76"/>
        <v/>
      </c>
      <c r="D839" s="557" t="str">
        <f t="shared" si="77"/>
        <v/>
      </c>
      <c r="E839" s="560"/>
      <c r="F839" s="559"/>
      <c r="G839" s="559" t="str">
        <f t="shared" si="78"/>
        <v/>
      </c>
      <c r="H839" s="559" t="str">
        <f t="shared" si="79"/>
        <v/>
      </c>
      <c r="I839" s="559" t="str">
        <f t="shared" si="80"/>
        <v/>
      </c>
    </row>
    <row r="840" spans="2:9">
      <c r="B840" s="555" t="str">
        <f t="shared" si="75"/>
        <v/>
      </c>
      <c r="C840" s="556" t="str">
        <f t="shared" si="76"/>
        <v/>
      </c>
      <c r="D840" s="557" t="str">
        <f t="shared" si="77"/>
        <v/>
      </c>
      <c r="E840" s="563"/>
      <c r="F840" s="559"/>
      <c r="G840" s="559" t="str">
        <f t="shared" si="78"/>
        <v/>
      </c>
      <c r="H840" s="559" t="str">
        <f t="shared" si="79"/>
        <v/>
      </c>
      <c r="I840" s="559" t="str">
        <f t="shared" si="80"/>
        <v/>
      </c>
    </row>
    <row r="841" spans="2:9">
      <c r="B841" s="564"/>
      <c r="C841" s="565"/>
      <c r="D841" s="565"/>
      <c r="E841" s="565" t="s">
        <v>712</v>
      </c>
      <c r="F841" s="565"/>
      <c r="G841" s="564"/>
      <c r="H841" s="564"/>
      <c r="I841" s="564"/>
    </row>
  </sheetData>
  <sheetProtection algorithmName="SHA-512" hashValue="/vAzhScjjnpPRxhGpnY0N9Hxq9jGM/Chgm8gTF3WJOzBTfnuGuR5BnCCaKxmOduzVsC04eqAbZB2lOpskazofw==" saltValue="MuTPrKFtLZTUz1mR5mAbMg==" spinCount="100000" sheet="1" formatCells="0" formatColumns="0" formatRows="0"/>
  <conditionalFormatting sqref="B61:I840">
    <cfRule type="expression" dxfId="17" priority="1" stopIfTrue="1">
      <formula>MOD($B61,periods_per_year)=0</formula>
    </cfRule>
  </conditionalFormatting>
  <conditionalFormatting sqref="E11">
    <cfRule type="expression" dxfId="16" priority="2" stopIfTrue="1">
      <formula>compound_period&gt;periods_per_year</formula>
    </cfRule>
  </conditionalFormatting>
  <dataValidations count="3">
    <dataValidation type="list" showInputMessage="1" showErrorMessage="1" sqref="E12">
      <formula1>"End of Period, Beginning of Period"</formula1>
    </dataValidation>
    <dataValidation type="list" showInputMessage="1" showErrorMessage="1" sqref="E13">
      <formula1>"On,Off"</formula1>
    </dataValidation>
    <dataValidation type="list" showInputMessage="1" showErrorMessage="1" sqref="E10:E11">
      <formula1>$J$6:$J$13</formula1>
    </dataValidation>
  </dataValidations>
  <printOptions horizontalCentered="1" headings="1" gridLines="1"/>
  <pageMargins left="0.5" right="0.5" top="0.85" bottom="0.5" header="0.5" footer="0.5"/>
  <pageSetup scale="52" fitToHeight="0" orientation="portrait" cellComments="asDisplayed" r:id="rId1"/>
  <headerFooter>
    <oddHeader>&amp;L&amp;F&amp;RPage &amp;P of &amp;N</oddHeader>
    <oddFooter>&amp;L&amp;A&amp;R&amp;D &amp;T</oddFooter>
    <firstFooter>&amp;R&amp;8Page &amp;P of &amp;N</firstFooter>
  </headerFooter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1"/>
  <sheetViews>
    <sheetView view="pageBreakPreview" zoomScaleSheetLayoutView="100" workbookViewId="0">
      <selection activeCell="J22" sqref="J22"/>
    </sheetView>
  </sheetViews>
  <sheetFormatPr defaultColWidth="8.85546875" defaultRowHeight="15"/>
  <cols>
    <col min="1" max="1" width="17.140625" style="573" customWidth="1"/>
    <col min="2" max="3" width="16.5703125" style="573" customWidth="1"/>
    <col min="4" max="4" width="14.5703125" style="573" customWidth="1"/>
    <col min="5" max="5" width="16.5703125" style="573" customWidth="1"/>
    <col min="6" max="6" width="12.7109375" style="573" customWidth="1"/>
    <col min="7" max="7" width="16.5703125" style="573" customWidth="1"/>
    <col min="8" max="16384" width="8.85546875" style="573"/>
  </cols>
  <sheetData>
    <row r="1" spans="1:6" ht="15.75">
      <c r="A1" s="570" t="s">
        <v>720</v>
      </c>
      <c r="B1" s="570"/>
      <c r="C1" s="570"/>
      <c r="D1" s="570"/>
      <c r="E1" s="571"/>
      <c r="F1" s="572"/>
    </row>
    <row r="2" spans="1:6" ht="15.75">
      <c r="A2" s="574" t="s">
        <v>39</v>
      </c>
      <c r="B2" s="575">
        <f>Dashboard!F28</f>
        <v>0</v>
      </c>
      <c r="C2" s="576"/>
      <c r="D2" s="576"/>
      <c r="E2" s="576"/>
      <c r="F2" s="572"/>
    </row>
    <row r="3" spans="1:6" ht="15.75">
      <c r="A3" s="574" t="s">
        <v>40</v>
      </c>
      <c r="B3" s="577">
        <f>Dashboard!F8</f>
        <v>3.2500000000000001E-2</v>
      </c>
      <c r="C3" s="571"/>
      <c r="D3" s="571"/>
      <c r="E3" s="571"/>
      <c r="F3" s="572"/>
    </row>
    <row r="4" spans="1:6" ht="15.75">
      <c r="A4" s="574" t="s">
        <v>41</v>
      </c>
      <c r="B4" s="575">
        <f>Dashboard!F31</f>
        <v>0</v>
      </c>
      <c r="C4" s="578"/>
      <c r="D4" s="571"/>
      <c r="E4" s="571"/>
      <c r="F4" s="572"/>
    </row>
    <row r="5" spans="1:6" ht="15.75">
      <c r="A5" s="579" t="s">
        <v>42</v>
      </c>
      <c r="B5" s="579" t="s">
        <v>43</v>
      </c>
      <c r="C5" s="579" t="s">
        <v>44</v>
      </c>
      <c r="D5" s="580" t="s">
        <v>45</v>
      </c>
      <c r="E5" s="580" t="s">
        <v>46</v>
      </c>
      <c r="F5" s="581" t="s">
        <v>47</v>
      </c>
    </row>
    <row r="6" spans="1:6" ht="15.75">
      <c r="A6" s="581">
        <v>1</v>
      </c>
      <c r="B6" s="582">
        <f>B2</f>
        <v>0</v>
      </c>
      <c r="C6" s="582"/>
      <c r="D6" s="582">
        <f>+B6*$B$3*0.5</f>
        <v>0</v>
      </c>
      <c r="E6" s="583"/>
      <c r="F6" s="584">
        <f>Dashboard!E8</f>
        <v>2025</v>
      </c>
    </row>
    <row r="7" spans="1:6" ht="15.75">
      <c r="A7" s="581"/>
      <c r="B7" s="571">
        <f t="shared" ref="B7:B67" si="0">B6-C6</f>
        <v>0</v>
      </c>
      <c r="C7" s="571" t="e">
        <f>+B6/$B$4</f>
        <v>#DIV/0!</v>
      </c>
      <c r="D7" s="571">
        <f>+D6</f>
        <v>0</v>
      </c>
      <c r="E7" s="571" t="e">
        <f>SUM(C6:D7)</f>
        <v>#DIV/0!</v>
      </c>
      <c r="F7" s="585">
        <f>+F6</f>
        <v>2025</v>
      </c>
    </row>
    <row r="8" spans="1:6" ht="15.75">
      <c r="A8" s="581">
        <v>2</v>
      </c>
      <c r="B8" s="582" t="e">
        <f>B7-C7</f>
        <v>#DIV/0!</v>
      </c>
      <c r="C8" s="582"/>
      <c r="D8" s="582" t="e">
        <f>+B8*$B$3*0.5</f>
        <v>#DIV/0!</v>
      </c>
      <c r="E8" s="583"/>
      <c r="F8" s="586">
        <f>+F6+1</f>
        <v>2026</v>
      </c>
    </row>
    <row r="9" spans="1:6" ht="15.75">
      <c r="A9" s="581"/>
      <c r="B9" s="571" t="e">
        <f>B8-C8</f>
        <v>#DIV/0!</v>
      </c>
      <c r="C9" s="571" t="e">
        <f>+C7</f>
        <v>#DIV/0!</v>
      </c>
      <c r="D9" s="571" t="e">
        <f>+D8</f>
        <v>#DIV/0!</v>
      </c>
      <c r="E9" s="571">
        <f>IF($B$4&gt;1,SUM(C8:D9),0)</f>
        <v>0</v>
      </c>
      <c r="F9" s="585">
        <f>+F8</f>
        <v>2026</v>
      </c>
    </row>
    <row r="10" spans="1:6" ht="15.75">
      <c r="A10" s="581">
        <v>3</v>
      </c>
      <c r="B10" s="582" t="e">
        <f t="shared" si="0"/>
        <v>#DIV/0!</v>
      </c>
      <c r="C10" s="582"/>
      <c r="D10" s="582" t="e">
        <f>+B10*$B$3*0.5</f>
        <v>#DIV/0!</v>
      </c>
      <c r="E10" s="583"/>
      <c r="F10" s="586">
        <f>+F8+1</f>
        <v>2027</v>
      </c>
    </row>
    <row r="11" spans="1:6" ht="15.75">
      <c r="A11" s="581"/>
      <c r="B11" s="571" t="e">
        <f t="shared" si="0"/>
        <v>#DIV/0!</v>
      </c>
      <c r="C11" s="571" t="e">
        <f>+C9</f>
        <v>#DIV/0!</v>
      </c>
      <c r="D11" s="571" t="e">
        <f>+D10</f>
        <v>#DIV/0!</v>
      </c>
      <c r="E11" s="571">
        <f>IF($B$4&gt;2,SUM(C10:D11),0)</f>
        <v>0</v>
      </c>
      <c r="F11" s="585">
        <f>+F10</f>
        <v>2027</v>
      </c>
    </row>
    <row r="12" spans="1:6" ht="15.75">
      <c r="A12" s="581">
        <v>4</v>
      </c>
      <c r="B12" s="582" t="e">
        <f t="shared" si="0"/>
        <v>#DIV/0!</v>
      </c>
      <c r="C12" s="582"/>
      <c r="D12" s="582" t="e">
        <f>+B12*$B$3*0.5</f>
        <v>#DIV/0!</v>
      </c>
      <c r="E12" s="583"/>
      <c r="F12" s="586">
        <f>+F10+1</f>
        <v>2028</v>
      </c>
    </row>
    <row r="13" spans="1:6" ht="15.75">
      <c r="A13" s="581"/>
      <c r="B13" s="571" t="e">
        <f t="shared" si="0"/>
        <v>#DIV/0!</v>
      </c>
      <c r="C13" s="571" t="e">
        <f t="shared" ref="C13:C43" si="1">C11</f>
        <v>#DIV/0!</v>
      </c>
      <c r="D13" s="571" t="e">
        <f>+D12</f>
        <v>#DIV/0!</v>
      </c>
      <c r="E13" s="571">
        <f>IF($B$4&gt;3,SUM(C12:D13),0)</f>
        <v>0</v>
      </c>
      <c r="F13" s="585">
        <f>+F12</f>
        <v>2028</v>
      </c>
    </row>
    <row r="14" spans="1:6" ht="15.75">
      <c r="A14" s="581">
        <v>5</v>
      </c>
      <c r="B14" s="582" t="e">
        <f t="shared" si="0"/>
        <v>#DIV/0!</v>
      </c>
      <c r="C14" s="582"/>
      <c r="D14" s="582" t="e">
        <f>+B14*$B$3*0.5</f>
        <v>#DIV/0!</v>
      </c>
      <c r="E14" s="583"/>
      <c r="F14" s="586">
        <f>+F12+1</f>
        <v>2029</v>
      </c>
    </row>
    <row r="15" spans="1:6" ht="15.75">
      <c r="A15" s="581"/>
      <c r="B15" s="571" t="e">
        <f t="shared" si="0"/>
        <v>#DIV/0!</v>
      </c>
      <c r="C15" s="571" t="e">
        <f t="shared" si="1"/>
        <v>#DIV/0!</v>
      </c>
      <c r="D15" s="571" t="e">
        <f>+D14</f>
        <v>#DIV/0!</v>
      </c>
      <c r="E15" s="571">
        <f>IF($B$4&gt;4,SUM(C14:D15),0)</f>
        <v>0</v>
      </c>
      <c r="F15" s="585">
        <f>+F14</f>
        <v>2029</v>
      </c>
    </row>
    <row r="16" spans="1:6" ht="15.75">
      <c r="A16" s="581">
        <v>6</v>
      </c>
      <c r="B16" s="582" t="e">
        <f t="shared" si="0"/>
        <v>#DIV/0!</v>
      </c>
      <c r="C16" s="582"/>
      <c r="D16" s="582" t="e">
        <f>+B16*$B$3*0.5</f>
        <v>#DIV/0!</v>
      </c>
      <c r="E16" s="583"/>
      <c r="F16" s="586">
        <f>+F14+1</f>
        <v>2030</v>
      </c>
    </row>
    <row r="17" spans="1:7" ht="15.75">
      <c r="A17" s="581"/>
      <c r="B17" s="571" t="e">
        <f t="shared" si="0"/>
        <v>#DIV/0!</v>
      </c>
      <c r="C17" s="571" t="e">
        <f t="shared" si="1"/>
        <v>#DIV/0!</v>
      </c>
      <c r="D17" s="571" t="e">
        <f>+D16</f>
        <v>#DIV/0!</v>
      </c>
      <c r="E17" s="571">
        <f>IF($B$4&gt;5,SUM(C16:D17),0)</f>
        <v>0</v>
      </c>
      <c r="F17" s="585">
        <f>+F16</f>
        <v>2030</v>
      </c>
    </row>
    <row r="18" spans="1:7" ht="15.75">
      <c r="A18" s="581">
        <v>7</v>
      </c>
      <c r="B18" s="582" t="e">
        <f t="shared" si="0"/>
        <v>#DIV/0!</v>
      </c>
      <c r="C18" s="582"/>
      <c r="D18" s="582" t="e">
        <f>+B18*$B$3*0.5</f>
        <v>#DIV/0!</v>
      </c>
      <c r="E18" s="583"/>
      <c r="F18" s="586">
        <f>+F16+1</f>
        <v>2031</v>
      </c>
    </row>
    <row r="19" spans="1:7" ht="15.75">
      <c r="A19" s="581"/>
      <c r="B19" s="571" t="e">
        <f t="shared" si="0"/>
        <v>#DIV/0!</v>
      </c>
      <c r="C19" s="571" t="e">
        <f t="shared" si="1"/>
        <v>#DIV/0!</v>
      </c>
      <c r="D19" s="571" t="e">
        <f>+D18</f>
        <v>#DIV/0!</v>
      </c>
      <c r="E19" s="571">
        <f>IF($B$4&gt;6,SUM(C18:D19),0)</f>
        <v>0</v>
      </c>
      <c r="F19" s="585">
        <f>+F18</f>
        <v>2031</v>
      </c>
    </row>
    <row r="20" spans="1:7" ht="15.75">
      <c r="A20" s="581">
        <v>8</v>
      </c>
      <c r="B20" s="582" t="e">
        <f t="shared" si="0"/>
        <v>#DIV/0!</v>
      </c>
      <c r="C20" s="582"/>
      <c r="D20" s="582" t="e">
        <f>+B20*$B$3*0.5</f>
        <v>#DIV/0!</v>
      </c>
      <c r="E20" s="583"/>
      <c r="F20" s="586">
        <f>+F18+1</f>
        <v>2032</v>
      </c>
      <c r="G20" s="603" t="s">
        <v>719</v>
      </c>
    </row>
    <row r="21" spans="1:7" ht="15.75">
      <c r="A21" s="581"/>
      <c r="B21" s="571" t="e">
        <f t="shared" si="0"/>
        <v>#DIV/0!</v>
      </c>
      <c r="C21" s="571" t="e">
        <f t="shared" si="1"/>
        <v>#DIV/0!</v>
      </c>
      <c r="D21" s="571" t="e">
        <f>+D20</f>
        <v>#DIV/0!</v>
      </c>
      <c r="E21" s="571">
        <f>IF($B$4&gt;7,SUM(C20:D21),0)</f>
        <v>0</v>
      </c>
      <c r="F21" s="585">
        <f>+F20</f>
        <v>2032</v>
      </c>
      <c r="G21" s="602" t="e">
        <f>SUM(E7:E21)</f>
        <v>#DIV/0!</v>
      </c>
    </row>
    <row r="22" spans="1:7" ht="15.75">
      <c r="A22" s="581">
        <v>9</v>
      </c>
      <c r="B22" s="582" t="e">
        <f t="shared" si="0"/>
        <v>#DIV/0!</v>
      </c>
      <c r="C22" s="582"/>
      <c r="D22" s="582" t="e">
        <f>+B22*$B$3*0.5</f>
        <v>#DIV/0!</v>
      </c>
      <c r="E22" s="583"/>
      <c r="F22" s="586">
        <f>+F20+1</f>
        <v>2033</v>
      </c>
    </row>
    <row r="23" spans="1:7" ht="15.75">
      <c r="A23" s="581"/>
      <c r="B23" s="571" t="e">
        <f t="shared" si="0"/>
        <v>#DIV/0!</v>
      </c>
      <c r="C23" s="571" t="e">
        <f t="shared" si="1"/>
        <v>#DIV/0!</v>
      </c>
      <c r="D23" s="571" t="e">
        <f>+D22</f>
        <v>#DIV/0!</v>
      </c>
      <c r="E23" s="571">
        <f>IF($B$4&gt;8,SUM(C22:D23),0)</f>
        <v>0</v>
      </c>
      <c r="F23" s="585">
        <f>+F22</f>
        <v>2033</v>
      </c>
    </row>
    <row r="24" spans="1:7" ht="15.75">
      <c r="A24" s="581">
        <v>10</v>
      </c>
      <c r="B24" s="582" t="e">
        <f t="shared" si="0"/>
        <v>#DIV/0!</v>
      </c>
      <c r="C24" s="582"/>
      <c r="D24" s="582" t="e">
        <f>+B24*$B$3*0.5</f>
        <v>#DIV/0!</v>
      </c>
      <c r="E24" s="583"/>
      <c r="F24" s="586">
        <f>+F22+1</f>
        <v>2034</v>
      </c>
    </row>
    <row r="25" spans="1:7" ht="15.75">
      <c r="A25" s="581"/>
      <c r="B25" s="571" t="e">
        <f t="shared" si="0"/>
        <v>#DIV/0!</v>
      </c>
      <c r="C25" s="571" t="e">
        <f t="shared" si="1"/>
        <v>#DIV/0!</v>
      </c>
      <c r="D25" s="571" t="e">
        <f>+D24</f>
        <v>#DIV/0!</v>
      </c>
      <c r="E25" s="571">
        <f>IF($B$4&gt;9,SUM(C24:D25),0)</f>
        <v>0</v>
      </c>
      <c r="F25" s="585">
        <f>+F24</f>
        <v>2034</v>
      </c>
    </row>
    <row r="26" spans="1:7" ht="15.75">
      <c r="A26" s="581">
        <v>11</v>
      </c>
      <c r="B26" s="582" t="e">
        <f t="shared" si="0"/>
        <v>#DIV/0!</v>
      </c>
      <c r="C26" s="582"/>
      <c r="D26" s="582" t="e">
        <f>+B26*$B$3*0.5</f>
        <v>#DIV/0!</v>
      </c>
      <c r="E26" s="583"/>
      <c r="F26" s="586">
        <f>+F24+1</f>
        <v>2035</v>
      </c>
    </row>
    <row r="27" spans="1:7" ht="15.75">
      <c r="A27" s="581"/>
      <c r="B27" s="571" t="e">
        <f t="shared" si="0"/>
        <v>#DIV/0!</v>
      </c>
      <c r="C27" s="571" t="e">
        <f t="shared" si="1"/>
        <v>#DIV/0!</v>
      </c>
      <c r="D27" s="571" t="e">
        <f>+D26</f>
        <v>#DIV/0!</v>
      </c>
      <c r="E27" s="571">
        <f>IF($B$4&gt;10,SUM(C26:D27),0)</f>
        <v>0</v>
      </c>
      <c r="F27" s="585">
        <f>+F26</f>
        <v>2035</v>
      </c>
    </row>
    <row r="28" spans="1:7" ht="15.75">
      <c r="A28" s="581">
        <v>12</v>
      </c>
      <c r="B28" s="582" t="e">
        <f t="shared" si="0"/>
        <v>#DIV/0!</v>
      </c>
      <c r="C28" s="582"/>
      <c r="D28" s="582" t="e">
        <f>+B28*$B$3*0.5</f>
        <v>#DIV/0!</v>
      </c>
      <c r="E28" s="583"/>
      <c r="F28" s="586">
        <f>+F26+1</f>
        <v>2036</v>
      </c>
    </row>
    <row r="29" spans="1:7" ht="15.75">
      <c r="A29" s="581"/>
      <c r="B29" s="571" t="e">
        <f t="shared" si="0"/>
        <v>#DIV/0!</v>
      </c>
      <c r="C29" s="571" t="e">
        <f>+C27</f>
        <v>#DIV/0!</v>
      </c>
      <c r="D29" s="571" t="e">
        <f>+D28</f>
        <v>#DIV/0!</v>
      </c>
      <c r="E29" s="571">
        <f>IF($B$4&gt;11,SUM(C28:D29),0)</f>
        <v>0</v>
      </c>
      <c r="F29" s="585">
        <f>+F28</f>
        <v>2036</v>
      </c>
    </row>
    <row r="30" spans="1:7" ht="15.75">
      <c r="A30" s="581">
        <v>13</v>
      </c>
      <c r="B30" s="582" t="e">
        <f t="shared" si="0"/>
        <v>#DIV/0!</v>
      </c>
      <c r="C30" s="582"/>
      <c r="D30" s="582" t="e">
        <f>+B30*$B$3*0.5</f>
        <v>#DIV/0!</v>
      </c>
      <c r="E30" s="583"/>
      <c r="F30" s="586">
        <f>+F28+1</f>
        <v>2037</v>
      </c>
    </row>
    <row r="31" spans="1:7" ht="15.75">
      <c r="A31" s="581"/>
      <c r="B31" s="571" t="e">
        <f t="shared" si="0"/>
        <v>#DIV/0!</v>
      </c>
      <c r="C31" s="571" t="e">
        <f t="shared" si="1"/>
        <v>#DIV/0!</v>
      </c>
      <c r="D31" s="571" t="e">
        <f>+D30</f>
        <v>#DIV/0!</v>
      </c>
      <c r="E31" s="571">
        <f>IF($B$4&gt;12,SUM(C30:D31),0)</f>
        <v>0</v>
      </c>
      <c r="F31" s="585">
        <f>+F30</f>
        <v>2037</v>
      </c>
    </row>
    <row r="32" spans="1:7" ht="15.75">
      <c r="A32" s="581">
        <v>14</v>
      </c>
      <c r="B32" s="582" t="e">
        <f t="shared" si="0"/>
        <v>#DIV/0!</v>
      </c>
      <c r="C32" s="582"/>
      <c r="D32" s="582" t="e">
        <f>+B32*$B$3*0.5</f>
        <v>#DIV/0!</v>
      </c>
      <c r="E32" s="583"/>
      <c r="F32" s="586">
        <f>+F30+1</f>
        <v>2038</v>
      </c>
    </row>
    <row r="33" spans="1:7" ht="15.75">
      <c r="A33" s="581"/>
      <c r="B33" s="571" t="e">
        <f t="shared" si="0"/>
        <v>#DIV/0!</v>
      </c>
      <c r="C33" s="571" t="e">
        <f>+C31</f>
        <v>#DIV/0!</v>
      </c>
      <c r="D33" s="571" t="e">
        <f>+D32</f>
        <v>#DIV/0!</v>
      </c>
      <c r="E33" s="571">
        <f>IF($B$4&gt;13,SUM(C32:D33),0)</f>
        <v>0</v>
      </c>
      <c r="F33" s="585">
        <f>+F32</f>
        <v>2038</v>
      </c>
    </row>
    <row r="34" spans="1:7" ht="15.75">
      <c r="A34" s="581">
        <v>15</v>
      </c>
      <c r="B34" s="582" t="e">
        <f t="shared" si="0"/>
        <v>#DIV/0!</v>
      </c>
      <c r="C34" s="582"/>
      <c r="D34" s="582" t="e">
        <f>+B34*$B$3*0.5</f>
        <v>#DIV/0!</v>
      </c>
      <c r="E34" s="583"/>
      <c r="F34" s="586">
        <f>+F32+1</f>
        <v>2039</v>
      </c>
    </row>
    <row r="35" spans="1:7" ht="15.75">
      <c r="A35" s="581"/>
      <c r="B35" s="571" t="e">
        <f t="shared" si="0"/>
        <v>#DIV/0!</v>
      </c>
      <c r="C35" s="571" t="e">
        <f t="shared" si="1"/>
        <v>#DIV/0!</v>
      </c>
      <c r="D35" s="571" t="e">
        <f>+D34</f>
        <v>#DIV/0!</v>
      </c>
      <c r="E35" s="571">
        <f>IF($B$4&gt;14,SUM(C34:D35),0)</f>
        <v>0</v>
      </c>
      <c r="F35" s="585">
        <f>+F34</f>
        <v>2039</v>
      </c>
    </row>
    <row r="36" spans="1:7" ht="15.75">
      <c r="A36" s="581">
        <v>16</v>
      </c>
      <c r="B36" s="582" t="e">
        <f t="shared" si="0"/>
        <v>#DIV/0!</v>
      </c>
      <c r="C36" s="582"/>
      <c r="D36" s="582" t="e">
        <f>+B36*$B$3*0.5</f>
        <v>#DIV/0!</v>
      </c>
      <c r="E36" s="583"/>
      <c r="F36" s="586">
        <f>+F34+1</f>
        <v>2040</v>
      </c>
    </row>
    <row r="37" spans="1:7" ht="15.75">
      <c r="A37" s="581"/>
      <c r="B37" s="571" t="e">
        <f t="shared" si="0"/>
        <v>#DIV/0!</v>
      </c>
      <c r="C37" s="571" t="e">
        <f>+C35</f>
        <v>#DIV/0!</v>
      </c>
      <c r="D37" s="571" t="e">
        <f>+D36</f>
        <v>#DIV/0!</v>
      </c>
      <c r="E37" s="571">
        <f>IF($B$4&gt;15,SUM(C36:D37),0)</f>
        <v>0</v>
      </c>
      <c r="F37" s="585">
        <f>+F36</f>
        <v>2040</v>
      </c>
    </row>
    <row r="38" spans="1:7" ht="15.75">
      <c r="A38" s="581">
        <v>17</v>
      </c>
      <c r="B38" s="582" t="e">
        <f t="shared" si="0"/>
        <v>#DIV/0!</v>
      </c>
      <c r="C38" s="582"/>
      <c r="D38" s="582" t="e">
        <f>+B38*$B$3*0.5</f>
        <v>#DIV/0!</v>
      </c>
      <c r="E38" s="583"/>
      <c r="F38" s="586">
        <f>+F36+1</f>
        <v>2041</v>
      </c>
    </row>
    <row r="39" spans="1:7" ht="15.75">
      <c r="A39" s="581"/>
      <c r="B39" s="571" t="e">
        <f t="shared" si="0"/>
        <v>#DIV/0!</v>
      </c>
      <c r="C39" s="571" t="e">
        <f t="shared" si="1"/>
        <v>#DIV/0!</v>
      </c>
      <c r="D39" s="571" t="e">
        <f>+D38</f>
        <v>#DIV/0!</v>
      </c>
      <c r="E39" s="571">
        <f>IF($B$4&gt;16,SUM(C38:D39),0)</f>
        <v>0</v>
      </c>
      <c r="F39" s="585">
        <f>+F38</f>
        <v>2041</v>
      </c>
    </row>
    <row r="40" spans="1:7" ht="15.75">
      <c r="A40" s="581">
        <v>18</v>
      </c>
      <c r="B40" s="582" t="e">
        <f t="shared" si="0"/>
        <v>#DIV/0!</v>
      </c>
      <c r="C40" s="582"/>
      <c r="D40" s="582" t="e">
        <f>+B40*$B$3*0.5</f>
        <v>#DIV/0!</v>
      </c>
      <c r="E40" s="583"/>
      <c r="F40" s="586">
        <f>+F38+1</f>
        <v>2042</v>
      </c>
    </row>
    <row r="41" spans="1:7" ht="15.75">
      <c r="A41" s="581"/>
      <c r="B41" s="571" t="e">
        <f t="shared" si="0"/>
        <v>#DIV/0!</v>
      </c>
      <c r="C41" s="571" t="e">
        <f t="shared" si="1"/>
        <v>#DIV/0!</v>
      </c>
      <c r="D41" s="571" t="e">
        <f>+D40</f>
        <v>#DIV/0!</v>
      </c>
      <c r="E41" s="571">
        <f>IF($B$4&gt;17,SUM(C40:D41),0)</f>
        <v>0</v>
      </c>
      <c r="F41" s="585">
        <f>+F40</f>
        <v>2042</v>
      </c>
    </row>
    <row r="42" spans="1:7" ht="15.75">
      <c r="A42" s="581">
        <v>19</v>
      </c>
      <c r="B42" s="582" t="e">
        <f t="shared" si="0"/>
        <v>#DIV/0!</v>
      </c>
      <c r="C42" s="582"/>
      <c r="D42" s="582" t="e">
        <f>+B42*$B$3*0.5</f>
        <v>#DIV/0!</v>
      </c>
      <c r="E42" s="583"/>
      <c r="F42" s="586">
        <f>+F40+1</f>
        <v>2043</v>
      </c>
    </row>
    <row r="43" spans="1:7" ht="15.75">
      <c r="A43" s="581"/>
      <c r="B43" s="571" t="e">
        <f t="shared" si="0"/>
        <v>#DIV/0!</v>
      </c>
      <c r="C43" s="571" t="e">
        <f t="shared" si="1"/>
        <v>#DIV/0!</v>
      </c>
      <c r="D43" s="571" t="e">
        <f>+D42</f>
        <v>#DIV/0!</v>
      </c>
      <c r="E43" s="571">
        <f>IF($B$4&gt;18,SUM(C42:D43),0)</f>
        <v>0</v>
      </c>
      <c r="F43" s="585">
        <f>+F42</f>
        <v>2043</v>
      </c>
    </row>
    <row r="44" spans="1:7" ht="15.75">
      <c r="A44" s="581">
        <v>20</v>
      </c>
      <c r="B44" s="582" t="e">
        <f t="shared" si="0"/>
        <v>#DIV/0!</v>
      </c>
      <c r="C44" s="582"/>
      <c r="D44" s="582" t="e">
        <f>+B44*$B$3*0.5</f>
        <v>#DIV/0!</v>
      </c>
      <c r="E44" s="583"/>
      <c r="F44" s="586">
        <f>+F42+1</f>
        <v>2044</v>
      </c>
    </row>
    <row r="45" spans="1:7" ht="15.75">
      <c r="A45" s="581"/>
      <c r="B45" s="571" t="e">
        <f>ROUND(B44-C44,0)</f>
        <v>#DIV/0!</v>
      </c>
      <c r="C45" s="571" t="e">
        <f>ROUND(C43,0)</f>
        <v>#DIV/0!</v>
      </c>
      <c r="D45" s="571" t="e">
        <f>+D44</f>
        <v>#DIV/0!</v>
      </c>
      <c r="E45" s="571">
        <f>IF($B$4&gt;19,SUM(C44:D45),0)</f>
        <v>0</v>
      </c>
      <c r="F45" s="585">
        <f>+F44</f>
        <v>2044</v>
      </c>
      <c r="G45" s="587"/>
    </row>
    <row r="46" spans="1:7" ht="15.75">
      <c r="A46" s="581">
        <v>21</v>
      </c>
      <c r="B46" s="582" t="e">
        <f t="shared" si="0"/>
        <v>#DIV/0!</v>
      </c>
      <c r="C46" s="582"/>
      <c r="D46" s="582" t="e">
        <f>+B46*$B$3*0.5</f>
        <v>#DIV/0!</v>
      </c>
      <c r="E46" s="583"/>
      <c r="F46" s="586">
        <f>+F44+1</f>
        <v>2045</v>
      </c>
    </row>
    <row r="47" spans="1:7" ht="15.75">
      <c r="A47" s="571"/>
      <c r="B47" s="571" t="e">
        <f t="shared" si="0"/>
        <v>#DIV/0!</v>
      </c>
      <c r="C47" s="571" t="e">
        <f>IF($B$4=20,0,+C45)</f>
        <v>#DIV/0!</v>
      </c>
      <c r="D47" s="571" t="e">
        <f>+D46</f>
        <v>#DIV/0!</v>
      </c>
      <c r="E47" s="571">
        <f>IF($B$4&gt;20,SUM(C46:D47),0)</f>
        <v>0</v>
      </c>
      <c r="F47" s="585">
        <f>+F46</f>
        <v>2045</v>
      </c>
    </row>
    <row r="48" spans="1:7" ht="15.75">
      <c r="A48" s="581">
        <v>22</v>
      </c>
      <c r="B48" s="582" t="e">
        <f t="shared" si="0"/>
        <v>#DIV/0!</v>
      </c>
      <c r="C48" s="582"/>
      <c r="D48" s="582" t="e">
        <f>+B48*$B$3*0.5</f>
        <v>#DIV/0!</v>
      </c>
      <c r="E48" s="583"/>
      <c r="F48" s="586">
        <f>+F46+1</f>
        <v>2046</v>
      </c>
    </row>
    <row r="49" spans="1:6" ht="15.75">
      <c r="A49" s="571"/>
      <c r="B49" s="571" t="e">
        <f t="shared" si="0"/>
        <v>#DIV/0!</v>
      </c>
      <c r="C49" s="571" t="e">
        <f>+C47</f>
        <v>#DIV/0!</v>
      </c>
      <c r="D49" s="571" t="e">
        <f>+D48</f>
        <v>#DIV/0!</v>
      </c>
      <c r="E49" s="571">
        <f>IF($B$4&gt;21,SUM(C48:D49),0)</f>
        <v>0</v>
      </c>
      <c r="F49" s="585">
        <f>+F48</f>
        <v>2046</v>
      </c>
    </row>
    <row r="50" spans="1:6" ht="15.75">
      <c r="A50" s="581">
        <v>23</v>
      </c>
      <c r="B50" s="582" t="e">
        <f t="shared" si="0"/>
        <v>#DIV/0!</v>
      </c>
      <c r="C50" s="582"/>
      <c r="D50" s="582" t="e">
        <f>+B50*$B$3*0.5</f>
        <v>#DIV/0!</v>
      </c>
      <c r="E50" s="583"/>
      <c r="F50" s="586">
        <f>+F48+1</f>
        <v>2047</v>
      </c>
    </row>
    <row r="51" spans="1:6" ht="15.75">
      <c r="A51" s="571"/>
      <c r="B51" s="571" t="e">
        <f t="shared" si="0"/>
        <v>#DIV/0!</v>
      </c>
      <c r="C51" s="571" t="e">
        <f>+C49</f>
        <v>#DIV/0!</v>
      </c>
      <c r="D51" s="571" t="e">
        <f>+D50</f>
        <v>#DIV/0!</v>
      </c>
      <c r="E51" s="571">
        <f>IF($B$4&gt;22,SUM(C50:D51),0)</f>
        <v>0</v>
      </c>
      <c r="F51" s="585">
        <f>+F50</f>
        <v>2047</v>
      </c>
    </row>
    <row r="52" spans="1:6" ht="15.75">
      <c r="A52" s="581">
        <v>24</v>
      </c>
      <c r="B52" s="582" t="e">
        <f t="shared" si="0"/>
        <v>#DIV/0!</v>
      </c>
      <c r="C52" s="582"/>
      <c r="D52" s="582" t="e">
        <f>+B52*$B$3*0.5</f>
        <v>#DIV/0!</v>
      </c>
      <c r="E52" s="583"/>
      <c r="F52" s="586">
        <f>+F50+1</f>
        <v>2048</v>
      </c>
    </row>
    <row r="53" spans="1:6" ht="15.75">
      <c r="A53" s="571"/>
      <c r="B53" s="571" t="e">
        <f t="shared" si="0"/>
        <v>#DIV/0!</v>
      </c>
      <c r="C53" s="571" t="e">
        <f>+C51</f>
        <v>#DIV/0!</v>
      </c>
      <c r="D53" s="571" t="e">
        <f>+D52</f>
        <v>#DIV/0!</v>
      </c>
      <c r="E53" s="571">
        <f>IF($B$4&gt;23,SUM(C52:D53),0)</f>
        <v>0</v>
      </c>
      <c r="F53" s="585">
        <f>+F52</f>
        <v>2048</v>
      </c>
    </row>
    <row r="54" spans="1:6" ht="15.75">
      <c r="A54" s="581">
        <v>25</v>
      </c>
      <c r="B54" s="582" t="e">
        <f t="shared" si="0"/>
        <v>#DIV/0!</v>
      </c>
      <c r="C54" s="582"/>
      <c r="D54" s="582" t="e">
        <f>+B54*$B$3*0.5</f>
        <v>#DIV/0!</v>
      </c>
      <c r="E54" s="583"/>
      <c r="F54" s="586">
        <f>+F52+1</f>
        <v>2049</v>
      </c>
    </row>
    <row r="55" spans="1:6" ht="15.75">
      <c r="A55" s="571"/>
      <c r="B55" s="571" t="e">
        <f t="shared" si="0"/>
        <v>#DIV/0!</v>
      </c>
      <c r="C55" s="571" t="e">
        <f>+C53</f>
        <v>#DIV/0!</v>
      </c>
      <c r="D55" s="571" t="e">
        <f>+D54</f>
        <v>#DIV/0!</v>
      </c>
      <c r="E55" s="571">
        <f>IF($B$4&gt;24,SUM(C54:D55),0)</f>
        <v>0</v>
      </c>
      <c r="F55" s="585">
        <f>+F54</f>
        <v>2049</v>
      </c>
    </row>
    <row r="56" spans="1:6" ht="15.75">
      <c r="A56" s="581">
        <v>26</v>
      </c>
      <c r="B56" s="582" t="e">
        <f t="shared" si="0"/>
        <v>#DIV/0!</v>
      </c>
      <c r="C56" s="582"/>
      <c r="D56" s="582" t="e">
        <f>+B56*$B$3*0.5</f>
        <v>#DIV/0!</v>
      </c>
      <c r="E56" s="583"/>
      <c r="F56" s="586">
        <f>+F54+1</f>
        <v>2050</v>
      </c>
    </row>
    <row r="57" spans="1:6" ht="15.75">
      <c r="A57" s="571"/>
      <c r="B57" s="571" t="e">
        <f t="shared" si="0"/>
        <v>#DIV/0!</v>
      </c>
      <c r="C57" s="571" t="e">
        <f>+C55</f>
        <v>#DIV/0!</v>
      </c>
      <c r="D57" s="571" t="e">
        <f>+D56</f>
        <v>#DIV/0!</v>
      </c>
      <c r="E57" s="571">
        <f>IF($B$4&gt;25,SUM(C56:D57),0)</f>
        <v>0</v>
      </c>
      <c r="F57" s="585">
        <f>+F56</f>
        <v>2050</v>
      </c>
    </row>
    <row r="58" spans="1:6" ht="15.75">
      <c r="A58" s="581">
        <v>27</v>
      </c>
      <c r="B58" s="582" t="e">
        <f>B57-C57</f>
        <v>#DIV/0!</v>
      </c>
      <c r="C58" s="582"/>
      <c r="D58" s="582" t="e">
        <f>+B58*$B$3*0.5</f>
        <v>#DIV/0!</v>
      </c>
      <c r="E58" s="583"/>
      <c r="F58" s="586">
        <f>+F56+1</f>
        <v>2051</v>
      </c>
    </row>
    <row r="59" spans="1:6" ht="15.75">
      <c r="A59" s="571"/>
      <c r="B59" s="571" t="e">
        <f t="shared" si="0"/>
        <v>#DIV/0!</v>
      </c>
      <c r="C59" s="571" t="e">
        <f>+C57</f>
        <v>#DIV/0!</v>
      </c>
      <c r="D59" s="571" t="e">
        <f>+D58</f>
        <v>#DIV/0!</v>
      </c>
      <c r="E59" s="571">
        <f>IF($B$4&gt;26,SUM(C58:D59),0)</f>
        <v>0</v>
      </c>
      <c r="F59" s="585">
        <f>+F58</f>
        <v>2051</v>
      </c>
    </row>
    <row r="60" spans="1:6" ht="15.75">
      <c r="A60" s="581">
        <v>28</v>
      </c>
      <c r="B60" s="582" t="e">
        <f t="shared" si="0"/>
        <v>#DIV/0!</v>
      </c>
      <c r="C60" s="582"/>
      <c r="D60" s="582" t="e">
        <f>+B60*$B$3*0.5</f>
        <v>#DIV/0!</v>
      </c>
      <c r="E60" s="583"/>
      <c r="F60" s="586">
        <f>+F58+1</f>
        <v>2052</v>
      </c>
    </row>
    <row r="61" spans="1:6" ht="15.75">
      <c r="A61" s="571"/>
      <c r="B61" s="571" t="e">
        <f t="shared" si="0"/>
        <v>#DIV/0!</v>
      </c>
      <c r="C61" s="571" t="e">
        <f>+C59</f>
        <v>#DIV/0!</v>
      </c>
      <c r="D61" s="571" t="e">
        <f>+D60</f>
        <v>#DIV/0!</v>
      </c>
      <c r="E61" s="571">
        <f>IF($B$4&gt;27,SUM(C60:D61),0)</f>
        <v>0</v>
      </c>
      <c r="F61" s="585">
        <f>+F60</f>
        <v>2052</v>
      </c>
    </row>
    <row r="62" spans="1:6" ht="15.75">
      <c r="A62" s="581">
        <v>29</v>
      </c>
      <c r="B62" s="582" t="e">
        <f t="shared" si="0"/>
        <v>#DIV/0!</v>
      </c>
      <c r="C62" s="582"/>
      <c r="D62" s="582" t="e">
        <f>+B62*$B$3*0.5</f>
        <v>#DIV/0!</v>
      </c>
      <c r="E62" s="583"/>
      <c r="F62" s="586">
        <f>+F60+1</f>
        <v>2053</v>
      </c>
    </row>
    <row r="63" spans="1:6" ht="15.75">
      <c r="A63" s="571"/>
      <c r="B63" s="571" t="e">
        <f t="shared" si="0"/>
        <v>#DIV/0!</v>
      </c>
      <c r="C63" s="571" t="e">
        <f>+C61</f>
        <v>#DIV/0!</v>
      </c>
      <c r="D63" s="571" t="e">
        <f>+D62</f>
        <v>#DIV/0!</v>
      </c>
      <c r="E63" s="571">
        <f>IF($B$4&gt;28,SUM(C62:D63),0)</f>
        <v>0</v>
      </c>
      <c r="F63" s="585">
        <f>+F62</f>
        <v>2053</v>
      </c>
    </row>
    <row r="64" spans="1:6" ht="15.75">
      <c r="A64" s="581">
        <v>30</v>
      </c>
      <c r="B64" s="582" t="e">
        <f>IF($B$4=29,0,B63-C63)</f>
        <v>#DIV/0!</v>
      </c>
      <c r="C64" s="582"/>
      <c r="D64" s="582" t="e">
        <f>+B64*$B$3*0.5</f>
        <v>#DIV/0!</v>
      </c>
      <c r="E64" s="583"/>
      <c r="F64" s="586">
        <f>+F62+1</f>
        <v>2054</v>
      </c>
    </row>
    <row r="65" spans="1:7" ht="15.75">
      <c r="A65" s="571"/>
      <c r="B65" s="571" t="e">
        <f>B64-C64</f>
        <v>#DIV/0!</v>
      </c>
      <c r="C65" s="571" t="e">
        <f>IF($B$4=29,0,C63)</f>
        <v>#DIV/0!</v>
      </c>
      <c r="D65" s="571" t="e">
        <f>+D64</f>
        <v>#DIV/0!</v>
      </c>
      <c r="E65" s="571">
        <f>IF($B$4&gt;29,SUM(C64:D65),0)</f>
        <v>0</v>
      </c>
      <c r="F65" s="585">
        <f>+F64</f>
        <v>2054</v>
      </c>
    </row>
    <row r="66" spans="1:7" ht="15.75">
      <c r="A66" s="581">
        <v>31</v>
      </c>
      <c r="B66" s="582" t="e">
        <f>B65-C65</f>
        <v>#DIV/0!</v>
      </c>
      <c r="C66" s="582"/>
      <c r="D66" s="582" t="e">
        <f>+B66*$B$3*0.5</f>
        <v>#DIV/0!</v>
      </c>
      <c r="E66" s="583"/>
      <c r="F66" s="586">
        <f>+F64+1</f>
        <v>2055</v>
      </c>
    </row>
    <row r="67" spans="1:7" ht="15.75">
      <c r="A67" s="571"/>
      <c r="B67" s="588" t="e">
        <f t="shared" si="0"/>
        <v>#DIV/0!</v>
      </c>
      <c r="C67" s="588"/>
      <c r="D67" s="588" t="e">
        <f>+D66</f>
        <v>#DIV/0!</v>
      </c>
      <c r="E67" s="588">
        <f>IF($B$4&gt;30,SUM(C66:D67),0)</f>
        <v>0</v>
      </c>
      <c r="F67" s="589">
        <f>+F66</f>
        <v>2055</v>
      </c>
      <c r="G67" s="590"/>
    </row>
    <row r="68" spans="1:7" ht="15.75">
      <c r="A68" s="571"/>
      <c r="B68" s="571"/>
      <c r="C68" s="570" t="e">
        <f>SUM(C6:C67)</f>
        <v>#DIV/0!</v>
      </c>
      <c r="D68" s="570" t="e">
        <f>SUM(D6:D67)</f>
        <v>#DIV/0!</v>
      </c>
      <c r="E68" s="598">
        <f>SUM(E26:E65)</f>
        <v>0</v>
      </c>
      <c r="F68" s="571"/>
    </row>
    <row r="69" spans="1:7" ht="15.75">
      <c r="A69" s="571"/>
      <c r="B69" s="571"/>
      <c r="C69" s="570"/>
      <c r="D69" s="570"/>
      <c r="E69" s="598"/>
      <c r="F69" s="571"/>
    </row>
    <row r="70" spans="1:7" ht="18.75">
      <c r="C70" s="599"/>
      <c r="D70" s="600" t="s">
        <v>718</v>
      </c>
      <c r="E70" s="601">
        <f>SUM(E23:E67)</f>
        <v>0</v>
      </c>
    </row>
    <row r="71" spans="1:7">
      <c r="D71" s="591"/>
      <c r="E71" s="592"/>
    </row>
  </sheetData>
  <sheetProtection algorithmName="SHA-512" hashValue="FlLfKsKhPz0Fdw4u+lfe2l3RV0qnygnTd06hqEBnR6Uj+nB/lpcKqaPXi8m8ZttbfMHvJZiXYA3ldRjOfGjf2g==" saltValue="u/LEi3wLXXnxGiLIUc1g4A==" spinCount="100000" sheet="1" objects="1" scenarios="1"/>
  <printOptions headings="1" gridLines="1"/>
  <pageMargins left="0.7" right="0.7" top="0.75" bottom="0.75" header="0.3" footer="0.3"/>
  <pageSetup scale="79" orientation="portrait" r:id="rId1"/>
  <headerFooter>
    <oddHeader>&amp;L&amp;F&amp;RPage &amp;P of &amp;N</oddHeader>
    <oddFooter>&amp;L&amp;A&amp;R&amp;D &amp;T</oddFooter>
  </headerFooter>
  <rowBreaks count="1" manualBreakCount="1">
    <brk id="4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174</vt:i4>
      </vt:variant>
    </vt:vector>
  </HeadingPairs>
  <TitlesOfParts>
    <vt:vector size="199" baseType="lpstr">
      <vt:lpstr>Overview</vt:lpstr>
      <vt:lpstr>Dashboard</vt:lpstr>
      <vt:lpstr>Model</vt:lpstr>
      <vt:lpstr>Budget Surplus-Deficit</vt:lpstr>
      <vt:lpstr>FY23 Level-Principal</vt:lpstr>
      <vt:lpstr>FY23 Level-Payment</vt:lpstr>
      <vt:lpstr>FY24 Level-Principal</vt:lpstr>
      <vt:lpstr>FY24 Level-Payment</vt:lpstr>
      <vt:lpstr>FY25 Level-Principal</vt:lpstr>
      <vt:lpstr>FY25 Level-Payment</vt:lpstr>
      <vt:lpstr>FY26 Level-Principal</vt:lpstr>
      <vt:lpstr>FY26 Level-Payment</vt:lpstr>
      <vt:lpstr>FY27 Level-Principal</vt:lpstr>
      <vt:lpstr>FY27 Level-Payment</vt:lpstr>
      <vt:lpstr>FY28 Level-Principal</vt:lpstr>
      <vt:lpstr>FY28 Level-Payment</vt:lpstr>
      <vt:lpstr>FY29 Level-Principal</vt:lpstr>
      <vt:lpstr>FY29 Level-Payment</vt:lpstr>
      <vt:lpstr>FY30 Level-Principal</vt:lpstr>
      <vt:lpstr>FY30 Level-Payment</vt:lpstr>
      <vt:lpstr>FY31 Level-Principal</vt:lpstr>
      <vt:lpstr>FY31 Level-Payment</vt:lpstr>
      <vt:lpstr>FY32 Level-Payment</vt:lpstr>
      <vt:lpstr>FY32 Level-Principal</vt:lpstr>
      <vt:lpstr>Fifteen-Year Debt Schedule</vt:lpstr>
      <vt:lpstr>'Fifteen-Year Debt Schedule'!ART_18</vt:lpstr>
      <vt:lpstr>'FY23 Level-Payment'!compound_period</vt:lpstr>
      <vt:lpstr>'FY24 Level-Payment'!compound_period</vt:lpstr>
      <vt:lpstr>'FY25 Level-Payment'!compound_period</vt:lpstr>
      <vt:lpstr>'FY26 Level-Payment'!compound_period</vt:lpstr>
      <vt:lpstr>'FY27 Level-Payment'!compound_period</vt:lpstr>
      <vt:lpstr>'FY28 Level-Payment'!compound_period</vt:lpstr>
      <vt:lpstr>'FY29 Level-Payment'!compound_period</vt:lpstr>
      <vt:lpstr>'FY30 Level-Payment'!compound_period</vt:lpstr>
      <vt:lpstr>'FY31 Level-Payment'!compound_period</vt:lpstr>
      <vt:lpstr>'FY32 Level-Payment'!compound_period</vt:lpstr>
      <vt:lpstr>'Fifteen-Year Debt Schedule'!FIRE_STAT_RPRS</vt:lpstr>
      <vt:lpstr>'Fifteen-Year Debt Schedule'!FOUNDRY_POND</vt:lpstr>
      <vt:lpstr>'FY23 Level-Payment'!fpdate</vt:lpstr>
      <vt:lpstr>'FY24 Level-Payment'!fpdate</vt:lpstr>
      <vt:lpstr>'FY25 Level-Payment'!fpdate</vt:lpstr>
      <vt:lpstr>'FY26 Level-Payment'!fpdate</vt:lpstr>
      <vt:lpstr>'FY27 Level-Payment'!fpdate</vt:lpstr>
      <vt:lpstr>'FY28 Level-Payment'!fpdate</vt:lpstr>
      <vt:lpstr>'FY29 Level-Payment'!fpdate</vt:lpstr>
      <vt:lpstr>'FY30 Level-Payment'!fpdate</vt:lpstr>
      <vt:lpstr>'FY31 Level-Payment'!fpdate</vt:lpstr>
      <vt:lpstr>'FY32 Level-Payment'!fpdate</vt:lpstr>
      <vt:lpstr>'Fifteen-Year Debt Schedule'!HIGHWAY_GAR</vt:lpstr>
      <vt:lpstr>'Fifteen-Year Debt Schedule'!INCOME</vt:lpstr>
      <vt:lpstr>'Fifteen-Year Debt Schedule'!LI</vt:lpstr>
      <vt:lpstr>'Fifteen-Year Debt Schedule'!LIBRARY_1</vt:lpstr>
      <vt:lpstr>'FY23 Level-Payment'!loan_amount</vt:lpstr>
      <vt:lpstr>'FY24 Level-Payment'!loan_amount</vt:lpstr>
      <vt:lpstr>'FY25 Level-Payment'!loan_amount</vt:lpstr>
      <vt:lpstr>'FY26 Level-Payment'!loan_amount</vt:lpstr>
      <vt:lpstr>'FY27 Level-Payment'!loan_amount</vt:lpstr>
      <vt:lpstr>'FY28 Level-Payment'!loan_amount</vt:lpstr>
      <vt:lpstr>'FY29 Level-Payment'!loan_amount</vt:lpstr>
      <vt:lpstr>'FY30 Level-Payment'!loan_amount</vt:lpstr>
      <vt:lpstr>'FY31 Level-Payment'!loan_amount</vt:lpstr>
      <vt:lpstr>'FY32 Level-Payment'!loan_amount</vt:lpstr>
      <vt:lpstr>'FY23 Level-Payment'!months_per_period</vt:lpstr>
      <vt:lpstr>'FY24 Level-Payment'!months_per_period</vt:lpstr>
      <vt:lpstr>'FY25 Level-Payment'!months_per_period</vt:lpstr>
      <vt:lpstr>'FY26 Level-Payment'!months_per_period</vt:lpstr>
      <vt:lpstr>'FY27 Level-Payment'!months_per_period</vt:lpstr>
      <vt:lpstr>'FY28 Level-Payment'!months_per_period</vt:lpstr>
      <vt:lpstr>'FY29 Level-Payment'!months_per_period</vt:lpstr>
      <vt:lpstr>'FY30 Level-Payment'!months_per_period</vt:lpstr>
      <vt:lpstr>'FY31 Level-Payment'!months_per_period</vt:lpstr>
      <vt:lpstr>'FY32 Level-Payment'!months_per_period</vt:lpstr>
      <vt:lpstr>'Fifteen-Year Debt Schedule'!NEW_TOWN_HALL</vt:lpstr>
      <vt:lpstr>'Fifteen-Year Debt Schedule'!NEW_TOWN_HALL_2</vt:lpstr>
      <vt:lpstr>'FY23 Level-Payment'!nper</vt:lpstr>
      <vt:lpstr>'FY24 Level-Payment'!nper</vt:lpstr>
      <vt:lpstr>'FY25 Level-Payment'!nper</vt:lpstr>
      <vt:lpstr>'FY26 Level-Payment'!nper</vt:lpstr>
      <vt:lpstr>'FY27 Level-Payment'!nper</vt:lpstr>
      <vt:lpstr>'FY28 Level-Payment'!nper</vt:lpstr>
      <vt:lpstr>'FY29 Level-Payment'!nper</vt:lpstr>
      <vt:lpstr>'FY30 Level-Payment'!nper</vt:lpstr>
      <vt:lpstr>'FY31 Level-Payment'!nper</vt:lpstr>
      <vt:lpstr>'FY32 Level-Payment'!nper</vt:lpstr>
      <vt:lpstr>'FY23 Level-Payment'!payment</vt:lpstr>
      <vt:lpstr>'FY24 Level-Payment'!payment</vt:lpstr>
      <vt:lpstr>'FY25 Level-Payment'!payment</vt:lpstr>
      <vt:lpstr>'FY26 Level-Payment'!payment</vt:lpstr>
      <vt:lpstr>'FY27 Level-Payment'!payment</vt:lpstr>
      <vt:lpstr>'FY28 Level-Payment'!payment</vt:lpstr>
      <vt:lpstr>'FY29 Level-Payment'!payment</vt:lpstr>
      <vt:lpstr>'FY30 Level-Payment'!payment</vt:lpstr>
      <vt:lpstr>'FY31 Level-Payment'!payment</vt:lpstr>
      <vt:lpstr>'FY32 Level-Payment'!payment</vt:lpstr>
      <vt:lpstr>'FY23 Level-Payment'!periods_per_year</vt:lpstr>
      <vt:lpstr>'FY24 Level-Payment'!periods_per_year</vt:lpstr>
      <vt:lpstr>'FY25 Level-Payment'!periods_per_year</vt:lpstr>
      <vt:lpstr>'FY26 Level-Payment'!periods_per_year</vt:lpstr>
      <vt:lpstr>'FY27 Level-Payment'!periods_per_year</vt:lpstr>
      <vt:lpstr>'FY28 Level-Payment'!periods_per_year</vt:lpstr>
      <vt:lpstr>'FY29 Level-Payment'!periods_per_year</vt:lpstr>
      <vt:lpstr>'FY30 Level-Payment'!periods_per_year</vt:lpstr>
      <vt:lpstr>'FY31 Level-Payment'!periods_per_year</vt:lpstr>
      <vt:lpstr>'FY32 Level-Payment'!periods_per_year</vt:lpstr>
      <vt:lpstr>'FY23 Level-Payment'!pmtType</vt:lpstr>
      <vt:lpstr>'FY24 Level-Payment'!pmtType</vt:lpstr>
      <vt:lpstr>'FY25 Level-Payment'!pmtType</vt:lpstr>
      <vt:lpstr>'FY26 Level-Payment'!pmtType</vt:lpstr>
      <vt:lpstr>'FY27 Level-Payment'!pmtType</vt:lpstr>
      <vt:lpstr>'FY28 Level-Payment'!pmtType</vt:lpstr>
      <vt:lpstr>'FY29 Level-Payment'!pmtType</vt:lpstr>
      <vt:lpstr>'FY30 Level-Payment'!pmtType</vt:lpstr>
      <vt:lpstr>'FY31 Level-Payment'!pmtType</vt:lpstr>
      <vt:lpstr>'FY32 Level-Payment'!pmtType</vt:lpstr>
      <vt:lpstr>'Budget Surplus-Deficit'!Print_Area</vt:lpstr>
      <vt:lpstr>Dashboard!Print_Area</vt:lpstr>
      <vt:lpstr>'Fifteen-Year Debt Schedule'!Print_Area</vt:lpstr>
      <vt:lpstr>'FY23 Level-Payment'!Print_Area</vt:lpstr>
      <vt:lpstr>'FY23 Level-Principal'!Print_Area</vt:lpstr>
      <vt:lpstr>'FY24 Level-Payment'!Print_Area</vt:lpstr>
      <vt:lpstr>'FY24 Level-Principal'!Print_Area</vt:lpstr>
      <vt:lpstr>'FY25 Level-Payment'!Print_Area</vt:lpstr>
      <vt:lpstr>'FY25 Level-Principal'!Print_Area</vt:lpstr>
      <vt:lpstr>'FY26 Level-Payment'!Print_Area</vt:lpstr>
      <vt:lpstr>'FY26 Level-Principal'!Print_Area</vt:lpstr>
      <vt:lpstr>'FY27 Level-Payment'!Print_Area</vt:lpstr>
      <vt:lpstr>'FY27 Level-Principal'!Print_Area</vt:lpstr>
      <vt:lpstr>'FY28 Level-Payment'!Print_Area</vt:lpstr>
      <vt:lpstr>'FY28 Level-Principal'!Print_Area</vt:lpstr>
      <vt:lpstr>'FY29 Level-Payment'!Print_Area</vt:lpstr>
      <vt:lpstr>'FY29 Level-Principal'!Print_Area</vt:lpstr>
      <vt:lpstr>'FY30 Level-Payment'!Print_Area</vt:lpstr>
      <vt:lpstr>'FY30 Level-Principal'!Print_Area</vt:lpstr>
      <vt:lpstr>'FY31 Level-Payment'!Print_Area</vt:lpstr>
      <vt:lpstr>'FY31 Level-Principal'!Print_Area</vt:lpstr>
      <vt:lpstr>'FY32 Level-Payment'!Print_Area</vt:lpstr>
      <vt:lpstr>'FY32 Level-Principal'!Print_Area</vt:lpstr>
      <vt:lpstr>Model!Print_Area</vt:lpstr>
      <vt:lpstr>Overview!Print_Area</vt:lpstr>
      <vt:lpstr>'FY23 Level-Payment'!Print_Titles</vt:lpstr>
      <vt:lpstr>'FY23 Level-Principal'!Print_Titles</vt:lpstr>
      <vt:lpstr>'FY24 Level-Payment'!Print_Titles</vt:lpstr>
      <vt:lpstr>'FY24 Level-Principal'!Print_Titles</vt:lpstr>
      <vt:lpstr>'FY25 Level-Payment'!Print_Titles</vt:lpstr>
      <vt:lpstr>'FY25 Level-Principal'!Print_Titles</vt:lpstr>
      <vt:lpstr>'FY26 Level-Payment'!Print_Titles</vt:lpstr>
      <vt:lpstr>'FY26 Level-Principal'!Print_Titles</vt:lpstr>
      <vt:lpstr>'FY27 Level-Payment'!Print_Titles</vt:lpstr>
      <vt:lpstr>'FY27 Level-Principal'!Print_Titles</vt:lpstr>
      <vt:lpstr>'FY28 Level-Payment'!Print_Titles</vt:lpstr>
      <vt:lpstr>'FY28 Level-Principal'!Print_Titles</vt:lpstr>
      <vt:lpstr>'FY29 Level-Payment'!Print_Titles</vt:lpstr>
      <vt:lpstr>'FY29 Level-Principal'!Print_Titles</vt:lpstr>
      <vt:lpstr>'FY30 Level-Payment'!Print_Titles</vt:lpstr>
      <vt:lpstr>'FY30 Level-Principal'!Print_Titles</vt:lpstr>
      <vt:lpstr>'FY31 Level-Payment'!Print_Titles</vt:lpstr>
      <vt:lpstr>'FY31 Level-Principal'!Print_Titles</vt:lpstr>
      <vt:lpstr>'FY32 Level-Payment'!Print_Titles</vt:lpstr>
      <vt:lpstr>'FY32 Level-Principal'!Print_Titles</vt:lpstr>
      <vt:lpstr>'FY23 Level-Payment'!rate</vt:lpstr>
      <vt:lpstr>'FY24 Level-Payment'!rate</vt:lpstr>
      <vt:lpstr>'FY25 Level-Payment'!rate</vt:lpstr>
      <vt:lpstr>'FY26 Level-Payment'!rate</vt:lpstr>
      <vt:lpstr>'FY27 Level-Payment'!rate</vt:lpstr>
      <vt:lpstr>'FY28 Level-Payment'!rate</vt:lpstr>
      <vt:lpstr>'FY29 Level-Payment'!rate</vt:lpstr>
      <vt:lpstr>'FY30 Level-Payment'!rate</vt:lpstr>
      <vt:lpstr>'FY31 Level-Payment'!rate</vt:lpstr>
      <vt:lpstr>'FY32 Level-Payment'!rate</vt:lpstr>
      <vt:lpstr>'Fifteen-Year Debt Schedule'!REVENUE_POLICY</vt:lpstr>
      <vt:lpstr>'FY23 Level-Payment'!roundOpt</vt:lpstr>
      <vt:lpstr>'FY24 Level-Payment'!roundOpt</vt:lpstr>
      <vt:lpstr>'FY25 Level-Payment'!roundOpt</vt:lpstr>
      <vt:lpstr>'FY26 Level-Payment'!roundOpt</vt:lpstr>
      <vt:lpstr>'FY27 Level-Payment'!roundOpt</vt:lpstr>
      <vt:lpstr>'FY28 Level-Payment'!roundOpt</vt:lpstr>
      <vt:lpstr>'FY29 Level-Payment'!roundOpt</vt:lpstr>
      <vt:lpstr>'FY30 Level-Payment'!roundOpt</vt:lpstr>
      <vt:lpstr>'FY31 Level-Payment'!roundOpt</vt:lpstr>
      <vt:lpstr>'FY32 Level-Payment'!roundOpt</vt:lpstr>
      <vt:lpstr>'Fifteen-Year Debt Schedule'!SEWER_LAFAYETTE</vt:lpstr>
      <vt:lpstr>'Fifteen-Year Debt Schedule'!SEWER_PUMPS98</vt:lpstr>
      <vt:lpstr>'Fifteen-Year Debt Schedule'!SEWER_PUMPS99</vt:lpstr>
      <vt:lpstr>'Fifteen-Year Debt Schedule'!SI</vt:lpstr>
      <vt:lpstr>'Fifteen-Year Debt Schedule'!SO_JR_HS</vt:lpstr>
      <vt:lpstr>'FY23 Level-Payment'!term</vt:lpstr>
      <vt:lpstr>'FY24 Level-Payment'!term</vt:lpstr>
      <vt:lpstr>'FY25 Level-Payment'!term</vt:lpstr>
      <vt:lpstr>'FY26 Level-Payment'!term</vt:lpstr>
      <vt:lpstr>'FY27 Level-Payment'!term</vt:lpstr>
      <vt:lpstr>'FY28 Level-Payment'!term</vt:lpstr>
      <vt:lpstr>'FY29 Level-Payment'!term</vt:lpstr>
      <vt:lpstr>'FY30 Level-Payment'!term</vt:lpstr>
      <vt:lpstr>'FY31 Level-Payment'!term</vt:lpstr>
      <vt:lpstr>'FY32 Level-Payment'!term</vt:lpstr>
      <vt:lpstr>'Fifteen-Year Debt Schedule'!TOWN_OFFICE_BLD</vt:lpstr>
      <vt:lpstr>'Fifteen-Year Debt Schedule'!WEIR_RIVER</vt:lpstr>
      <vt:lpstr>'Fifteen-Year Debt Schedule'!WEIR_RIVER_SRF</vt:lpstr>
      <vt:lpstr>'Fifteen-Year Debt Schedule'!WHITNEY_WHARF</vt:lpstr>
    </vt:vector>
  </TitlesOfParts>
  <Company>Town of Hingham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KWR</cp:lastModifiedBy>
  <cp:lastPrinted>2022-02-01T16:12:49Z</cp:lastPrinted>
  <dcterms:created xsi:type="dcterms:W3CDTF">2017-05-10T14:31:44Z</dcterms:created>
  <dcterms:modified xsi:type="dcterms:W3CDTF">2022-02-02T17:10:24Z</dcterms:modified>
</cp:coreProperties>
</file>